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19125" windowHeight="11025"/>
  </bookViews>
  <sheets>
    <sheet name="Appendix B.1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NC Wind_2026" sheetId="83" state="hidden" r:id="rId8"/>
    <sheet name="Table 3 PNC Wind_2032" sheetId="92" state="hidden" r:id="rId9"/>
    <sheet name="Table 3 WV Wind_2026" sheetId="84" state="hidden" r:id="rId10"/>
    <sheet name="Table 3 YK WindwS_2030" sheetId="95" state="hidden" r:id="rId11"/>
    <sheet name="Table 3 WYE Wind_2030" sheetId="43" state="hidden" r:id="rId12"/>
    <sheet name="Table 3 WYE_DJ Wind_2030" sheetId="82" state="hidden" r:id="rId13"/>
    <sheet name="Table 3 PV wS Borah_2026" sheetId="67" state="hidden" r:id="rId14"/>
    <sheet name="Table 3 PV wS SOR_2028" sheetId="87" state="hidden" r:id="rId15"/>
    <sheet name="Table 3 PV wS SOR_2030" sheetId="88" state="hidden" r:id="rId16"/>
    <sheet name="Table 3 PV wS YK_2030" sheetId="89" state="hidden" r:id="rId17"/>
    <sheet name="Table 3 PV wS UTN_2031" sheetId="90" state="hidden" r:id="rId18"/>
    <sheet name="Table 3 PV wS UTS_2033" sheetId="91" state="hidden" r:id="rId19"/>
    <sheet name="Table 3 SmNuc 345MW (NTN) 2028" sheetId="86" state="hidden" r:id="rId20"/>
    <sheet name="Table 3 NonE 206MW (UTN) 2033" sheetId="68" r:id="rId21"/>
    <sheet name="Table 3 NonE 196MW (NTN)" sheetId="85" state="hidden" r:id="rId22"/>
    <sheet name="Table 3 StdBat  DJ_2029" sheetId="94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'[1]Table 1'!$I$18</definedName>
    <definedName name="_477_CCCT_WestMain">'[3]Table 1'!$I$18</definedName>
    <definedName name="_635_CCCT_UtahS" localSheetId="0">'[1]Table 1'!$I$19</definedName>
    <definedName name="_635_CCCT_UtahS">'[3]Table 1'!$I$19</definedName>
    <definedName name="_635_CCCT_WyoNE" localSheetId="0">'[1]Table 1'!$I$17</definedName>
    <definedName name="_635_CCCT_WyoNE">'[3]Table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'[4]Table 1'!#REF!</definedName>
    <definedName name="_Percent_Last_CCCT">'[4]Table 1'!#REF!</definedName>
    <definedName name="dateTable" localSheetId="0">'[5]on off peak hours'!$C$15:$ED$15</definedName>
    <definedName name="dateTable">'[5]on off peak hours'!$C$15:$ED$15</definedName>
    <definedName name="Discount_Rate" localSheetId="0">'[1]Table 1'!$I$39</definedName>
    <definedName name="Discount_Rate">'Table 1'!$I$43</definedName>
    <definedName name="Discount_Rate_2015_IRP" localSheetId="0">'[6]Table 7 to 8'!$AE$43</definedName>
    <definedName name="Discount_Rate_2015_IRP">'[7]Table 7 to 8'!$AE$43</definedName>
    <definedName name="DispatchSum">"GRID Thermal Generation!R2C1:R4C2"</definedName>
    <definedName name="FixedSolar_Capacity_Contr" localSheetId="0">'[7]Exhibit 3- Std FixedSolar QF'!$G$53</definedName>
    <definedName name="FixedSolar_Capacity_Contr">'[7]Exhibit 3- Std FixedSolar QF'!$G$53</definedName>
    <definedName name="HoursHoliday" localSheetId="0">'[5]on off peak hours'!$C$16:$ED$20</definedName>
    <definedName name="HoursHoliday">'[5]on off peak hours'!$C$16:$ED$20</definedName>
    <definedName name="IRP21_Infl_Rate">'Table 1'!$K$47</definedName>
    <definedName name="Market" localSheetId="0">'[7]OFPC Source'!$J$8:$M$295</definedName>
    <definedName name="Market">'[7]OFPC Source'!$J$8:$M$295</definedName>
    <definedName name="MidC_Flat" localSheetId="0">[8]Market_Price!#REF!</definedName>
    <definedName name="MidC_Flat">[8]Market_Price!#REF!</definedName>
    <definedName name="OR_AC_price" localSheetId="0">#REF!</definedName>
    <definedName name="OR_AC_price">#REF!</definedName>
    <definedName name="_xlnm.Print_Area" localSheetId="0">'Appendix B.1'!$A$1:$L$34</definedName>
    <definedName name="_xlnm.Print_Area" localSheetId="1">'Table 1'!$A$1:$G$58</definedName>
    <definedName name="_xlnm.Print_Area" localSheetId="2">'Table 2'!$B$1:$P$36</definedName>
    <definedName name="_xlnm.Print_Area" localSheetId="21">'Table 3 NonE 196MW (NTN)'!$A$1:$L$74</definedName>
    <definedName name="_xlnm.Print_Area" localSheetId="20">'Table 3 NonE 206MW (UTN) 2033'!$A$1:$M$75</definedName>
    <definedName name="_xlnm.Print_Area" localSheetId="7">'Table 3 PNC Wind_2026'!$A$1:$Q$64</definedName>
    <definedName name="_xlnm.Print_Area" localSheetId="8">'Table 3 PNC Wind_2032'!$A$1:$Q$64</definedName>
    <definedName name="_xlnm.Print_Area" localSheetId="13">'Table 3 PV wS Borah_2026'!$A$1:$P$64</definedName>
    <definedName name="_xlnm.Print_Area" localSheetId="14">'Table 3 PV wS SOR_2028'!$A$1:$P$74</definedName>
    <definedName name="_xlnm.Print_Area" localSheetId="15">'Table 3 PV wS SOR_2030'!$A$1:$P$64</definedName>
    <definedName name="_xlnm.Print_Area" localSheetId="17">'Table 3 PV wS UTN_2031'!$A$1:$P$64</definedName>
    <definedName name="_xlnm.Print_Area" localSheetId="18">'Table 3 PV wS UTS_2033'!$A$1:$P$64</definedName>
    <definedName name="_xlnm.Print_Area" localSheetId="16">'Table 3 PV wS YK_2030'!$A$1:$P$64</definedName>
    <definedName name="_xlnm.Print_Area" localSheetId="19">'Table 3 SmNuc 345MW (NTN) 2028'!$A$1:$L$83</definedName>
    <definedName name="_xlnm.Print_Area" localSheetId="22">'Table 3 StdBat  DJ_2029'!$A$1:$P$64</definedName>
    <definedName name="_xlnm.Print_Area" localSheetId="6">'Table 3 TransCost'!$A$1:$BD$50</definedName>
    <definedName name="_xlnm.Print_Area" localSheetId="9">'Table 3 WV Wind_2026'!$A$1:$O$64</definedName>
    <definedName name="_xlnm.Print_Area" localSheetId="11">'Table 3 WYE Wind_2030'!$A$1:$Q$64</definedName>
    <definedName name="_xlnm.Print_Area" localSheetId="12">'Table 3 WYE_DJ Wind_2030'!$A$1:$Q$64</definedName>
    <definedName name="_xlnm.Print_Area" localSheetId="10">'Table 3 YK WindwS_2030'!$A$1:$Q$64</definedName>
    <definedName name="_xlnm.Print_Area" localSheetId="3">'Table 4'!$A$1:$F$44</definedName>
    <definedName name="_xlnm.Print_Area" localSheetId="5">'Table 5'!$A$1:$H$240</definedName>
    <definedName name="_xlnm.Print_Area" localSheetId="4">Table3ACsummary!$A$1:$M$50</definedName>
    <definedName name="_xlnm.Print_Titles" localSheetId="2">'Table 2'!$1:$9</definedName>
    <definedName name="_xlnm.Print_Titles" localSheetId="21">'Table 3 NonE 196MW (NTN)'!$1:$6</definedName>
    <definedName name="_xlnm.Print_Titles" localSheetId="20">'Table 3 NonE 206MW (UTN) 2033'!$1:$6</definedName>
    <definedName name="_xlnm.Print_Titles" localSheetId="19">'Table 3 SmNuc 345MW (NTN) 2028'!$1:$6</definedName>
    <definedName name="RenewableMarketShape" localSheetId="0">'[7]OFPC Source'!$P$5:$U$33</definedName>
    <definedName name="RenewableMarketShape">'[7]OFPC Source'!$P$5:$U$33</definedName>
    <definedName name="RevenueSum">"GRID Thermal Revenue!R2C1:R4C2"</definedName>
    <definedName name="Solar_Fixed_integr_cost" localSheetId="0">'[9]Table 10'!$B$46</definedName>
    <definedName name="Solar_Fixed_integr_cost">'[9]Table 10'!$B$46</definedName>
    <definedName name="Solar_HLH" localSheetId="0">'[7]OFPC Source'!$U$48</definedName>
    <definedName name="Solar_HLH">'[7]OFPC Source'!$U$48</definedName>
    <definedName name="Solar_LLH" localSheetId="0">'[7]OFPC Source'!$V$48</definedName>
    <definedName name="Solar_LLH">'[7]OFPC Source'!$V$48</definedName>
    <definedName name="Solar_Tracking_integr_cost" localSheetId="0">'[9]Table 10'!$B$45</definedName>
    <definedName name="Solar_Tracking_integr_cost">'[9]Table 10'!$B$45</definedName>
    <definedName name="Study_Cap_Adj" localSheetId="0">'[1]Table 1'!$I$8</definedName>
    <definedName name="Study_Cap_Adj" localSheetId="2">'Table 1'!$I$8</definedName>
    <definedName name="Study_Cap_Adj" localSheetId="21">'Table 1'!$I$8</definedName>
    <definedName name="Study_Cap_Adj" localSheetId="20">'Table 1'!$I$8</definedName>
    <definedName name="Study_Cap_Adj" localSheetId="19">'Table 1'!$I$8</definedName>
    <definedName name="Study_Cap_Adj" localSheetId="6">'Table 1'!$I$8</definedName>
    <definedName name="Study_Cap_Adj">'Table 1'!$I$8</definedName>
    <definedName name="Study_CF" localSheetId="0">'[1]Table 5'!$M$7</definedName>
    <definedName name="Study_CF">'Table 5'!$M$7</definedName>
    <definedName name="Study_MW" localSheetId="0">'[1]Table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'[7]Exhibit 2- Std Wind QF '!$E$57</definedName>
    <definedName name="Wind_Capacity_Contr">'[7]Exhibit 2- Std Wind QF '!$E$57</definedName>
    <definedName name="Wind_Integration_Charge" localSheetId="0">'[7]Exhibit 2- Std Wind QF '!$E$45</definedName>
    <definedName name="Wind_Integration_Charge">'[7]Exhibit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0" i="31" l="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H26" i="96"/>
  <c r="G26" i="96"/>
  <c r="F26" i="96"/>
  <c r="H23" i="96" l="1"/>
  <c r="H22" i="96"/>
  <c r="H21" i="96"/>
  <c r="H20" i="96"/>
  <c r="H19" i="96"/>
  <c r="H18" i="96"/>
  <c r="H17" i="96"/>
  <c r="H16" i="96"/>
  <c r="H15" i="96"/>
  <c r="H14" i="96"/>
  <c r="H13" i="96"/>
  <c r="H12" i="96"/>
  <c r="H11" i="96"/>
  <c r="H10" i="96"/>
  <c r="H9" i="96"/>
  <c r="G23" i="96"/>
  <c r="G22" i="96"/>
  <c r="G21" i="96"/>
  <c r="G20" i="96"/>
  <c r="G19" i="96"/>
  <c r="G18" i="96"/>
  <c r="G17" i="96"/>
  <c r="G16" i="96"/>
  <c r="G15" i="96"/>
  <c r="G14" i="96"/>
  <c r="G13" i="96"/>
  <c r="G12" i="96"/>
  <c r="G11" i="96"/>
  <c r="G10" i="96"/>
  <c r="G9" i="96"/>
  <c r="F23" i="96"/>
  <c r="F22" i="96"/>
  <c r="F21" i="96"/>
  <c r="F20" i="96"/>
  <c r="F19" i="96"/>
  <c r="F18" i="96"/>
  <c r="F17" i="96"/>
  <c r="F16" i="96"/>
  <c r="F15" i="96"/>
  <c r="F14" i="96"/>
  <c r="F13" i="96"/>
  <c r="F12" i="96"/>
  <c r="F11" i="96"/>
  <c r="F10" i="96"/>
  <c r="F9" i="96"/>
  <c r="B32" i="96"/>
  <c r="B10" i="96"/>
  <c r="K5" i="96"/>
  <c r="J5" i="96"/>
  <c r="I5" i="96"/>
  <c r="B11" i="96" l="1"/>
  <c r="A10" i="31"/>
  <c r="A56" i="25" s="1"/>
  <c r="A7" i="31"/>
  <c r="A52" i="25" s="1"/>
  <c r="R5" i="31"/>
  <c r="Q5" i="31" s="1"/>
  <c r="P5" i="31" s="1"/>
  <c r="B12" i="96" l="1"/>
  <c r="E24" i="95"/>
  <c r="B13" i="96" l="1"/>
  <c r="C56" i="95"/>
  <c r="B14" i="96" l="1"/>
  <c r="C55" i="95"/>
  <c r="B15" i="96" l="1"/>
  <c r="D24" i="95"/>
  <c r="B60" i="95"/>
  <c r="D49" i="95"/>
  <c r="C49" i="95"/>
  <c r="D48" i="95"/>
  <c r="C48" i="95"/>
  <c r="D47" i="95"/>
  <c r="C47" i="95"/>
  <c r="D46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B16" i="96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6" i="94"/>
  <c r="C56" i="94"/>
  <c r="C55" i="94"/>
  <c r="E23" i="94"/>
  <c r="C23" i="94"/>
  <c r="F23" i="94"/>
  <c r="D49" i="94"/>
  <c r="C49" i="94"/>
  <c r="D48" i="94"/>
  <c r="C48" i="94"/>
  <c r="D47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B3" i="94"/>
  <c r="C52" i="94" s="1"/>
  <c r="B9" i="94" s="1"/>
  <c r="B17" i="96" l="1"/>
  <c r="B22" i="95"/>
  <c r="D23" i="94"/>
  <c r="D24" i="94" s="1"/>
  <c r="D25" i="94" s="1"/>
  <c r="K25" i="94" s="1"/>
  <c r="B18" i="96" l="1"/>
  <c r="G24" i="94"/>
  <c r="I24" i="94" s="1"/>
  <c r="J24" i="94" s="1"/>
  <c r="K24" i="94"/>
  <c r="D26" i="94"/>
  <c r="G25" i="94"/>
  <c r="I25" i="94" s="1"/>
  <c r="J25" i="94" s="1"/>
  <c r="K23" i="94"/>
  <c r="G23" i="94"/>
  <c r="I23" i="94" s="1"/>
  <c r="J23" i="94" s="1"/>
  <c r="B23" i="95"/>
  <c r="B19" i="96" l="1"/>
  <c r="D27" i="94"/>
  <c r="G26" i="94"/>
  <c r="I26" i="94" s="1"/>
  <c r="J26" i="94" s="1"/>
  <c r="K26" i="94"/>
  <c r="B24" i="95"/>
  <c r="B20" i="96" l="1"/>
  <c r="K27" i="94"/>
  <c r="D28" i="94"/>
  <c r="G27" i="94"/>
  <c r="I27" i="94" s="1"/>
  <c r="J27" i="94" s="1"/>
  <c r="B25" i="95"/>
  <c r="D25" i="95"/>
  <c r="B21" i="96" l="1"/>
  <c r="K28" i="94"/>
  <c r="D29" i="94"/>
  <c r="G28" i="94"/>
  <c r="I28" i="94" s="1"/>
  <c r="J28" i="94" s="1"/>
  <c r="D26" i="95"/>
  <c r="B26" i="95"/>
  <c r="B22" i="96" l="1"/>
  <c r="K29" i="94"/>
  <c r="G29" i="94"/>
  <c r="I29" i="94" s="1"/>
  <c r="J29" i="94" s="1"/>
  <c r="D30" i="94"/>
  <c r="D27" i="95"/>
  <c r="B27" i="95"/>
  <c r="B23" i="96" l="1"/>
  <c r="D31" i="94"/>
  <c r="G30" i="94"/>
  <c r="I30" i="94" s="1"/>
  <c r="J30" i="94" s="1"/>
  <c r="K30" i="94"/>
  <c r="B28" i="95"/>
  <c r="D28" i="95"/>
  <c r="B33" i="96" l="1"/>
  <c r="G31" i="94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G33" i="94"/>
  <c r="I33" i="94" s="1"/>
  <c r="J33" i="94" s="1"/>
  <c r="D34" i="94"/>
  <c r="D31" i="95"/>
  <c r="D35" i="94" l="1"/>
  <c r="G34" i="94"/>
  <c r="I34" i="94" s="1"/>
  <c r="J34" i="94" s="1"/>
  <c r="K34" i="94"/>
  <c r="D32" i="95"/>
  <c r="G35" i="94" l="1"/>
  <c r="I35" i="94" s="1"/>
  <c r="J35" i="94" s="1"/>
  <c r="K35" i="94"/>
  <c r="D36" i="94"/>
  <c r="D33" i="95"/>
  <c r="C56" i="89"/>
  <c r="E24" i="89"/>
  <c r="C55" i="89"/>
  <c r="C24" i="89"/>
  <c r="O55" i="89"/>
  <c r="C56" i="88"/>
  <c r="C55" i="88"/>
  <c r="C26" i="92"/>
  <c r="D26" i="92" s="1"/>
  <c r="C56" i="92"/>
  <c r="E26" i="92" s="1"/>
  <c r="C55" i="92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27" i="92"/>
  <c r="E28" i="92" s="1"/>
  <c r="E29" i="92" s="1"/>
  <c r="E30" i="92" s="1"/>
  <c r="E31" i="92" s="1"/>
  <c r="E32" i="92" s="1"/>
  <c r="E33" i="92" s="1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E27" i="91"/>
  <c r="C27" i="91"/>
  <c r="D27" i="91" s="1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E25" i="90"/>
  <c r="C25" i="90"/>
  <c r="D25" i="90" s="1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D24" i="89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D27" i="92"/>
  <c r="B26" i="92"/>
  <c r="D28" i="91"/>
  <c r="D27" i="90"/>
  <c r="D27" i="89"/>
  <c r="D25" i="88"/>
  <c r="B19" i="91" l="1"/>
  <c r="B27" i="92"/>
  <c r="D28" i="92"/>
  <c r="D29" i="91"/>
  <c r="D28" i="90"/>
  <c r="D28" i="89"/>
  <c r="D26" i="88"/>
  <c r="B20" i="91" l="1"/>
  <c r="D29" i="92"/>
  <c r="B28" i="92"/>
  <c r="D30" i="91"/>
  <c r="D29" i="90"/>
  <c r="D29" i="89"/>
  <c r="D27" i="88"/>
  <c r="B21" i="91" l="1"/>
  <c r="B29" i="92"/>
  <c r="D30" i="92"/>
  <c r="D31" i="91"/>
  <c r="D30" i="90"/>
  <c r="D30" i="89"/>
  <c r="D28" i="88"/>
  <c r="B22" i="91" l="1"/>
  <c r="D31" i="92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2" i="92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28" i="85" l="1"/>
  <c r="F29" i="85" s="1"/>
  <c r="F30" i="85" s="1"/>
  <c r="F31" i="85" s="1"/>
  <c r="F32" i="85" s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C64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J27" i="85" s="1"/>
  <c r="J28" i="85" s="1"/>
  <c r="J29" i="85" s="1"/>
  <c r="J30" i="85" s="1"/>
  <c r="J31" i="85" s="1"/>
  <c r="J32" i="85" s="1"/>
  <c r="J33" i="85" s="1"/>
  <c r="J34" i="85" s="1"/>
  <c r="J35" i="85" s="1"/>
  <c r="J36" i="85" s="1"/>
  <c r="B73" i="85"/>
  <c r="D41" i="85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C27" i="85"/>
  <c r="D27" i="85" s="1"/>
  <c r="D28" i="85" s="1"/>
  <c r="D29" i="85" s="1"/>
  <c r="D30" i="85" s="1"/>
  <c r="D31" i="85" s="1"/>
  <c r="D32" i="85" s="1"/>
  <c r="D33" i="85" s="1"/>
  <c r="D34" i="85" s="1"/>
  <c r="D35" i="85" s="1"/>
  <c r="D36" i="85" s="1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C56" i="82"/>
  <c r="C55" i="82"/>
  <c r="E24" i="82"/>
  <c r="E25" i="82" s="1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4" i="43"/>
  <c r="E25" i="43" s="1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C56" i="43"/>
  <c r="C55" i="43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M22" i="86" l="1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K59" i="85"/>
  <c r="H59" i="85"/>
  <c r="D42" i="85" s="1"/>
  <c r="D72" i="85"/>
  <c r="C82" i="86" l="1"/>
  <c r="J58" i="86"/>
  <c r="L59" i="86" s="1"/>
  <c r="K59" i="86"/>
  <c r="J59" i="86"/>
  <c r="L59" i="85"/>
  <c r="D45" i="85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K27" i="85"/>
  <c r="H27" i="85"/>
  <c r="H23" i="86" l="1"/>
  <c r="I23" i="86" s="1"/>
  <c r="L23" i="86" s="1"/>
  <c r="K28" i="86"/>
  <c r="K28" i="85"/>
  <c r="H28" i="85"/>
  <c r="H24" i="86" l="1"/>
  <c r="I24" i="86" s="1"/>
  <c r="L24" i="86" s="1"/>
  <c r="K29" i="86"/>
  <c r="H29" i="85"/>
  <c r="K29" i="85"/>
  <c r="H25" i="86" l="1"/>
  <c r="I25" i="86" s="1"/>
  <c r="L25" i="86" s="1"/>
  <c r="K30" i="86"/>
  <c r="K30" i="85"/>
  <c r="H30" i="85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C56" i="84"/>
  <c r="C55" i="84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C27" i="68" s="1"/>
  <c r="C55" i="83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s="1"/>
  <c r="G27" i="68" s="1"/>
  <c r="G28" i="68" s="1"/>
  <c r="G29" i="68" s="1"/>
  <c r="G30" i="68" s="1"/>
  <c r="G31" i="68" s="1"/>
  <c r="G32" i="68" s="1"/>
  <c r="G33" i="68" s="1"/>
  <c r="G34" i="68" s="1"/>
  <c r="G35" i="68" s="1"/>
  <c r="G36" i="68" s="1"/>
  <c r="B12" i="83" l="1"/>
  <c r="B13" i="83" s="1"/>
  <c r="B14" i="83" s="1"/>
  <c r="B15" i="83" s="1"/>
  <c r="B16" i="83" s="1"/>
  <c r="B17" i="83" s="1"/>
  <c r="B18" i="83" s="1"/>
  <c r="B19" i="83" s="1"/>
  <c r="B20" i="83" s="1"/>
  <c r="B21" i="83"/>
  <c r="B22" i="83" l="1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4" i="82"/>
  <c r="D25" i="82" s="1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K11" i="47"/>
  <c r="BM11" i="47" s="1"/>
  <c r="BJ10" i="47"/>
  <c r="BJ11" i="47" s="1"/>
  <c r="BJ12" i="47" s="1"/>
  <c r="BJ9" i="47"/>
  <c r="BE11" i="47"/>
  <c r="AZ16" i="47"/>
  <c r="AU24" i="47"/>
  <c r="AP24" i="47"/>
  <c r="AF17" i="47"/>
  <c r="V11" i="47"/>
  <c r="V9" i="47"/>
  <c r="B22" i="82" l="1"/>
  <c r="B23" i="82" s="1"/>
  <c r="B24" i="82" s="1"/>
  <c r="BL39" i="47"/>
  <c r="B25" i="82"/>
  <c r="BJ14" i="47"/>
  <c r="BJ15" i="47" s="1"/>
  <c r="BJ16" i="47" s="1"/>
  <c r="BJ17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BK10" i="47"/>
  <c r="BM10" i="47" s="1"/>
  <c r="BK13" i="47"/>
  <c r="BK12" i="47"/>
  <c r="BM12" i="47" s="1"/>
  <c r="C60" i="89" l="1"/>
  <c r="F24" i="89" s="1"/>
  <c r="G24" i="89" s="1"/>
  <c r="I24" i="89" s="1"/>
  <c r="J24" i="89" s="1"/>
  <c r="C60" i="95"/>
  <c r="B26" i="82"/>
  <c r="BM13" i="47"/>
  <c r="BK14" i="47"/>
  <c r="F25" i="89" l="1"/>
  <c r="G25" i="89" s="1"/>
  <c r="I25" i="89" s="1"/>
  <c r="J25" i="89" s="1"/>
  <c r="K24" i="89"/>
  <c r="F24" i="95"/>
  <c r="F26" i="89"/>
  <c r="K25" i="89"/>
  <c r="B27" i="82"/>
  <c r="BM14" i="47"/>
  <c r="BK15" i="47"/>
  <c r="L24" i="95" l="1"/>
  <c r="G24" i="95"/>
  <c r="J24" i="95" s="1"/>
  <c r="K24" i="95" s="1"/>
  <c r="F25" i="95"/>
  <c r="F27" i="89"/>
  <c r="G26" i="89"/>
  <c r="I26" i="89" s="1"/>
  <c r="J26" i="89" s="1"/>
  <c r="K26" i="89"/>
  <c r="B28" i="82"/>
  <c r="BM15" i="47"/>
  <c r="BK16" i="47"/>
  <c r="F26" i="95" l="1"/>
  <c r="L25" i="95"/>
  <c r="G25" i="95"/>
  <c r="J25" i="95" s="1"/>
  <c r="K25" i="95" s="1"/>
  <c r="F28" i="89"/>
  <c r="G27" i="89"/>
  <c r="I27" i="89" s="1"/>
  <c r="J27" i="89" s="1"/>
  <c r="K27" i="89"/>
  <c r="B29" i="82"/>
  <c r="BM16" i="47"/>
  <c r="BK17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7" i="95" l="1"/>
  <c r="L26" i="95"/>
  <c r="G26" i="95"/>
  <c r="J26" i="95" s="1"/>
  <c r="K26" i="95" s="1"/>
  <c r="F29" i="89"/>
  <c r="K28" i="89"/>
  <c r="G28" i="89"/>
  <c r="I28" i="89" s="1"/>
  <c r="J28" i="89" s="1"/>
  <c r="B30" i="82"/>
  <c r="BM17" i="47"/>
  <c r="D24" i="43"/>
  <c r="D25" i="43" s="1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8" i="95" l="1"/>
  <c r="L27" i="95"/>
  <c r="G27" i="95"/>
  <c r="J27" i="95" s="1"/>
  <c r="K27" i="95" s="1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29" i="95" l="1"/>
  <c r="G28" i="95"/>
  <c r="J28" i="95" s="1"/>
  <c r="K28" i="95" s="1"/>
  <c r="L28" i="95"/>
  <c r="F31" i="89"/>
  <c r="K30" i="89"/>
  <c r="G30" i="89"/>
  <c r="I30" i="89" s="1"/>
  <c r="J30" i="89" s="1"/>
  <c r="B32" i="82"/>
  <c r="F30" i="95" l="1"/>
  <c r="L29" i="95"/>
  <c r="G29" i="95"/>
  <c r="J29" i="95" s="1"/>
  <c r="K29" i="95" s="1"/>
  <c r="F32" i="89"/>
  <c r="G31" i="89"/>
  <c r="I31" i="89" s="1"/>
  <c r="J31" i="89" s="1"/>
  <c r="K31" i="89"/>
  <c r="B33" i="82"/>
  <c r="F31" i="95" l="1"/>
  <c r="G30" i="95"/>
  <c r="J30" i="95" s="1"/>
  <c r="K30" i="95" s="1"/>
  <c r="L30" i="95"/>
  <c r="F33" i="89"/>
  <c r="G32" i="89"/>
  <c r="I32" i="89" s="1"/>
  <c r="J32" i="89" s="1"/>
  <c r="K32" i="89"/>
  <c r="C65" i="87"/>
  <c r="C76" i="86"/>
  <c r="B34" i="82"/>
  <c r="F32" i="95" l="1"/>
  <c r="G31" i="95"/>
  <c r="J31" i="95" s="1"/>
  <c r="K31" i="95" s="1"/>
  <c r="L31" i="95"/>
  <c r="F34" i="89"/>
  <c r="G33" i="89"/>
  <c r="I33" i="89" s="1"/>
  <c r="J33" i="89" s="1"/>
  <c r="K33" i="89"/>
  <c r="B35" i="82"/>
  <c r="B36" i="82" s="1"/>
  <c r="B37" i="82" s="1"/>
  <c r="S6" i="31"/>
  <c r="F33" i="95" l="1"/>
  <c r="G32" i="95"/>
  <c r="J32" i="95" s="1"/>
  <c r="K32" i="95" s="1"/>
  <c r="L32" i="95"/>
  <c r="F35" i="89"/>
  <c r="G34" i="89"/>
  <c r="I34" i="89" s="1"/>
  <c r="J34" i="89" s="1"/>
  <c r="K34" i="89"/>
  <c r="A9" i="31"/>
  <c r="R6" i="31"/>
  <c r="Q6" i="31"/>
  <c r="P6" i="31"/>
  <c r="F34" i="95" l="1"/>
  <c r="G33" i="95"/>
  <c r="J33" i="95" s="1"/>
  <c r="K33" i="95" s="1"/>
  <c r="L33" i="95"/>
  <c r="F36" i="89"/>
  <c r="G35" i="89"/>
  <c r="I35" i="89" s="1"/>
  <c r="J35" i="89" s="1"/>
  <c r="K35" i="89"/>
  <c r="CX34" i="25"/>
  <c r="CW34" i="25"/>
  <c r="CV34" i="25"/>
  <c r="CX33" i="25"/>
  <c r="CW33" i="25"/>
  <c r="CV33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5" i="95" l="1"/>
  <c r="L34" i="95"/>
  <c r="G34" i="95"/>
  <c r="J34" i="95" s="1"/>
  <c r="K34" i="95" s="1"/>
  <c r="F37" i="89"/>
  <c r="G36" i="89"/>
  <c r="I36" i="89" s="1"/>
  <c r="J36" i="89" s="1"/>
  <c r="K36" i="89"/>
  <c r="CE9" i="25"/>
  <c r="AM9" i="25"/>
  <c r="F36" i="95" l="1"/>
  <c r="G35" i="95"/>
  <c r="J35" i="95" s="1"/>
  <c r="K35" i="95" s="1"/>
  <c r="L35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4" i="82"/>
  <c r="L25" i="82"/>
  <c r="G24" i="82"/>
  <c r="J24" i="82" s="1"/>
  <c r="K24" i="82" s="1"/>
  <c r="F37" i="95" l="1"/>
  <c r="G36" i="95"/>
  <c r="J36" i="95" s="1"/>
  <c r="K36" i="95" s="1"/>
  <c r="L36" i="95"/>
  <c r="G27" i="82"/>
  <c r="J27" i="82" s="1"/>
  <c r="K27" i="82" s="1"/>
  <c r="L27" i="82"/>
  <c r="L37" i="95" l="1"/>
  <c r="G37" i="95"/>
  <c r="J37" i="95" s="1"/>
  <c r="K37" i="95" s="1"/>
  <c r="G28" i="82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BF10" i="47" l="1"/>
  <c r="D27" i="68" l="1"/>
  <c r="D28" i="68" s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60" i="84" s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L20" i="84" l="1"/>
  <c r="G20" i="84"/>
  <c r="J20" i="84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C46" i="47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60" i="88" l="1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K20" i="84"/>
  <c r="C73" i="68"/>
  <c r="E25" i="68" s="1"/>
  <c r="E26" i="68" s="1"/>
  <c r="E27" i="68" s="1"/>
  <c r="E28" i="68" s="1"/>
  <c r="E29" i="68" s="1"/>
  <c r="E30" i="68" s="1"/>
  <c r="E31" i="68" s="1"/>
  <c r="E32" i="68" s="1"/>
  <c r="E33" i="68" s="1"/>
  <c r="E34" i="68" s="1"/>
  <c r="E35" i="68" s="1"/>
  <c r="E36" i="68" s="1"/>
  <c r="C73" i="85"/>
  <c r="E25" i="85" s="1"/>
  <c r="E26" i="85" s="1"/>
  <c r="E27" i="85" s="1"/>
  <c r="E28" i="85" s="1"/>
  <c r="E29" i="85" s="1"/>
  <c r="E30" i="85" s="1"/>
  <c r="E31" i="85" s="1"/>
  <c r="E32" i="85" s="1"/>
  <c r="E33" i="85" s="1"/>
  <c r="E34" i="85" s="1"/>
  <c r="E35" i="85" s="1"/>
  <c r="E36" i="85" s="1"/>
  <c r="L21" i="84"/>
  <c r="G21" i="84"/>
  <c r="J21" i="84" s="1"/>
  <c r="L20" i="83"/>
  <c r="G20" i="83"/>
  <c r="J20" i="83" s="1"/>
  <c r="C47" i="47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F26" i="90" l="1"/>
  <c r="K25" i="90"/>
  <c r="G25" i="90"/>
  <c r="I25" i="90" s="1"/>
  <c r="J25" i="90" s="1"/>
  <c r="F27" i="92"/>
  <c r="G26" i="92"/>
  <c r="J26" i="92" s="1"/>
  <c r="K26" i="92" s="1"/>
  <c r="L26" i="92"/>
  <c r="F22" i="87"/>
  <c r="F25" i="88"/>
  <c r="G24" i="88"/>
  <c r="I24" i="88" s="1"/>
  <c r="J24" i="88" s="1"/>
  <c r="K24" i="88"/>
  <c r="K21" i="84"/>
  <c r="K20" i="83"/>
  <c r="M27" i="86"/>
  <c r="I27" i="86"/>
  <c r="L27" i="86" s="1"/>
  <c r="M27" i="85"/>
  <c r="I27" i="85"/>
  <c r="L27" i="85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C48" i="47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I39" i="47"/>
  <c r="C60" i="91" s="1"/>
  <c r="F27" i="91" s="1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s="1"/>
  <c r="F19" i="43" s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F26" i="88" l="1"/>
  <c r="G25" i="88"/>
  <c r="I25" i="88" s="1"/>
  <c r="J25" i="88" s="1"/>
  <c r="K25" i="88"/>
  <c r="F28" i="91"/>
  <c r="K27" i="91"/>
  <c r="G27" i="91"/>
  <c r="I27" i="91" s="1"/>
  <c r="J27" i="91" s="1"/>
  <c r="G22" i="87"/>
  <c r="I22" i="87" s="1"/>
  <c r="J22" i="87" s="1"/>
  <c r="K22" i="87"/>
  <c r="F28" i="92"/>
  <c r="L27" i="92"/>
  <c r="G27" i="92"/>
  <c r="J27" i="92" s="1"/>
  <c r="K27" i="92" s="1"/>
  <c r="F23" i="87"/>
  <c r="F27" i="90"/>
  <c r="G26" i="90"/>
  <c r="I26" i="90" s="1"/>
  <c r="J26" i="90" s="1"/>
  <c r="K26" i="90"/>
  <c r="K22" i="84"/>
  <c r="K21" i="83"/>
  <c r="I28" i="85"/>
  <c r="L28" i="85" s="1"/>
  <c r="M28" i="85"/>
  <c r="I28" i="86"/>
  <c r="L28" i="86" s="1"/>
  <c r="M28" i="86"/>
  <c r="L23" i="84"/>
  <c r="G23" i="84"/>
  <c r="J23" i="84" s="1"/>
  <c r="L22" i="83"/>
  <c r="G22" i="83"/>
  <c r="J22" i="83" s="1"/>
  <c r="AB10" i="47"/>
  <c r="AD10" i="47" s="1"/>
  <c r="C60" i="67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C49" i="4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8" i="90" l="1"/>
  <c r="K27" i="90"/>
  <c r="G27" i="90"/>
  <c r="I27" i="90" s="1"/>
  <c r="J27" i="90" s="1"/>
  <c r="F29" i="92"/>
  <c r="L28" i="92"/>
  <c r="G28" i="92"/>
  <c r="J28" i="92" s="1"/>
  <c r="K28" i="92" s="1"/>
  <c r="F24" i="87"/>
  <c r="G23" i="87"/>
  <c r="I23" i="87" s="1"/>
  <c r="J23" i="87" s="1"/>
  <c r="K23" i="87"/>
  <c r="F29" i="91"/>
  <c r="G28" i="91"/>
  <c r="I28" i="91" s="1"/>
  <c r="J28" i="91" s="1"/>
  <c r="K28" i="91"/>
  <c r="F27" i="88"/>
  <c r="G26" i="88"/>
  <c r="I26" i="88" s="1"/>
  <c r="J26" i="88" s="1"/>
  <c r="K26" i="88"/>
  <c r="K23" i="84"/>
  <c r="K22" i="83"/>
  <c r="M29" i="86"/>
  <c r="I29" i="86"/>
  <c r="L29" i="86" s="1"/>
  <c r="M29" i="85"/>
  <c r="I29" i="85"/>
  <c r="L29" i="85" s="1"/>
  <c r="L23" i="83"/>
  <c r="G23" i="83"/>
  <c r="J23" i="83" s="1"/>
  <c r="L24" i="84"/>
  <c r="G24" i="84"/>
  <c r="J24" i="84" s="1"/>
  <c r="C50" i="47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88" l="1"/>
  <c r="G27" i="88"/>
  <c r="I27" i="88" s="1"/>
  <c r="J27" i="88" s="1"/>
  <c r="K27" i="88"/>
  <c r="F30" i="92"/>
  <c r="L29" i="92"/>
  <c r="G29" i="92"/>
  <c r="J29" i="92" s="1"/>
  <c r="K29" i="92" s="1"/>
  <c r="F25" i="87"/>
  <c r="G24" i="87"/>
  <c r="I24" i="87" s="1"/>
  <c r="J24" i="87" s="1"/>
  <c r="K24" i="87"/>
  <c r="F30" i="91"/>
  <c r="G29" i="91"/>
  <c r="I29" i="91" s="1"/>
  <c r="J29" i="91" s="1"/>
  <c r="K29" i="91"/>
  <c r="F29" i="90"/>
  <c r="G28" i="90"/>
  <c r="I28" i="90" s="1"/>
  <c r="J28" i="90" s="1"/>
  <c r="K28" i="90"/>
  <c r="K24" i="84"/>
  <c r="K23" i="83"/>
  <c r="M30" i="85"/>
  <c r="I30" i="85"/>
  <c r="L30" i="85" s="1"/>
  <c r="M30" i="86"/>
  <c r="I30" i="86"/>
  <c r="L30" i="86" s="1"/>
  <c r="L25" i="84"/>
  <c r="G25" i="84"/>
  <c r="J25" i="84" s="1"/>
  <c r="G24" i="83"/>
  <c r="J24" i="83" s="1"/>
  <c r="L24" i="83"/>
  <c r="C51" i="47"/>
  <c r="F30" i="90" l="1"/>
  <c r="G29" i="90"/>
  <c r="I29" i="90" s="1"/>
  <c r="J29" i="90" s="1"/>
  <c r="K29" i="90"/>
  <c r="F31" i="92"/>
  <c r="G30" i="92"/>
  <c r="J30" i="92" s="1"/>
  <c r="K30" i="92" s="1"/>
  <c r="L30" i="92"/>
  <c r="F26" i="87"/>
  <c r="G25" i="87"/>
  <c r="I25" i="87" s="1"/>
  <c r="J25" i="87" s="1"/>
  <c r="K25" i="87"/>
  <c r="F31" i="91"/>
  <c r="G30" i="91"/>
  <c r="I30" i="91" s="1"/>
  <c r="J30" i="91" s="1"/>
  <c r="K30" i="91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C52" i="47"/>
  <c r="F30" i="88" l="1"/>
  <c r="G29" i="88"/>
  <c r="I29" i="88" s="1"/>
  <c r="J29" i="88" s="1"/>
  <c r="K29" i="88"/>
  <c r="F32" i="92"/>
  <c r="G31" i="92"/>
  <c r="J31" i="92" s="1"/>
  <c r="K31" i="92" s="1"/>
  <c r="L31" i="92"/>
  <c r="F27" i="87"/>
  <c r="K26" i="87"/>
  <c r="G26" i="87"/>
  <c r="I26" i="87" s="1"/>
  <c r="J26" i="87" s="1"/>
  <c r="F32" i="91"/>
  <c r="G31" i="91"/>
  <c r="I31" i="91" s="1"/>
  <c r="J31" i="91" s="1"/>
  <c r="K31" i="9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2" i="90" l="1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3" i="91"/>
  <c r="G32" i="91"/>
  <c r="I32" i="91" s="1"/>
  <c r="J32" i="91" s="1"/>
  <c r="K32" i="91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88" l="1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4" i="91"/>
  <c r="K33" i="91"/>
  <c r="G33" i="91"/>
  <c r="I33" i="91" s="1"/>
  <c r="J33" i="91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F34" i="90" l="1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5" i="91"/>
  <c r="K34" i="91"/>
  <c r="G34" i="91"/>
  <c r="I34" i="91" s="1"/>
  <c r="J34" i="91" s="1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88" l="1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6" i="91"/>
  <c r="K35" i="91"/>
  <c r="G35" i="91"/>
  <c r="I35" i="91" s="1"/>
  <c r="J35" i="91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7" i="91" l="1"/>
  <c r="K36" i="91"/>
  <c r="G36" i="91"/>
  <c r="I36" i="91" s="1"/>
  <c r="J36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G37" i="92" l="1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G37" i="91"/>
  <c r="I37" i="91" s="1"/>
  <c r="J37" i="91" s="1"/>
  <c r="K37" i="91"/>
  <c r="K32" i="84"/>
  <c r="K31" i="83"/>
  <c r="L33" i="84"/>
  <c r="G33" i="84"/>
  <c r="J33" i="84" s="1"/>
  <c r="G32" i="83"/>
  <c r="J32" i="83" s="1"/>
  <c r="L32" i="83"/>
  <c r="G37" i="90" l="1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F35" i="87" l="1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B17" i="68" l="1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43" i="4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O11" i="47" s="1"/>
  <c r="AG11" i="47"/>
  <c r="H11" i="47"/>
  <c r="J11" i="47" s="1"/>
  <c r="W11" i="47"/>
  <c r="C11" i="47"/>
  <c r="R11" i="47"/>
  <c r="B12" i="47"/>
  <c r="M12" i="47" l="1"/>
  <c r="O12" i="47" s="1"/>
  <c r="AV12" i="47"/>
  <c r="AX12" i="47" s="1"/>
  <c r="BA12" i="47"/>
  <c r="BC12" i="47" s="1"/>
  <c r="AL12" i="47"/>
  <c r="AQ12" i="47"/>
  <c r="AS12" i="47" s="1"/>
  <c r="H12" i="47"/>
  <c r="AG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Q15" i="47" l="1"/>
  <c r="AS15" i="47" s="1"/>
  <c r="AV15" i="47"/>
  <c r="AX15" i="47" s="1"/>
  <c r="M15" i="47"/>
  <c r="O15" i="47" s="1"/>
  <c r="AG15" i="47"/>
  <c r="H15" i="47"/>
  <c r="B16" i="47"/>
  <c r="C10" i="25"/>
  <c r="M16" i="47" l="1"/>
  <c r="O16" i="47" s="1"/>
  <c r="AV16" i="47"/>
  <c r="AX16" i="47" s="1"/>
  <c r="H16" i="47"/>
  <c r="AG16" i="47"/>
  <c r="B17" i="47"/>
  <c r="AV17" i="47" l="1"/>
  <c r="AX17" i="47" s="1"/>
  <c r="M17" i="47"/>
  <c r="O17" i="47" s="1"/>
  <c r="AG17" i="47"/>
  <c r="H17" i="47"/>
  <c r="B18" i="47"/>
  <c r="F44" i="47"/>
  <c r="AL15" i="47" l="1"/>
  <c r="BA15" i="47"/>
  <c r="M18" i="47"/>
  <c r="AV18" i="47"/>
  <c r="AX18" i="47" s="1"/>
  <c r="B19" i="47"/>
  <c r="AI11" i="47"/>
  <c r="F45" i="47"/>
  <c r="AQ16" i="47" s="1"/>
  <c r="AS16" i="47" l="1"/>
  <c r="BC15" i="47"/>
  <c r="BA16" i="47"/>
  <c r="BC16" i="47" s="1"/>
  <c r="AL16" i="47"/>
  <c r="M19" i="47"/>
  <c r="B20" i="47"/>
  <c r="AN11" i="47"/>
  <c r="AI12" i="47"/>
  <c r="Y11" i="47"/>
  <c r="F46" i="47"/>
  <c r="AQ17" i="47" s="1"/>
  <c r="D46" i="43"/>
  <c r="C49" i="43"/>
  <c r="C48" i="43"/>
  <c r="C47" i="43"/>
  <c r="C46" i="43"/>
  <c r="C45" i="43"/>
  <c r="AS17" i="47" l="1"/>
  <c r="AL17" i="47"/>
  <c r="B21" i="47"/>
  <c r="AN12" i="47"/>
  <c r="AI13" i="47"/>
  <c r="J12" i="47"/>
  <c r="F47" i="47"/>
  <c r="BK18" i="47" s="1"/>
  <c r="D47" i="43"/>
  <c r="B3" i="43"/>
  <c r="C52" i="43" s="1"/>
  <c r="B9" i="43" s="1"/>
  <c r="BM18" i="47" l="1"/>
  <c r="AQ18" i="47"/>
  <c r="AL18" i="47"/>
  <c r="B22" i="47"/>
  <c r="AN13" i="47"/>
  <c r="AI14" i="47"/>
  <c r="J13" i="47"/>
  <c r="F48" i="47"/>
  <c r="AS18" i="47" l="1"/>
  <c r="AQ19" i="47"/>
  <c r="B23" i="47"/>
  <c r="AN14" i="47"/>
  <c r="AI15" i="47"/>
  <c r="J14" i="47"/>
  <c r="F49" i="47"/>
  <c r="B14" i="43"/>
  <c r="AV19" i="47" l="1"/>
  <c r="BK19" i="47"/>
  <c r="AS19" i="47"/>
  <c r="AQ20" i="47"/>
  <c r="AL19" i="47"/>
  <c r="AL20" i="47" s="1"/>
  <c r="B24" i="47"/>
  <c r="AN15" i="47"/>
  <c r="AI16" i="47"/>
  <c r="J15" i="47"/>
  <c r="F50" i="47"/>
  <c r="B15" i="43"/>
  <c r="AS20" i="47" l="1"/>
  <c r="AQ21" i="47"/>
  <c r="BM19" i="47"/>
  <c r="BK20" i="47"/>
  <c r="AX19" i="47"/>
  <c r="AV20" i="47"/>
  <c r="B25" i="47"/>
  <c r="O18" i="47"/>
  <c r="AN16" i="47"/>
  <c r="AI17" i="47"/>
  <c r="J16" i="47"/>
  <c r="F51" i="47"/>
  <c r="B16" i="43"/>
  <c r="BM20" i="47" l="1"/>
  <c r="BK21" i="47"/>
  <c r="AQ22" i="47"/>
  <c r="AX20" i="47"/>
  <c r="AV21" i="47"/>
  <c r="B26" i="47"/>
  <c r="O19" i="47"/>
  <c r="AN17" i="47"/>
  <c r="J17" i="47"/>
  <c r="F52" i="47"/>
  <c r="B17" i="43"/>
  <c r="AQ23" i="47" l="1"/>
  <c r="BM21" i="47"/>
  <c r="BK22" i="47"/>
  <c r="AX21" i="47"/>
  <c r="AV22" i="47"/>
  <c r="B27" i="47"/>
  <c r="AN18" i="47"/>
  <c r="I44" i="47"/>
  <c r="B18" i="43"/>
  <c r="AX22" i="47" l="1"/>
  <c r="AV23" i="47"/>
  <c r="BK23" i="47"/>
  <c r="BM22" i="47"/>
  <c r="AQ24" i="47"/>
  <c r="B28" i="47"/>
  <c r="AN19" i="47"/>
  <c r="I45" i="47"/>
  <c r="B19" i="43"/>
  <c r="BM23" i="47" l="1"/>
  <c r="BK24" i="47"/>
  <c r="AX23" i="47"/>
  <c r="AV24" i="47"/>
  <c r="AX24" i="47" s="1"/>
  <c r="B29" i="47"/>
  <c r="AS21" i="47"/>
  <c r="AN20" i="47"/>
  <c r="I46" i="47"/>
  <c r="B20" i="43"/>
  <c r="BM24" i="47" l="1"/>
  <c r="BK25" i="47"/>
  <c r="AQ25" i="47"/>
  <c r="AV25" i="47"/>
  <c r="B30" i="47"/>
  <c r="AS22" i="47"/>
  <c r="I47" i="47"/>
  <c r="B21" i="43"/>
  <c r="BK26" i="47" l="1"/>
  <c r="BM25" i="47"/>
  <c r="AV26" i="47"/>
  <c r="AQ26" i="47"/>
  <c r="AQ27" i="47" s="1"/>
  <c r="B31" i="47"/>
  <c r="AS23" i="47"/>
  <c r="I48" i="47"/>
  <c r="B22" i="43"/>
  <c r="BM26" i="47" l="1"/>
  <c r="BK27" i="47"/>
  <c r="AV27" i="47"/>
  <c r="B32" i="47"/>
  <c r="I49" i="47"/>
  <c r="B23" i="43"/>
  <c r="BM27" i="47" l="1"/>
  <c r="BK28" i="47"/>
  <c r="AV28" i="47"/>
  <c r="AQ28" i="47"/>
  <c r="AS24" i="47"/>
  <c r="I50" i="47"/>
  <c r="B24" i="43"/>
  <c r="BM28" i="47" l="1"/>
  <c r="BK29" i="47"/>
  <c r="AV29" i="47"/>
  <c r="AQ29" i="47"/>
  <c r="I51" i="47"/>
  <c r="B25" i="43"/>
  <c r="BM29" i="47" l="1"/>
  <c r="BK30" i="47"/>
  <c r="AV30" i="47"/>
  <c r="AQ30" i="47"/>
  <c r="I52" i="47"/>
  <c r="B26" i="43"/>
  <c r="BM30" i="47" l="1"/>
  <c r="BK31" i="47"/>
  <c r="M20" i="47"/>
  <c r="H18" i="47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N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AQ31" i="47"/>
  <c r="AV31" i="47"/>
  <c r="E11" i="47"/>
  <c r="B27" i="43"/>
  <c r="BM31" i="47" l="1"/>
  <c r="BK32" i="47"/>
  <c r="BM32" i="47" s="1"/>
  <c r="M21" i="47"/>
  <c r="O20" i="47"/>
  <c r="AB32" i="47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BC17" i="47"/>
  <c r="BH12" i="47"/>
  <c r="AN21" i="47"/>
  <c r="AS25" i="47"/>
  <c r="AX25" i="47"/>
  <c r="AI19" i="47"/>
  <c r="Y12" i="47"/>
  <c r="J18" i="47"/>
  <c r="T11" i="47"/>
  <c r="AD11" i="47"/>
  <c r="B28" i="43"/>
  <c r="M22" i="47" l="1"/>
  <c r="O21" i="47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M23" i="47" l="1"/>
  <c r="O22" i="47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M24" i="47" l="1"/>
  <c r="O23" i="47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M25" i="47" l="1"/>
  <c r="O24" i="47"/>
  <c r="BC21" i="47"/>
  <c r="BH16" i="47"/>
  <c r="AN25" i="47"/>
  <c r="AX29" i="47"/>
  <c r="AS29" i="47"/>
  <c r="AI23" i="47"/>
  <c r="Y16" i="47"/>
  <c r="J22" i="47"/>
  <c r="T15" i="47"/>
  <c r="AD15" i="47"/>
  <c r="E16" i="47"/>
  <c r="M26" i="47" l="1"/>
  <c r="O25" i="47"/>
  <c r="BH17" i="47"/>
  <c r="BC22" i="47"/>
  <c r="AN26" i="47"/>
  <c r="AS30" i="47"/>
  <c r="AX30" i="47"/>
  <c r="AI24" i="47"/>
  <c r="J23" i="47"/>
  <c r="Y17" i="47"/>
  <c r="AD16" i="47"/>
  <c r="T16" i="47"/>
  <c r="E17" i="47"/>
  <c r="M27" i="47" l="1"/>
  <c r="O26" i="47"/>
  <c r="BC23" i="47"/>
  <c r="BH18" i="47"/>
  <c r="AN27" i="47"/>
  <c r="AI25" i="47"/>
  <c r="Y18" i="47"/>
  <c r="J24" i="47"/>
  <c r="T17" i="47"/>
  <c r="AD17" i="47"/>
  <c r="E18" i="47"/>
  <c r="M28" i="47" l="1"/>
  <c r="O27" i="47"/>
  <c r="BH19" i="47"/>
  <c r="BC24" i="47"/>
  <c r="AN28" i="47"/>
  <c r="AI26" i="47"/>
  <c r="J25" i="47"/>
  <c r="Y19" i="47"/>
  <c r="AD18" i="47"/>
  <c r="T18" i="47"/>
  <c r="E19" i="47"/>
  <c r="M29" i="47" l="1"/>
  <c r="O28" i="47"/>
  <c r="BC25" i="47"/>
  <c r="BH20" i="47"/>
  <c r="AN29" i="47"/>
  <c r="AI27" i="47"/>
  <c r="J26" i="47"/>
  <c r="Y20" i="47"/>
  <c r="T19" i="47"/>
  <c r="AD19" i="47"/>
  <c r="E20" i="47"/>
  <c r="M30" i="47" l="1"/>
  <c r="O29" i="47"/>
  <c r="BH21" i="47"/>
  <c r="BC26" i="47"/>
  <c r="AN30" i="47"/>
  <c r="AI28" i="47"/>
  <c r="Y21" i="47"/>
  <c r="J27" i="47"/>
  <c r="T20" i="47"/>
  <c r="AD20" i="47"/>
  <c r="E21" i="47"/>
  <c r="M31" i="47" l="1"/>
  <c r="O30" i="47"/>
  <c r="BC27" i="47"/>
  <c r="BH22" i="47"/>
  <c r="AI29" i="47"/>
  <c r="J28" i="47"/>
  <c r="Y22" i="47"/>
  <c r="T21" i="47"/>
  <c r="AD21" i="47"/>
  <c r="E22" i="47"/>
  <c r="M32" i="47" l="1"/>
  <c r="O32" i="47" s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117" i="31"/>
  <c r="I95" i="31"/>
  <c r="I128" i="31"/>
  <c r="I192" i="31"/>
  <c r="I84" i="31"/>
  <c r="I106" i="31"/>
  <c r="I204" i="31" l="1"/>
  <c r="I237" i="31"/>
  <c r="I226" i="31"/>
  <c r="I215" i="31"/>
  <c r="I118" i="31"/>
  <c r="I107" i="31"/>
  <c r="I96" i="31"/>
  <c r="I129" i="31"/>
  <c r="I227" i="31" l="1"/>
  <c r="I238" i="31"/>
  <c r="I216" i="31"/>
  <c r="I119" i="31"/>
  <c r="I108" i="31"/>
  <c r="I130" i="31"/>
  <c r="I228" i="31" l="1"/>
  <c r="I239" i="31"/>
  <c r="I131" i="31"/>
  <c r="I120" i="31"/>
  <c r="I240" i="31" l="1"/>
  <c r="I132" i="3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M31" i="25" l="1"/>
  <c r="AQ31" i="25"/>
  <c r="AN31" i="25"/>
  <c r="BM31" i="25"/>
  <c r="AL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M32" i="25" l="1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M33" i="25" l="1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M34" i="25" l="1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BK21" i="25" s="1"/>
  <c r="L25" i="43" l="1"/>
  <c r="BK22" i="25" s="1"/>
  <c r="G24" i="43"/>
  <c r="L26" i="43" l="1"/>
  <c r="BK23" i="25" s="1"/>
  <c r="G25" i="43"/>
  <c r="L27" i="43" l="1"/>
  <c r="BK24" i="25" s="1"/>
  <c r="G26" i="43"/>
  <c r="L28" i="43" l="1"/>
  <c r="BK25" i="25" s="1"/>
  <c r="G27" i="43"/>
  <c r="L29" i="43" l="1"/>
  <c r="BK26" i="25" s="1"/>
  <c r="G28" i="43"/>
  <c r="J28" i="43" s="1"/>
  <c r="L30" i="43" l="1"/>
  <c r="BK27" i="25" s="1"/>
  <c r="G29" i="43"/>
  <c r="J29" i="43" s="1"/>
  <c r="B21" i="77"/>
  <c r="K28" i="43"/>
  <c r="L31" i="43" l="1"/>
  <c r="BK28" i="25" s="1"/>
  <c r="G30" i="43"/>
  <c r="J30" i="43" s="1"/>
  <c r="B22" i="77"/>
  <c r="K29" i="43"/>
  <c r="L32" i="43" l="1"/>
  <c r="BK29" i="25" s="1"/>
  <c r="G31" i="43"/>
  <c r="J31" i="43" s="1"/>
  <c r="B23" i="77"/>
  <c r="K30" i="43"/>
  <c r="L33" i="43" l="1"/>
  <c r="BK30" i="25" s="1"/>
  <c r="G32" i="43"/>
  <c r="J32" i="43" s="1"/>
  <c r="B24" i="77"/>
  <c r="K31" i="43"/>
  <c r="G33" i="43" l="1"/>
  <c r="L34" i="43"/>
  <c r="BK31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32" i="25" s="1"/>
  <c r="J34" i="43" l="1"/>
  <c r="K34" i="43" s="1"/>
  <c r="G35" i="43"/>
  <c r="L36" i="43"/>
  <c r="BK33" i="25" s="1"/>
  <c r="J35" i="43" l="1"/>
  <c r="K35" i="43" s="1"/>
  <c r="G36" i="43"/>
  <c r="L37" i="43"/>
  <c r="BK34" i="25" l="1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BC13" i="25" l="1"/>
  <c r="BC14" i="25"/>
  <c r="BC15" i="25"/>
  <c r="BC16" i="25"/>
  <c r="BC18" i="25"/>
  <c r="BC19" i="25"/>
  <c r="BC26" i="25"/>
  <c r="BC30" i="25"/>
  <c r="BC31" i="25"/>
  <c r="BC17" i="25"/>
  <c r="CU19" i="25" l="1"/>
  <c r="CY19" i="25" s="1"/>
  <c r="CU17" i="25"/>
  <c r="CY17" i="25" s="1"/>
  <c r="CU14" i="25"/>
  <c r="CY14" i="25" s="1"/>
  <c r="CU15" i="25"/>
  <c r="CY15" i="25" s="1"/>
  <c r="CU13" i="25"/>
  <c r="CY13" i="25" s="1"/>
  <c r="CU16" i="25"/>
  <c r="CY16" i="25" s="1"/>
  <c r="CU18" i="25"/>
  <c r="CY18" i="25" s="1"/>
  <c r="BC20" i="25" l="1"/>
  <c r="CU20" i="25" l="1"/>
  <c r="CY20" i="25" s="1"/>
  <c r="BC21" i="25"/>
  <c r="CU21" i="25" l="1"/>
  <c r="CY21" i="25" s="1"/>
  <c r="BC22" i="25"/>
  <c r="CU22" i="25" l="1"/>
  <c r="CY22" i="25" s="1"/>
  <c r="BC23" i="25"/>
  <c r="CU23" i="25" l="1"/>
  <c r="CY23" i="25" s="1"/>
  <c r="BC24" i="25"/>
  <c r="CU24" i="25" s="1"/>
  <c r="CY24" i="25" s="1"/>
  <c r="BC25" i="25" l="1"/>
  <c r="CU26" i="25" l="1"/>
  <c r="CY26" i="25" s="1"/>
  <c r="CU25" i="25"/>
  <c r="CY25" i="25" s="1"/>
  <c r="BC27" i="25" l="1"/>
  <c r="CU27" i="25" s="1"/>
  <c r="CY27" i="25" s="1"/>
  <c r="BC28" i="25" l="1"/>
  <c r="BC29" i="25" l="1"/>
  <c r="CU29" i="25" s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S29" i="25"/>
  <c r="CS30" i="25"/>
  <c r="CR30" i="25"/>
  <c r="CY29" i="25" l="1"/>
  <c r="AZ31" i="25"/>
  <c r="BA31" i="25"/>
  <c r="BB30" i="25" l="1"/>
  <c r="CT30" i="25" s="1"/>
  <c r="CY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A74" i="25"/>
  <c r="CT33" i="25"/>
  <c r="CY33" i="25" s="1"/>
  <c r="CT32" i="25" l="1"/>
  <c r="CY32" i="25" s="1"/>
  <c r="CT34" i="25"/>
  <c r="CY34" i="25" s="1"/>
  <c r="C15" i="25" l="1"/>
  <c r="C17" i="25"/>
  <c r="C13" i="25"/>
  <c r="C18" i="25"/>
  <c r="C19" i="25"/>
  <c r="C14" i="25"/>
  <c r="C16" i="25"/>
  <c r="C20" i="25"/>
  <c r="C21" i="25"/>
  <c r="C22" i="25"/>
  <c r="C24" i="25"/>
  <c r="C23" i="25"/>
  <c r="C25" i="25"/>
  <c r="C26" i="25"/>
  <c r="C27" i="25"/>
  <c r="C28" i="25"/>
  <c r="C29" i="25"/>
  <c r="C30" i="25"/>
  <c r="C32" i="25"/>
  <c r="C34" i="25"/>
  <c r="C31" i="25"/>
  <c r="C33" i="25"/>
  <c r="D97" i="31" l="1"/>
  <c r="K97" i="31"/>
  <c r="O23" i="31"/>
  <c r="K77" i="31"/>
  <c r="D77" i="31"/>
  <c r="D128" i="31"/>
  <c r="K128" i="31"/>
  <c r="K82" i="31"/>
  <c r="D82" i="31"/>
  <c r="D72" i="31"/>
  <c r="K72" i="31"/>
  <c r="D62" i="31"/>
  <c r="K62" i="31"/>
  <c r="K76" i="31"/>
  <c r="D76" i="31"/>
  <c r="K125" i="31"/>
  <c r="D125" i="31"/>
  <c r="K21" i="31"/>
  <c r="D21" i="31"/>
  <c r="K116" i="31"/>
  <c r="D116" i="31"/>
  <c r="K17" i="31"/>
  <c r="D17" i="31"/>
  <c r="K31" i="31"/>
  <c r="D31" i="31"/>
  <c r="D84" i="31"/>
  <c r="K84" i="31"/>
  <c r="D18" i="31"/>
  <c r="K18" i="31"/>
  <c r="K107" i="31"/>
  <c r="D107" i="31"/>
  <c r="D24" i="31"/>
  <c r="K24" i="31"/>
  <c r="D19" i="31"/>
  <c r="K19" i="31"/>
  <c r="D14" i="31"/>
  <c r="K14" i="31"/>
  <c r="D27" i="31"/>
  <c r="K27" i="31"/>
  <c r="K47" i="31"/>
  <c r="D47" i="31"/>
  <c r="K126" i="31"/>
  <c r="D126" i="31"/>
  <c r="K118" i="31"/>
  <c r="D118" i="31"/>
  <c r="D121" i="31"/>
  <c r="K121" i="31"/>
  <c r="O25" i="31"/>
  <c r="D130" i="31"/>
  <c r="K130" i="31"/>
  <c r="D58" i="31"/>
  <c r="K58" i="31"/>
  <c r="K50" i="31"/>
  <c r="D50" i="31"/>
  <c r="D89" i="31"/>
  <c r="K89" i="31"/>
  <c r="D79" i="31"/>
  <c r="K79" i="31"/>
  <c r="K75" i="31"/>
  <c r="D75" i="31"/>
  <c r="O22" i="31"/>
  <c r="K85" i="31"/>
  <c r="D85" i="31"/>
  <c r="K42" i="31"/>
  <c r="D42" i="31"/>
  <c r="D99" i="31"/>
  <c r="K99" i="31"/>
  <c r="K15" i="31"/>
  <c r="D15" i="31"/>
  <c r="D68" i="31"/>
  <c r="K68" i="31"/>
  <c r="K92" i="31"/>
  <c r="D92" i="31"/>
  <c r="K29" i="31"/>
  <c r="D29" i="31"/>
  <c r="K94" i="31"/>
  <c r="D94" i="31"/>
  <c r="K95" i="31"/>
  <c r="D95" i="31"/>
  <c r="D57" i="31"/>
  <c r="K57" i="31"/>
  <c r="D28" i="31"/>
  <c r="K28" i="31"/>
  <c r="D132" i="31"/>
  <c r="K132" i="31"/>
  <c r="D55" i="31"/>
  <c r="K55" i="31"/>
  <c r="K127" i="31"/>
  <c r="D127" i="31"/>
  <c r="D39" i="31"/>
  <c r="K39" i="31"/>
  <c r="K32" i="31"/>
  <c r="D32" i="31"/>
  <c r="K22" i="31"/>
  <c r="D22" i="31"/>
  <c r="D80" i="31"/>
  <c r="K80" i="31"/>
  <c r="K90" i="31"/>
  <c r="D90" i="31"/>
  <c r="D33" i="31"/>
  <c r="K33" i="31"/>
  <c r="K93" i="31"/>
  <c r="D93" i="31"/>
  <c r="K104" i="31"/>
  <c r="D104" i="31"/>
  <c r="K112" i="31"/>
  <c r="D112" i="31"/>
  <c r="D20" i="31"/>
  <c r="K20" i="31"/>
  <c r="D53" i="31"/>
  <c r="K53" i="31"/>
  <c r="K49" i="31"/>
  <c r="O19" i="31"/>
  <c r="D49" i="31"/>
  <c r="O24" i="31"/>
  <c r="D109" i="31"/>
  <c r="K109" i="31"/>
  <c r="D105" i="31"/>
  <c r="K105" i="31"/>
  <c r="D98" i="31"/>
  <c r="K98" i="31"/>
  <c r="D86" i="31"/>
  <c r="K86" i="31"/>
  <c r="D26" i="31"/>
  <c r="K26" i="31"/>
  <c r="D91" i="31"/>
  <c r="K91" i="31"/>
  <c r="D34" i="31"/>
  <c r="K34" i="31"/>
  <c r="D63" i="31"/>
  <c r="K63" i="31"/>
  <c r="K73" i="31"/>
  <c r="D73" i="31"/>
  <c r="O21" i="31"/>
  <c r="D67" i="31"/>
  <c r="K67" i="31"/>
  <c r="D108" i="31"/>
  <c r="K108" i="31"/>
  <c r="D81" i="31"/>
  <c r="K81" i="31"/>
  <c r="K115" i="31"/>
  <c r="D115" i="31"/>
  <c r="D83" i="31"/>
  <c r="K83" i="31"/>
  <c r="D113" i="31"/>
  <c r="K113" i="31"/>
  <c r="D101" i="31"/>
  <c r="K101" i="31"/>
  <c r="K117" i="31"/>
  <c r="D117" i="31"/>
  <c r="K64" i="31"/>
  <c r="D64" i="31"/>
  <c r="D114" i="31"/>
  <c r="K114" i="31"/>
  <c r="K43" i="31"/>
  <c r="D43" i="31"/>
  <c r="D23" i="31"/>
  <c r="K23" i="31"/>
  <c r="D46" i="31"/>
  <c r="K46" i="31"/>
  <c r="D52" i="31"/>
  <c r="K52" i="31"/>
  <c r="D30" i="31"/>
  <c r="K30" i="31"/>
  <c r="D119" i="31"/>
  <c r="K119" i="31"/>
  <c r="D100" i="31"/>
  <c r="K100" i="31"/>
  <c r="K102" i="31"/>
  <c r="D102" i="31"/>
  <c r="K129" i="31"/>
  <c r="D129" i="31"/>
  <c r="D25" i="31"/>
  <c r="K25" i="31"/>
  <c r="O17" i="31"/>
  <c r="D12" i="31"/>
  <c r="G12" i="31" s="1"/>
  <c r="K87" i="31"/>
  <c r="D87" i="31"/>
  <c r="K65" i="31"/>
  <c r="D65" i="31"/>
  <c r="D59" i="31"/>
  <c r="K59" i="31"/>
  <c r="K120" i="31"/>
  <c r="D120" i="31"/>
  <c r="D16" i="31"/>
  <c r="K16" i="31"/>
  <c r="K96" i="31"/>
  <c r="D96" i="31"/>
  <c r="D88" i="31"/>
  <c r="K88" i="31"/>
  <c r="D56" i="31"/>
  <c r="K56" i="31"/>
  <c r="D44" i="31"/>
  <c r="K44" i="31"/>
  <c r="D106" i="31"/>
  <c r="K106" i="31"/>
  <c r="D70" i="31"/>
  <c r="K70" i="31"/>
  <c r="D41" i="31"/>
  <c r="K41" i="31"/>
  <c r="D103" i="31"/>
  <c r="K103" i="31"/>
  <c r="K122" i="31"/>
  <c r="D122" i="31"/>
  <c r="K71" i="31"/>
  <c r="D71" i="31"/>
  <c r="D111" i="31"/>
  <c r="K111" i="31"/>
  <c r="K54" i="31"/>
  <c r="D54" i="31"/>
  <c r="D38" i="31"/>
  <c r="K38" i="31"/>
  <c r="K48" i="31"/>
  <c r="D48" i="31"/>
  <c r="D124" i="31"/>
  <c r="K124" i="31"/>
  <c r="K45" i="31"/>
  <c r="D45" i="31"/>
  <c r="D13" i="31"/>
  <c r="K13" i="31"/>
  <c r="O16" i="31"/>
  <c r="K35" i="31"/>
  <c r="D35" i="31"/>
  <c r="D110" i="31"/>
  <c r="K110" i="31"/>
  <c r="D131" i="31"/>
  <c r="K131" i="31"/>
  <c r="K61" i="31"/>
  <c r="O20" i="31"/>
  <c r="D61" i="31"/>
  <c r="D74" i="31"/>
  <c r="K74" i="31"/>
  <c r="D37" i="31"/>
  <c r="K37" i="31"/>
  <c r="O18" i="31"/>
  <c r="K36" i="31"/>
  <c r="D36" i="31"/>
  <c r="K78" i="31"/>
  <c r="D78" i="31"/>
  <c r="D40" i="31"/>
  <c r="K40" i="31"/>
  <c r="D69" i="31"/>
  <c r="K69" i="31"/>
  <c r="K60" i="31"/>
  <c r="D60" i="31"/>
  <c r="D51" i="31"/>
  <c r="K51" i="31"/>
  <c r="K66" i="31"/>
  <c r="D66" i="31"/>
  <c r="D123" i="31"/>
  <c r="K123" i="31"/>
  <c r="N18" i="31" l="1"/>
  <c r="N17" i="31"/>
  <c r="N21" i="31"/>
  <c r="N24" i="31"/>
  <c r="N19" i="31"/>
  <c r="N25" i="31"/>
  <c r="N16" i="31"/>
  <c r="N22" i="31"/>
  <c r="N23" i="31"/>
  <c r="K5" i="31"/>
  <c r="K4" i="31"/>
  <c r="N20" i="31"/>
  <c r="R17" i="31" l="1"/>
  <c r="R25" i="31"/>
  <c r="R23" i="31"/>
  <c r="R19" i="31"/>
  <c r="R18" i="31"/>
  <c r="R20" i="31"/>
  <c r="R22" i="31"/>
  <c r="R24" i="31"/>
  <c r="R16" i="31"/>
  <c r="R21" i="31"/>
  <c r="K6" i="31"/>
  <c r="B5" i="31" s="1"/>
  <c r="M7" i="31"/>
  <c r="K3" i="25"/>
  <c r="G9" i="25" l="1"/>
  <c r="B5" i="25"/>
  <c r="B5" i="66" l="1"/>
  <c r="B5" i="28"/>
  <c r="B4" i="31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20" i="31" l="1"/>
  <c r="G44" i="31"/>
  <c r="G36" i="31"/>
  <c r="G104" i="31"/>
  <c r="G74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90" i="31"/>
  <c r="G69" i="31"/>
  <c r="G39" i="31"/>
  <c r="G78" i="31"/>
  <c r="G102" i="31"/>
  <c r="G111" i="31"/>
  <c r="G107" i="31"/>
  <c r="G63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106" i="31"/>
  <c r="G45" i="31"/>
  <c r="G81" i="31"/>
  <c r="G26" i="31"/>
  <c r="G29" i="31"/>
  <c r="G66" i="31"/>
  <c r="G91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60" i="31" l="1"/>
  <c r="G127" i="31"/>
  <c r="G21" i="31"/>
  <c r="G96" i="31"/>
  <c r="G132" i="31"/>
  <c r="G126" i="31"/>
  <c r="G125" i="31"/>
  <c r="G131" i="31"/>
  <c r="G128" i="31"/>
  <c r="G129" i="31"/>
  <c r="G22" i="31"/>
  <c r="G23" i="31"/>
  <c r="G72" i="31"/>
  <c r="G48" i="31"/>
  <c r="G123" i="31"/>
  <c r="G124" i="31"/>
  <c r="G130" i="31"/>
  <c r="G122" i="31"/>
  <c r="G18" i="31"/>
  <c r="G84" i="31"/>
  <c r="E17" i="25"/>
  <c r="E19" i="25"/>
  <c r="E13" i="25"/>
  <c r="M16" i="31" l="1"/>
  <c r="E13" i="31"/>
  <c r="M22" i="31"/>
  <c r="E85" i="31"/>
  <c r="E61" i="31"/>
  <c r="M20" i="31"/>
  <c r="E15" i="25"/>
  <c r="E18" i="25"/>
  <c r="E21" i="25"/>
  <c r="E20" i="25"/>
  <c r="E14" i="25"/>
  <c r="G13" i="25"/>
  <c r="G17" i="25"/>
  <c r="E22" i="25"/>
  <c r="E16" i="25"/>
  <c r="G19" i="25"/>
  <c r="C15" i="96" l="1"/>
  <c r="C13" i="96"/>
  <c r="C9" i="96"/>
  <c r="M18" i="31"/>
  <c r="E37" i="31"/>
  <c r="G85" i="31"/>
  <c r="M24" i="31"/>
  <c r="E109" i="31"/>
  <c r="P22" i="31"/>
  <c r="Q22" i="31"/>
  <c r="M25" i="31"/>
  <c r="E121" i="31"/>
  <c r="M17" i="31"/>
  <c r="E25" i="31"/>
  <c r="E49" i="31"/>
  <c r="M19" i="31"/>
  <c r="P20" i="31"/>
  <c r="Q20" i="31"/>
  <c r="G13" i="31"/>
  <c r="M21" i="31"/>
  <c r="E73" i="31"/>
  <c r="E97" i="31"/>
  <c r="M23" i="31"/>
  <c r="G61" i="31"/>
  <c r="P16" i="31"/>
  <c r="Q16" i="31"/>
  <c r="G20" i="25"/>
  <c r="G21" i="25"/>
  <c r="G16" i="25"/>
  <c r="G14" i="25"/>
  <c r="G15" i="25"/>
  <c r="G18" i="25"/>
  <c r="G22" i="25"/>
  <c r="C12" i="96" l="1"/>
  <c r="C16" i="96"/>
  <c r="C11" i="96"/>
  <c r="C18" i="96"/>
  <c r="C10" i="96"/>
  <c r="C17" i="96"/>
  <c r="C14" i="96"/>
  <c r="G73" i="31"/>
  <c r="Q17" i="31"/>
  <c r="P17" i="31"/>
  <c r="G37" i="31"/>
  <c r="Q21" i="31"/>
  <c r="P21" i="31"/>
  <c r="P19" i="31"/>
  <c r="Q19" i="31"/>
  <c r="G121" i="31"/>
  <c r="G109" i="31"/>
  <c r="Q18" i="31"/>
  <c r="P18" i="31"/>
  <c r="P23" i="31"/>
  <c r="Q23" i="31"/>
  <c r="G49" i="31"/>
  <c r="Q25" i="31"/>
  <c r="P25" i="31"/>
  <c r="P24" i="31"/>
  <c r="Q24" i="31"/>
  <c r="G97" i="31"/>
  <c r="G25" i="31"/>
  <c r="F10" i="31"/>
  <c r="F7" i="31"/>
  <c r="F9" i="31"/>
  <c r="D182" i="31" l="1"/>
  <c r="K182" i="31"/>
  <c r="K137" i="31"/>
  <c r="D137" i="31"/>
  <c r="D204" i="31"/>
  <c r="K204" i="31"/>
  <c r="K138" i="31"/>
  <c r="D138" i="31"/>
  <c r="D144" i="31"/>
  <c r="K144" i="31"/>
  <c r="D139" i="31"/>
  <c r="K139" i="31"/>
  <c r="D134" i="31"/>
  <c r="K134" i="31"/>
  <c r="K147" i="31"/>
  <c r="D147" i="31"/>
  <c r="D167" i="31"/>
  <c r="K167" i="31"/>
  <c r="K238" i="31"/>
  <c r="D238" i="31"/>
  <c r="D178" i="31"/>
  <c r="K178" i="31"/>
  <c r="D170" i="31"/>
  <c r="K170" i="31"/>
  <c r="K209" i="31"/>
  <c r="D209" i="31"/>
  <c r="K199" i="31"/>
  <c r="D199" i="31"/>
  <c r="K195" i="31"/>
  <c r="D195" i="31"/>
  <c r="K205" i="31"/>
  <c r="O32" i="31"/>
  <c r="D205" i="31"/>
  <c r="D162" i="31"/>
  <c r="K162" i="31"/>
  <c r="K219" i="31"/>
  <c r="D219" i="31"/>
  <c r="D135" i="31"/>
  <c r="K135" i="31"/>
  <c r="D188" i="31"/>
  <c r="K188" i="31"/>
  <c r="D212" i="31"/>
  <c r="K212" i="31"/>
  <c r="D220" i="31"/>
  <c r="K220" i="31"/>
  <c r="K196" i="31"/>
  <c r="D196" i="31"/>
  <c r="D141" i="31"/>
  <c r="K141" i="31"/>
  <c r="K236" i="31"/>
  <c r="D236" i="31"/>
  <c r="K151" i="31"/>
  <c r="D151" i="31"/>
  <c r="D227" i="31"/>
  <c r="K227" i="31"/>
  <c r="K175" i="31"/>
  <c r="D175" i="31"/>
  <c r="D159" i="31"/>
  <c r="K159" i="31"/>
  <c r="D152" i="31"/>
  <c r="K152" i="31"/>
  <c r="D142" i="31"/>
  <c r="K142" i="31"/>
  <c r="K200" i="31"/>
  <c r="D200" i="31"/>
  <c r="D210" i="31"/>
  <c r="K210" i="31"/>
  <c r="K153" i="31"/>
  <c r="D153" i="31"/>
  <c r="D213" i="31"/>
  <c r="K213" i="31"/>
  <c r="K224" i="31"/>
  <c r="D224" i="31"/>
  <c r="D232" i="31"/>
  <c r="K232" i="31"/>
  <c r="D140" i="31"/>
  <c r="K140" i="31"/>
  <c r="K173" i="31"/>
  <c r="D173" i="31"/>
  <c r="O29" i="31"/>
  <c r="K169" i="31"/>
  <c r="D169" i="31"/>
  <c r="K229" i="31"/>
  <c r="O34" i="31"/>
  <c r="D229" i="31"/>
  <c r="D225" i="31"/>
  <c r="K225" i="31"/>
  <c r="K218" i="31"/>
  <c r="D218" i="31"/>
  <c r="D206" i="31"/>
  <c r="K206" i="31"/>
  <c r="K146" i="31"/>
  <c r="D146" i="31"/>
  <c r="K211" i="31"/>
  <c r="D211" i="31"/>
  <c r="K154" i="31"/>
  <c r="D154" i="31"/>
  <c r="D183" i="31"/>
  <c r="K183" i="31"/>
  <c r="D193" i="31"/>
  <c r="K193" i="31"/>
  <c r="O31" i="31"/>
  <c r="K187" i="31"/>
  <c r="D187" i="31"/>
  <c r="D228" i="31"/>
  <c r="K228" i="31"/>
  <c r="K201" i="31"/>
  <c r="D201" i="31"/>
  <c r="K235" i="31"/>
  <c r="D235" i="31"/>
  <c r="D203" i="31"/>
  <c r="K203" i="31"/>
  <c r="K233" i="31"/>
  <c r="D233" i="31"/>
  <c r="D221" i="31"/>
  <c r="K221" i="31"/>
  <c r="D237" i="31"/>
  <c r="K237" i="31"/>
  <c r="D184" i="31"/>
  <c r="K184" i="31"/>
  <c r="K234" i="31"/>
  <c r="D234" i="31"/>
  <c r="K163" i="31"/>
  <c r="D163" i="31"/>
  <c r="D143" i="31"/>
  <c r="K143" i="31"/>
  <c r="K217" i="31"/>
  <c r="O33" i="31"/>
  <c r="D217" i="31"/>
  <c r="D149" i="31"/>
  <c r="K149" i="31"/>
  <c r="K172" i="31"/>
  <c r="D172" i="31"/>
  <c r="K202" i="31"/>
  <c r="D202" i="31"/>
  <c r="K215" i="31"/>
  <c r="D215" i="31"/>
  <c r="K177" i="31"/>
  <c r="D177" i="31"/>
  <c r="K192" i="31"/>
  <c r="D192" i="31"/>
  <c r="O27" i="31"/>
  <c r="K145" i="31"/>
  <c r="D145" i="31"/>
  <c r="K148" i="31"/>
  <c r="D148" i="31"/>
  <c r="K207" i="31"/>
  <c r="D207" i="31"/>
  <c r="D150" i="31"/>
  <c r="K150" i="31"/>
  <c r="D185" i="31"/>
  <c r="K185" i="31"/>
  <c r="D239" i="31"/>
  <c r="K239" i="31"/>
  <c r="D179" i="31"/>
  <c r="K179" i="31"/>
  <c r="K166" i="31"/>
  <c r="D166" i="31"/>
  <c r="K197" i="31"/>
  <c r="D197" i="31"/>
  <c r="K222" i="31"/>
  <c r="D222" i="31"/>
  <c r="D214" i="31"/>
  <c r="K214" i="31"/>
  <c r="D240" i="31"/>
  <c r="K240" i="31"/>
  <c r="K136" i="31"/>
  <c r="D136" i="31"/>
  <c r="D216" i="31"/>
  <c r="K216" i="31"/>
  <c r="D208" i="31"/>
  <c r="K208" i="31"/>
  <c r="K176" i="31"/>
  <c r="D176" i="31"/>
  <c r="D164" i="31"/>
  <c r="K164" i="31"/>
  <c r="K226" i="31"/>
  <c r="D226" i="31"/>
  <c r="K190" i="31"/>
  <c r="D190" i="31"/>
  <c r="K161" i="31"/>
  <c r="D161" i="31"/>
  <c r="D223" i="31"/>
  <c r="K223" i="31"/>
  <c r="D191" i="31"/>
  <c r="K191" i="31"/>
  <c r="K231" i="31"/>
  <c r="D231" i="31"/>
  <c r="K174" i="31"/>
  <c r="D174" i="31"/>
  <c r="K158" i="31"/>
  <c r="D158" i="31"/>
  <c r="K168" i="31"/>
  <c r="D168" i="31"/>
  <c r="K165" i="31"/>
  <c r="D165" i="31"/>
  <c r="O26" i="31"/>
  <c r="D133" i="31"/>
  <c r="K133" i="31"/>
  <c r="K155" i="31"/>
  <c r="D155" i="31"/>
  <c r="K230" i="31"/>
  <c r="D230" i="31"/>
  <c r="O30" i="31"/>
  <c r="D181" i="31"/>
  <c r="K181" i="31"/>
  <c r="D194" i="31"/>
  <c r="K194" i="31"/>
  <c r="K157" i="31"/>
  <c r="O28" i="31"/>
  <c r="D157" i="31"/>
  <c r="D156" i="31"/>
  <c r="K156" i="31"/>
  <c r="K198" i="31"/>
  <c r="D198" i="31"/>
  <c r="K160" i="31"/>
  <c r="D160" i="31"/>
  <c r="K189" i="31"/>
  <c r="D189" i="31"/>
  <c r="K180" i="31"/>
  <c r="D180" i="31"/>
  <c r="D171" i="31"/>
  <c r="K171" i="31"/>
  <c r="D186" i="31"/>
  <c r="K186" i="31"/>
  <c r="D9" i="31"/>
  <c r="D10" i="31"/>
  <c r="D7" i="31"/>
  <c r="C49" i="25" l="1"/>
  <c r="C53" i="25"/>
  <c r="C57" i="25"/>
  <c r="N28" i="31"/>
  <c r="N26" i="31"/>
  <c r="N33" i="31"/>
  <c r="N29" i="31"/>
  <c r="N30" i="31"/>
  <c r="N34" i="31"/>
  <c r="O35" i="31"/>
  <c r="N27" i="31"/>
  <c r="N31" i="31"/>
  <c r="N32" i="31"/>
  <c r="R32" i="31" l="1"/>
  <c r="R26" i="31"/>
  <c r="R31" i="31"/>
  <c r="R33" i="31"/>
  <c r="R34" i="31"/>
  <c r="R29" i="31"/>
  <c r="R27" i="31"/>
  <c r="R30" i="31"/>
  <c r="R28" i="31"/>
  <c r="O36" i="31"/>
  <c r="N35" i="31" l="1"/>
  <c r="O37" i="31"/>
  <c r="R35" i="31" l="1"/>
  <c r="N36" i="31"/>
  <c r="N38" i="31"/>
  <c r="O38" i="31"/>
  <c r="N37" i="31"/>
  <c r="R36" i="31" l="1"/>
  <c r="R38" i="31"/>
  <c r="R37" i="31"/>
  <c r="E161" i="31" l="1"/>
  <c r="E152" i="31"/>
  <c r="E206" i="31"/>
  <c r="E219" i="31"/>
  <c r="E213" i="31"/>
  <c r="E221" i="31"/>
  <c r="E218" i="31"/>
  <c r="E171" i="31"/>
  <c r="E147" i="31"/>
  <c r="E197" i="31"/>
  <c r="E183" i="31"/>
  <c r="E194" i="31"/>
  <c r="E170" i="31"/>
  <c r="E227" i="31"/>
  <c r="E223" i="31"/>
  <c r="E187" i="31"/>
  <c r="E224" i="31"/>
  <c r="E188" i="31"/>
  <c r="E202" i="31"/>
  <c r="E195" i="31"/>
  <c r="E150" i="31"/>
  <c r="E178" i="31"/>
  <c r="E211" i="31"/>
  <c r="E228" i="31"/>
  <c r="E172" i="31"/>
  <c r="E222" i="31"/>
  <c r="E191" i="31"/>
  <c r="E158" i="31"/>
  <c r="E144" i="31"/>
  <c r="E207" i="31"/>
  <c r="E186" i="31"/>
  <c r="E162" i="31"/>
  <c r="E198" i="31"/>
  <c r="E184" i="31"/>
  <c r="E156" i="31"/>
  <c r="E199" i="31"/>
  <c r="E177" i="31"/>
  <c r="E149" i="31"/>
  <c r="E225" i="31"/>
  <c r="E173" i="31"/>
  <c r="E135" i="31"/>
  <c r="E163" i="31"/>
  <c r="E164" i="31"/>
  <c r="E166" i="31"/>
  <c r="E146" i="31"/>
  <c r="E139" i="31"/>
  <c r="E137" i="31"/>
  <c r="E201" i="31"/>
  <c r="E140" i="31"/>
  <c r="E167" i="31"/>
  <c r="E214" i="31"/>
  <c r="E159" i="31"/>
  <c r="E151" i="31"/>
  <c r="E165" i="31"/>
  <c r="E209" i="31"/>
  <c r="E200" i="31"/>
  <c r="E176" i="31"/>
  <c r="E160" i="31"/>
  <c r="E226" i="31"/>
  <c r="E215" i="31"/>
  <c r="E189" i="31"/>
  <c r="E182" i="31"/>
  <c r="E196" i="31"/>
  <c r="E148" i="31"/>
  <c r="E190" i="31"/>
  <c r="E179" i="31"/>
  <c r="E208" i="31"/>
  <c r="E175" i="31"/>
  <c r="E153" i="31"/>
  <c r="E136" i="31"/>
  <c r="E220" i="31"/>
  <c r="E174" i="31"/>
  <c r="E154" i="31"/>
  <c r="E212" i="31"/>
  <c r="E134" i="31"/>
  <c r="E155" i="31"/>
  <c r="E203" i="31"/>
  <c r="E210" i="31"/>
  <c r="E185" i="31"/>
  <c r="G210" i="31" l="1"/>
  <c r="G189" i="31"/>
  <c r="G226" i="31"/>
  <c r="G165" i="31"/>
  <c r="G159" i="31"/>
  <c r="G140" i="31"/>
  <c r="G201" i="31"/>
  <c r="G146" i="31"/>
  <c r="G164" i="31"/>
  <c r="G149" i="31"/>
  <c r="G156" i="31"/>
  <c r="G198" i="31"/>
  <c r="G186" i="31"/>
  <c r="G222" i="31"/>
  <c r="G211" i="31"/>
  <c r="G224" i="31"/>
  <c r="G227" i="31"/>
  <c r="G194" i="31"/>
  <c r="G183" i="31"/>
  <c r="G197" i="31"/>
  <c r="G206" i="31"/>
  <c r="G185" i="31"/>
  <c r="G203" i="31"/>
  <c r="G174" i="31"/>
  <c r="G220" i="31"/>
  <c r="G190" i="31"/>
  <c r="G200" i="31"/>
  <c r="G173" i="31"/>
  <c r="G177" i="31"/>
  <c r="G158" i="31"/>
  <c r="G228" i="31"/>
  <c r="G195" i="31"/>
  <c r="G187" i="31"/>
  <c r="G223" i="31"/>
  <c r="G171" i="31"/>
  <c r="G221" i="31"/>
  <c r="G213" i="31"/>
  <c r="G161" i="31"/>
  <c r="G134" i="31"/>
  <c r="G212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218" i="31"/>
  <c r="G155" i="31"/>
  <c r="G154" i="31"/>
  <c r="G136" i="31"/>
  <c r="G175" i="31"/>
  <c r="G208" i="31"/>
  <c r="G179" i="31"/>
  <c r="G148" i="31"/>
  <c r="G196" i="31"/>
  <c r="G182" i="31"/>
  <c r="G215" i="31"/>
  <c r="G160" i="31"/>
  <c r="G209" i="31"/>
  <c r="G214" i="31"/>
  <c r="G137" i="31"/>
  <c r="G139" i="31"/>
  <c r="G225" i="31"/>
  <c r="G199" i="31"/>
  <c r="G184" i="31"/>
  <c r="G162" i="31"/>
  <c r="G207" i="31"/>
  <c r="G178" i="31"/>
  <c r="G202" i="31"/>
  <c r="G188" i="31"/>
  <c r="G219" i="31"/>
  <c r="G152" i="31"/>
  <c r="E231" i="31"/>
  <c r="E230" i="31"/>
  <c r="E237" i="31"/>
  <c r="E233" i="31"/>
  <c r="E236" i="31"/>
  <c r="E234" i="31"/>
  <c r="E238" i="31"/>
  <c r="E240" i="31"/>
  <c r="E239" i="31"/>
  <c r="E235" i="31"/>
  <c r="E232" i="31"/>
  <c r="E180" i="31"/>
  <c r="E168" i="31"/>
  <c r="E216" i="31"/>
  <c r="E204" i="31"/>
  <c r="E192" i="31"/>
  <c r="E141" i="31"/>
  <c r="E143" i="31"/>
  <c r="E142" i="31"/>
  <c r="E138" i="31"/>
  <c r="G180" i="31" l="1"/>
  <c r="G239" i="31"/>
  <c r="G238" i="31"/>
  <c r="G236" i="31"/>
  <c r="G237" i="31"/>
  <c r="G231" i="31"/>
  <c r="G141" i="31"/>
  <c r="G216" i="31"/>
  <c r="G232" i="31"/>
  <c r="G142" i="31"/>
  <c r="G143" i="31"/>
  <c r="G192" i="31"/>
  <c r="G168" i="31"/>
  <c r="G138" i="31"/>
  <c r="G204" i="31"/>
  <c r="G235" i="31"/>
  <c r="G240" i="31"/>
  <c r="G234" i="31"/>
  <c r="G233" i="31"/>
  <c r="G230" i="31"/>
  <c r="E23" i="25"/>
  <c r="E29" i="25"/>
  <c r="E27" i="25"/>
  <c r="E181" i="31" l="1"/>
  <c r="M30" i="31"/>
  <c r="E133" i="31"/>
  <c r="M26" i="31"/>
  <c r="M32" i="31"/>
  <c r="E205" i="31"/>
  <c r="E25" i="25"/>
  <c r="E31" i="25"/>
  <c r="G29" i="25"/>
  <c r="C10" i="31"/>
  <c r="E24" i="25"/>
  <c r="E30" i="25"/>
  <c r="G23" i="25"/>
  <c r="G27" i="25"/>
  <c r="C7" i="31"/>
  <c r="E28" i="25"/>
  <c r="E26" i="25"/>
  <c r="C9" i="31"/>
  <c r="C19" i="96" l="1"/>
  <c r="C23" i="96"/>
  <c r="G10" i="31"/>
  <c r="G57" i="25" s="1"/>
  <c r="E57" i="25"/>
  <c r="G7" i="31"/>
  <c r="G53" i="25" s="1"/>
  <c r="E53" i="25"/>
  <c r="G9" i="31"/>
  <c r="G50" i="25" s="1"/>
  <c r="E50" i="25"/>
  <c r="M28" i="31"/>
  <c r="E157" i="31"/>
  <c r="G205" i="31"/>
  <c r="E229" i="31"/>
  <c r="M34" i="31"/>
  <c r="P32" i="31"/>
  <c r="Q32" i="31"/>
  <c r="M29" i="31"/>
  <c r="E169" i="31"/>
  <c r="P26" i="31"/>
  <c r="Q26" i="31"/>
  <c r="Q30" i="31"/>
  <c r="P30" i="31"/>
  <c r="E145" i="31"/>
  <c r="M27" i="31"/>
  <c r="E193" i="31"/>
  <c r="M31" i="31"/>
  <c r="E217" i="31"/>
  <c r="M33" i="31"/>
  <c r="G133" i="31"/>
  <c r="G181" i="31"/>
  <c r="G26" i="25"/>
  <c r="E7" i="31"/>
  <c r="G30" i="25"/>
  <c r="G31" i="25"/>
  <c r="G24" i="25"/>
  <c r="E10" i="31"/>
  <c r="E32" i="25"/>
  <c r="G25" i="25"/>
  <c r="E9" i="31"/>
  <c r="G28" i="25"/>
  <c r="C26" i="96" l="1"/>
  <c r="C20" i="96"/>
  <c r="C22" i="96"/>
  <c r="C21" i="96"/>
  <c r="I75" i="25"/>
  <c r="P33" i="31"/>
  <c r="Q33" i="31"/>
  <c r="Q27" i="31"/>
  <c r="P27" i="31"/>
  <c r="G169" i="31"/>
  <c r="Q34" i="31"/>
  <c r="P34" i="31"/>
  <c r="G157" i="31"/>
  <c r="G217" i="31"/>
  <c r="G145" i="31"/>
  <c r="Q29" i="31"/>
  <c r="P29" i="31"/>
  <c r="G229" i="31"/>
  <c r="P28" i="31"/>
  <c r="Q28" i="31"/>
  <c r="Q31" i="31"/>
  <c r="P31" i="31"/>
  <c r="M35" i="31"/>
  <c r="G193" i="31"/>
  <c r="G32" i="25"/>
  <c r="E33" i="25"/>
  <c r="Q35" i="31" l="1"/>
  <c r="P35" i="31"/>
  <c r="M36" i="31"/>
  <c r="E34" i="25"/>
  <c r="G33" i="25"/>
  <c r="Q36" i="31" l="1"/>
  <c r="P36" i="31"/>
  <c r="M37" i="31"/>
  <c r="G34" i="25"/>
  <c r="M38" i="31" l="1"/>
  <c r="P37" i="31"/>
  <c r="Q37" i="31"/>
  <c r="P38" i="31" l="1"/>
  <c r="Q38" i="31"/>
  <c r="I15" i="96" l="1"/>
  <c r="I13" i="96"/>
  <c r="I9" i="96"/>
  <c r="I11" i="96" l="1"/>
  <c r="I10" i="96"/>
  <c r="I16" i="96"/>
  <c r="I14" i="96"/>
  <c r="I12" i="96"/>
  <c r="I17" i="96"/>
  <c r="I18" i="96"/>
  <c r="O16" i="28"/>
  <c r="C9" i="28" l="1"/>
  <c r="C37" i="28" l="1"/>
  <c r="C21" i="28"/>
  <c r="C36" i="28" l="1"/>
  <c r="C17" i="28"/>
  <c r="C27" i="28"/>
  <c r="C28" i="28"/>
  <c r="C35" i="28"/>
  <c r="C33" i="28"/>
  <c r="C22" i="28"/>
  <c r="C23" i="28"/>
  <c r="C20" i="28"/>
  <c r="C29" i="28"/>
  <c r="C30" i="28"/>
  <c r="C18" i="28"/>
  <c r="C31" i="28"/>
  <c r="C25" i="28"/>
  <c r="C38" i="28"/>
  <c r="C19" i="28"/>
  <c r="C26" i="28"/>
  <c r="C32" i="28"/>
  <c r="C34" i="28"/>
  <c r="C24" i="28"/>
  <c r="I21" i="96" l="1"/>
  <c r="I22" i="96" l="1"/>
  <c r="I20" i="96"/>
  <c r="I19" i="96"/>
  <c r="I23" i="96"/>
  <c r="I26" i="96"/>
  <c r="I27" i="96" s="1"/>
  <c r="E13" i="96" l="1"/>
  <c r="K13" i="96" s="1"/>
  <c r="E9" i="96"/>
  <c r="K9" i="96" s="1"/>
  <c r="E15" i="96"/>
  <c r="K15" i="96" s="1"/>
  <c r="E11" i="96" l="1"/>
  <c r="K11" i="96" s="1"/>
  <c r="E16" i="96"/>
  <c r="K16" i="96" s="1"/>
  <c r="E14" i="96"/>
  <c r="K14" i="96" s="1"/>
  <c r="E17" i="96"/>
  <c r="K17" i="96" s="1"/>
  <c r="E10" i="96"/>
  <c r="K10" i="96" s="1"/>
  <c r="E18" i="96"/>
  <c r="K18" i="96" s="1"/>
  <c r="E12" i="96"/>
  <c r="K12" i="96" s="1"/>
  <c r="E19" i="96" l="1"/>
  <c r="K19" i="96" s="1"/>
  <c r="E23" i="96"/>
  <c r="K23" i="96" s="1"/>
  <c r="E26" i="96"/>
  <c r="K26" i="96" s="1"/>
  <c r="K27" i="96" s="1"/>
  <c r="E20" i="96" l="1"/>
  <c r="K20" i="96" s="1"/>
  <c r="E22" i="96"/>
  <c r="K22" i="96" s="1"/>
  <c r="E21" i="96"/>
  <c r="K21" i="96" s="1"/>
  <c r="D13" i="96" l="1"/>
  <c r="J13" i="96" s="1"/>
  <c r="D9" i="96"/>
  <c r="J9" i="96" s="1"/>
  <c r="D15" i="96"/>
  <c r="J15" i="96" s="1"/>
  <c r="D18" i="96" l="1"/>
  <c r="J18" i="96" s="1"/>
  <c r="D14" i="96"/>
  <c r="J14" i="96" s="1"/>
  <c r="D17" i="96"/>
  <c r="J17" i="96" s="1"/>
  <c r="D10" i="96"/>
  <c r="J10" i="96" s="1"/>
  <c r="D12" i="96"/>
  <c r="J12" i="96" s="1"/>
  <c r="D16" i="96"/>
  <c r="J16" i="96" s="1"/>
  <c r="D11" i="96"/>
  <c r="J11" i="96" s="1"/>
  <c r="D19" i="96" l="1"/>
  <c r="J19" i="96" s="1"/>
  <c r="D23" i="96"/>
  <c r="J23" i="96" s="1"/>
  <c r="D21" i="96" l="1"/>
  <c r="J21" i="96" s="1"/>
  <c r="D20" i="96"/>
  <c r="J20" i="96" s="1"/>
  <c r="D22" i="96"/>
  <c r="J22" i="96" s="1"/>
  <c r="D26" i="96"/>
  <c r="J26" i="96" s="1"/>
  <c r="J27" i="96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<sst xmlns="http://schemas.openxmlformats.org/spreadsheetml/2006/main" count="1386" uniqueCount="259">
  <si>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</si>
  <si>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</si>
  <si>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</si>
  <si>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</si>
  <si>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</si>
  <si>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</si>
  <si>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</si>
  <si>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</si>
  <si>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</si>
  <si>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</si>
  <si>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</si>
  <si>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</si>
  <si>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</si>
  <si>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</si>
  <si>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</si>
  <si>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</si>
  <si>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</si>
  <si>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</si>
  <si>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</si>
  <si>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</si>
  <si>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</si>
  <si>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</si>
  <si>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</si>
  <si>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</si>
  <si>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</si>
  <si>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</si>
  <si>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</si>
  <si>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</si>
  <si>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</si>
  <si>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</si>
  <si>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</si>
  <si>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</si>
  <si>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</si>
  <si>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</si>
  <si>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</si>
  <si>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</si>
  <si>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</si>
  <si>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</si>
  <si>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</si>
  <si>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</si>
  <si>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</si>
  <si>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</si>
  <si>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</si>
  <si>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</si>
  <si>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</si>
  <si>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</si>
  <si>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</si>
  <si>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</si>
  <si>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</si>
  <si>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</si>
  <si>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</si>
  <si>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</si>
  <si>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</si>
  <si>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</si>
  <si>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</si>
  <si>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</si>
  <si>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</si>
  <si>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</si>
  <si>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</si>
  <si>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</si>
  <si>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</si>
  <si>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</si>
  <si>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</si>
  <si>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</si>
  <si>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</si>
  <si>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</si>
  <si>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</si>
  <si>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</si>
  <si>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</si>
  <si>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</si>
  <si>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</si>
  <si>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</si>
  <si>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</si>
  <si>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</si>
  <si>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</si>
  <si>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</si>
  <si>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</si>
  <si>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</si>
  <si>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</si>
  <si>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</si>
  <si>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</si>
  <si>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</si>
  <si>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</si>
  <si>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</si>
  <si>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</si>
  <si>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</si>
  <si>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</si>
  <si>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</si>
  <si>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</si>
  <si>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</si>
  <si>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</si>
  <si>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</si>
  <si>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</si>
  <si>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</si>
  <si>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</si>
  <si>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</si>
  <si>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</si>
  <si>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</si>
  <si>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</si>
  <si>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</si>
  <si>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</si>
  <si>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</si>
  <si>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</si>
  <si>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</si>
  <si>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</si>
  <si>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</si>
  <si>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</si>
  <si>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</si>
  <si>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</si>
  <si>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</si>
  <si>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</si>
  <si>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</si>
  <si>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</si>
  <si>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</si>
  <si>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</si>
  <si>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</si>
  <si>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</si>
  <si>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</si>
  <si>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</si>
  <si>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</si>
  <si>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</si>
  <si>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</si>
  <si>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</si>
  <si>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</si>
  <si>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</si>
  <si>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</si>
  <si>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</si>
  <si>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</si>
  <si>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</si>
  <si>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</si>
  <si>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</si>
  <si>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</si>
  <si>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</si>
  <si>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</si>
  <si>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</si>
  <si>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</si>
  <si>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</si>
  <si>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</si>
  <si>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</si>
  <si>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</si>
  <si>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</si>
  <si>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</si>
  <si>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</si>
  <si>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</si>
  <si>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</si>
  <si>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</si>
  <si>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</si>
  <si>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</si>
  <si>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Utah S, Transmission Integration-2023</t>
  </si>
  <si>
    <t>Utah S, Transmission Integration-2030</t>
  </si>
  <si>
    <t>Retail Revenue Requirement
($/kW-year, 2033$)</t>
  </si>
  <si>
    <t>Retail Revenue Requirement
($/kW-year, 2030$)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</si>
  <si>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</si>
  <si>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</si>
  <si>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</si>
  <si>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</si>
  <si>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</si>
  <si>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</si>
  <si>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2021 IRP Borah Solar with Storage</t>
  </si>
  <si>
    <t>Plant Costs  - 2021 IRP Update - Table 7.1 &amp; 7.2</t>
  </si>
  <si>
    <t>2020 $</t>
  </si>
  <si>
    <t>2021 IRP Wyoming Wind Resource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</si>
  <si>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</si>
  <si>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</si>
  <si>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</si>
  <si>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</si>
  <si>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</si>
  <si>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</si>
  <si>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</si>
  <si>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</si>
  <si>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</si>
  <si>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</si>
  <si>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</si>
  <si>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</si>
  <si>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</si>
  <si>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</si>
  <si>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</si>
  <si>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</si>
  <si>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2021 IRP Transmission Costs</t>
  </si>
  <si>
    <t>0% PTC</t>
  </si>
  <si>
    <t>IRP 2021</t>
  </si>
  <si>
    <t>Discount Rate - 2021 IRP</t>
  </si>
  <si>
    <t>2033 $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</si>
  <si>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</si>
  <si>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</si>
  <si>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</si>
  <si>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</si>
  <si>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</si>
  <si>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</si>
  <si>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>Non Emitting - 196 MW- East Side Resource (5,050')</t>
  </si>
  <si>
    <t xml:space="preserve">2021 IRP Sm Adv Nuclear Resource Costs </t>
  </si>
  <si>
    <t>Sm Adv Nuclear - 196 MW- East Side Resource (5,050')</t>
  </si>
  <si>
    <t>2021 IRP Wyoming DJ Wind Resource</t>
  </si>
  <si>
    <t>2021 IRP Wilamette Valley Resource</t>
  </si>
  <si>
    <t>2021 IRP Portland North Coast Wind Resource</t>
  </si>
  <si>
    <t xml:space="preserve">Plexos Properties file </t>
  </si>
  <si>
    <t>VO&amp;M</t>
  </si>
  <si>
    <t>2021 IRP Southern Oregon Solar with Storage</t>
  </si>
  <si>
    <t>2021 IRP Yakima Solar with Storage</t>
  </si>
  <si>
    <t>2021 IRP UTN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</si>
  <si>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</si>
  <si>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</si>
  <si>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</si>
  <si>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</si>
  <si>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</si>
  <si>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</si>
  <si>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</si>
  <si>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</si>
  <si>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</si>
  <si>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</si>
  <si>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</si>
  <si>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</si>
  <si>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</si>
  <si>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2032$</t>
  </si>
  <si>
    <t>2030 $</t>
  </si>
  <si>
    <t>IRP21_UTN_Non_Emitting_2033_T</t>
  </si>
  <si>
    <t>IRP21_BAT_WYE_DJ_Wyodak</t>
  </si>
  <si>
    <t>IRP21_NTN_Non_Emitting_2033_T</t>
  </si>
  <si>
    <t>2029 $</t>
  </si>
  <si>
    <t>2030$</t>
  </si>
  <si>
    <t>2021 IRP UTS Solar with Storage</t>
  </si>
  <si>
    <t>2021 IRP Stand Alone Battery WY DJ</t>
  </si>
  <si>
    <t xml:space="preserve">2021 IRP Non Emitting UTN Peaker Resource Costs </t>
  </si>
  <si>
    <t xml:space="preserve">2021 IRP Non Emitting NTN Peaker Resource Costs </t>
  </si>
  <si>
    <t>15 Year Starting 2025</t>
  </si>
  <si>
    <t>15 Year Starting 2024</t>
  </si>
  <si>
    <t>15 Year Starting 2022</t>
  </si>
  <si>
    <t>Appendix B.1</t>
  </si>
  <si>
    <t>Avoided Cost Prices $/MWh</t>
  </si>
  <si>
    <t>Utah 2021.Q2 Sch 38</t>
  </si>
  <si>
    <t>Thermal</t>
  </si>
  <si>
    <t>Solar Tracking</t>
  </si>
  <si>
    <t>Wind (Defers UT W)</t>
  </si>
  <si>
    <t>UT 2021.Q2</t>
  </si>
  <si>
    <t>100% CF (2)</t>
  </si>
  <si>
    <t>31.1% CF (2)</t>
  </si>
  <si>
    <t>29.4% CF (2)</t>
  </si>
  <si>
    <t>Difference</t>
  </si>
  <si>
    <t>2022-2036</t>
  </si>
  <si>
    <t>Footnotes:</t>
  </si>
  <si>
    <t>2021 IRP Yakima Wind Resource</t>
  </si>
  <si>
    <t>UT 2021.Q3</t>
  </si>
  <si>
    <t>(1)   Discount Rate - 2021 IRP</t>
  </si>
  <si>
    <t>15-Year Levelized Prices (Nominal) @ 6.88% Discount Rate (1) (3)</t>
  </si>
  <si>
    <t>Utah 2021.Q3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</si>
  <si>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</si>
  <si>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</si>
  <si>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</si>
  <si>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</si>
  <si>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</si>
  <si>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</si>
  <si>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</si>
  <si>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</si>
  <si>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</si>
  <si>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</si>
  <si>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</si>
  <si>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</si>
  <si>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</si>
  <si>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Avoided Cost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</si>
</sst>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35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4" fontId="5" fillId="6" borderId="0" xfId="8" applyNumberFormat="1" applyFont="1" applyFill="1" applyAlignment="1">
      <alignment horizontal="right"/>
    </xf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2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Exhibit GND-1 - 5.24.2005" xfId="31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2%20-%20UT%202021.Q2%20-%20AC%20Study%20NON-CONF%20S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3%20-%20UT%202021.Q2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>
        <row r="26">
          <cell r="C26">
            <v>33.67</v>
          </cell>
        </row>
      </sheetData>
      <sheetData sheetId="1">
        <row r="13">
          <cell r="B13">
            <v>2022</v>
          </cell>
          <cell r="C13">
            <v>0</v>
          </cell>
          <cell r="E13">
            <v>20.863240416876177</v>
          </cell>
          <cell r="G13">
            <v>20.863240416876177</v>
          </cell>
        </row>
        <row r="14">
          <cell r="B14">
            <v>2023</v>
          </cell>
          <cell r="C14">
            <v>0</v>
          </cell>
          <cell r="E14">
            <v>19.193009357488325</v>
          </cell>
          <cell r="G14">
            <v>19.193009357488325</v>
          </cell>
        </row>
        <row r="15">
          <cell r="B15">
            <v>2024</v>
          </cell>
          <cell r="C15">
            <v>33.335501838918496</v>
          </cell>
          <cell r="E15">
            <v>3.6489255575382264</v>
          </cell>
          <cell r="G15">
            <v>15.618218211783921</v>
          </cell>
        </row>
        <row r="16">
          <cell r="B16">
            <v>2025</v>
          </cell>
          <cell r="C16">
            <v>34.103346888532748</v>
          </cell>
          <cell r="E16">
            <v>5.4311106891923648</v>
          </cell>
          <cell r="G16">
            <v>17.77077972166504</v>
          </cell>
        </row>
        <row r="17">
          <cell r="B17">
            <v>2026</v>
          </cell>
          <cell r="C17">
            <v>34.88852697353996</v>
          </cell>
          <cell r="E17">
            <v>6.0994834909368008</v>
          </cell>
          <cell r="G17">
            <v>18.786691542536452</v>
          </cell>
        </row>
        <row r="18">
          <cell r="B18">
            <v>2027</v>
          </cell>
          <cell r="C18">
            <v>35.691633544506246</v>
          </cell>
          <cell r="E18">
            <v>6.447043733263599</v>
          </cell>
          <cell r="G18">
            <v>19.491523816455629</v>
          </cell>
        </row>
        <row r="19">
          <cell r="B19">
            <v>2028</v>
          </cell>
          <cell r="C19">
            <v>36.512666601431611</v>
          </cell>
          <cell r="E19">
            <v>8.1443060291385461</v>
          </cell>
          <cell r="G19">
            <v>21.519888972742869</v>
          </cell>
        </row>
        <row r="20">
          <cell r="B20">
            <v>2029</v>
          </cell>
          <cell r="C20">
            <v>37.387479116234175</v>
          </cell>
          <cell r="E20">
            <v>8.7850831948621781</v>
          </cell>
          <cell r="G20">
            <v>22.587030614914688</v>
          </cell>
        </row>
        <row r="21">
          <cell r="B21">
            <v>2030</v>
          </cell>
          <cell r="C21">
            <v>38.247950442269477</v>
          </cell>
          <cell r="E21">
            <v>6.6679783340834318</v>
          </cell>
          <cell r="G21">
            <v>20.858529754670602</v>
          </cell>
        </row>
        <row r="22">
          <cell r="B22">
            <v>2031</v>
          </cell>
          <cell r="C22">
            <v>39.129933551455672</v>
          </cell>
          <cell r="E22">
            <v>7.6148083819671601</v>
          </cell>
          <cell r="G22">
            <v>22.205542294276466</v>
          </cell>
        </row>
        <row r="23">
          <cell r="B23">
            <v>2032</v>
          </cell>
          <cell r="C23">
            <v>40.029843146600932</v>
          </cell>
          <cell r="E23">
            <v>8.0228270611354837</v>
          </cell>
          <cell r="G23">
            <v>22.983830774519404</v>
          </cell>
        </row>
        <row r="24">
          <cell r="B24">
            <v>2033</v>
          </cell>
          <cell r="C24">
            <v>40.951264524897077</v>
          </cell>
          <cell r="E24">
            <v>7.6936864074686051</v>
          </cell>
          <cell r="G24">
            <v>23.117408015517686</v>
          </cell>
        </row>
        <row r="25">
          <cell r="B25">
            <v>2034</v>
          </cell>
          <cell r="C25">
            <v>41.8941976863441</v>
          </cell>
          <cell r="E25">
            <v>8.3152991203541173</v>
          </cell>
          <cell r="G25">
            <v>24.173454107176632</v>
          </cell>
        </row>
        <row r="26">
          <cell r="B26">
            <v>2035</v>
          </cell>
          <cell r="C26">
            <v>42.858642630942015</v>
          </cell>
          <cell r="E26">
            <v>8.6829578468237614</v>
          </cell>
          <cell r="G26">
            <v>24.987706737536506</v>
          </cell>
        </row>
        <row r="27">
          <cell r="B27">
            <v>2036</v>
          </cell>
          <cell r="C27">
            <v>43.844599358690807</v>
          </cell>
          <cell r="E27">
            <v>9.5978088013341907</v>
          </cell>
          <cell r="G27">
            <v>26.316436387846604</v>
          </cell>
        </row>
        <row r="28">
          <cell r="B28">
            <v>2037</v>
          </cell>
          <cell r="C28">
            <v>44.852067869590478</v>
          </cell>
          <cell r="E28">
            <v>10.301903271255508</v>
          </cell>
          <cell r="G28">
            <v>27.536932033860882</v>
          </cell>
        </row>
        <row r="29">
          <cell r="B29">
            <v>2038</v>
          </cell>
          <cell r="C29">
            <v>45.884633460832852</v>
          </cell>
          <cell r="E29">
            <v>10.564036754503235</v>
          </cell>
          <cell r="G29">
            <v>28.284445156374897</v>
          </cell>
        </row>
        <row r="30">
          <cell r="B30">
            <v>2039</v>
          </cell>
          <cell r="C30">
            <v>46.938710835226104</v>
          </cell>
          <cell r="E30">
            <v>10.807009599856807</v>
          </cell>
          <cell r="G30">
            <v>28.93449723833967</v>
          </cell>
        </row>
        <row r="31">
          <cell r="B31">
            <v>2040</v>
          </cell>
          <cell r="C31">
            <v>48.017885289962052</v>
          </cell>
          <cell r="E31">
            <v>11.055570820653514</v>
          </cell>
          <cell r="G31">
            <v>29.599830058524045</v>
          </cell>
        </row>
        <row r="32">
          <cell r="B32">
            <v>2041</v>
          </cell>
          <cell r="C32">
            <v>49.071962664355297</v>
          </cell>
          <cell r="E32">
            <v>11.298023753541189</v>
          </cell>
          <cell r="G32">
            <v>30.284618293723003</v>
          </cell>
        </row>
        <row r="33">
          <cell r="B33">
            <v>2042</v>
          </cell>
          <cell r="C33">
            <v>50.151137119091246</v>
          </cell>
          <cell r="E33">
            <v>11.546580276119094</v>
          </cell>
          <cell r="G33">
            <v>30.950721755483688</v>
          </cell>
        </row>
        <row r="34">
          <cell r="B34">
            <v>2043</v>
          </cell>
          <cell r="C34">
            <v>51.302017517663479</v>
          </cell>
          <cell r="E34">
            <v>11.812151622469834</v>
          </cell>
          <cell r="G34">
            <v>31.661584023687162</v>
          </cell>
        </row>
        <row r="35">
          <cell r="B35">
            <v>2044</v>
          </cell>
          <cell r="C35">
            <v>51.302017517663479</v>
          </cell>
          <cell r="E35">
            <v>12.07201895816417</v>
          </cell>
          <cell r="G35">
            <v>31.9214513593815</v>
          </cell>
        </row>
        <row r="36">
          <cell r="B36">
            <v>2045</v>
          </cell>
          <cell r="C36">
            <v>51.302017517663479</v>
          </cell>
          <cell r="E36" t="e">
            <v>#DIV/0!</v>
          </cell>
          <cell r="G36" t="e">
            <v>#DIV/0!</v>
          </cell>
        </row>
        <row r="37">
          <cell r="B37">
            <v>2046</v>
          </cell>
          <cell r="C37">
            <v>51.302017517663479</v>
          </cell>
          <cell r="E37" t="e">
            <v>#DIV/0!</v>
          </cell>
          <cell r="G37" t="e">
            <v>#DIV/0!</v>
          </cell>
        </row>
        <row r="38">
          <cell r="B38">
            <v>2047</v>
          </cell>
          <cell r="C38">
            <v>51.302017517663479</v>
          </cell>
          <cell r="E38" t="e">
            <v>#DIV/0!</v>
          </cell>
          <cell r="G38" t="e">
            <v>#DIV/0!</v>
          </cell>
        </row>
        <row r="50">
          <cell r="G50">
            <v>20.648150886191782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3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3 - UT 2021"/>
      <sheetName val="Appendix B.3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23.30426674578851</v>
          </cell>
          <cell r="F13">
            <v>0</v>
          </cell>
          <cell r="G13">
            <v>23.30426674578851</v>
          </cell>
        </row>
        <row r="14">
          <cell r="B14">
            <v>2023</v>
          </cell>
          <cell r="C14">
            <v>122.85098350109672</v>
          </cell>
          <cell r="D14">
            <v>0</v>
          </cell>
          <cell r="E14">
            <v>-21.855559340398727</v>
          </cell>
          <cell r="F14">
            <v>0</v>
          </cell>
          <cell r="G14">
            <v>25.75436772508915</v>
          </cell>
        </row>
        <row r="15">
          <cell r="B15">
            <v>2024</v>
          </cell>
          <cell r="C15">
            <v>125.57995173945581</v>
          </cell>
          <cell r="D15">
            <v>0</v>
          </cell>
          <cell r="E15">
            <v>-21.591034491143262</v>
          </cell>
          <cell r="F15">
            <v>0</v>
          </cell>
          <cell r="G15">
            <v>27.038119561241633</v>
          </cell>
        </row>
        <row r="16">
          <cell r="B16">
            <v>2025</v>
          </cell>
          <cell r="C16">
            <v>128.4542585376978</v>
          </cell>
          <cell r="D16">
            <v>0</v>
          </cell>
          <cell r="E16">
            <v>-22.47418741809976</v>
          </cell>
          <cell r="F16">
            <v>0</v>
          </cell>
          <cell r="G16">
            <v>27.307244573256813</v>
          </cell>
        </row>
        <row r="17">
          <cell r="B17">
            <v>2026</v>
          </cell>
          <cell r="C17">
            <v>131.40412761572171</v>
          </cell>
          <cell r="D17">
            <v>0</v>
          </cell>
          <cell r="E17">
            <v>-22.412025103501751</v>
          </cell>
          <cell r="F17">
            <v>0</v>
          </cell>
          <cell r="G17">
            <v>28.512605319442478</v>
          </cell>
        </row>
        <row r="18">
          <cell r="B18">
            <v>2027</v>
          </cell>
          <cell r="C18">
            <v>134.41941539900432</v>
          </cell>
          <cell r="D18">
            <v>0</v>
          </cell>
          <cell r="E18">
            <v>-23.151590091688007</v>
          </cell>
          <cell r="F18">
            <v>0</v>
          </cell>
          <cell r="G18">
            <v>28.94159126469064</v>
          </cell>
        </row>
        <row r="19">
          <cell r="B19">
            <v>2028</v>
          </cell>
          <cell r="C19">
            <v>137.51482272018799</v>
          </cell>
          <cell r="D19">
            <v>0</v>
          </cell>
          <cell r="E19">
            <v>-22.757140199404233</v>
          </cell>
          <cell r="F19">
            <v>0</v>
          </cell>
          <cell r="G19">
            <v>30.493632761717787</v>
          </cell>
        </row>
        <row r="20">
          <cell r="B20">
            <v>2029</v>
          </cell>
          <cell r="C20">
            <v>140.77708449186289</v>
          </cell>
          <cell r="D20">
            <v>0</v>
          </cell>
          <cell r="E20">
            <v>-23.225930634332357</v>
          </cell>
          <cell r="F20">
            <v>0</v>
          </cell>
          <cell r="G20">
            <v>31.331115098148739</v>
          </cell>
        </row>
        <row r="21">
          <cell r="B21">
            <v>2030</v>
          </cell>
          <cell r="C21">
            <v>144.00332922356392</v>
          </cell>
          <cell r="D21">
            <v>0</v>
          </cell>
          <cell r="E21">
            <v>-23.890276259100389</v>
          </cell>
          <cell r="F21">
            <v>0</v>
          </cell>
          <cell r="G21">
            <v>31.917075103781549</v>
          </cell>
        </row>
        <row r="22">
          <cell r="B22">
            <v>2031</v>
          </cell>
          <cell r="C22">
            <v>147.30969349316607</v>
          </cell>
          <cell r="D22">
            <v>0</v>
          </cell>
          <cell r="E22">
            <v>-23.769498422725718</v>
          </cell>
          <cell r="F22">
            <v>0</v>
          </cell>
          <cell r="G22">
            <v>33.319208263830014</v>
          </cell>
        </row>
        <row r="23">
          <cell r="B23">
            <v>2032</v>
          </cell>
          <cell r="C23">
            <v>150.69162004255011</v>
          </cell>
          <cell r="D23">
            <v>0</v>
          </cell>
          <cell r="E23">
            <v>-24.374297844596821</v>
          </cell>
          <cell r="F23">
            <v>0</v>
          </cell>
          <cell r="G23">
            <v>33.979013364315243</v>
          </cell>
        </row>
        <row r="24">
          <cell r="B24">
            <v>2033</v>
          </cell>
          <cell r="C24">
            <v>154.13896529719281</v>
          </cell>
          <cell r="D24">
            <v>0</v>
          </cell>
          <cell r="E24">
            <v>1.6523764468213056</v>
          </cell>
          <cell r="F24">
            <v>0</v>
          </cell>
          <cell r="G24">
            <v>61.387713410433037</v>
          </cell>
        </row>
        <row r="25">
          <cell r="B25">
            <v>2034</v>
          </cell>
          <cell r="C25">
            <v>157.67657366425988</v>
          </cell>
          <cell r="D25">
            <v>0</v>
          </cell>
          <cell r="E25">
            <v>1.5342267681474686</v>
          </cell>
          <cell r="F25">
            <v>0</v>
          </cell>
          <cell r="G25">
            <v>62.64053587656759</v>
          </cell>
        </row>
        <row r="26">
          <cell r="B26">
            <v>2035</v>
          </cell>
          <cell r="C26">
            <v>161.28974431110888</v>
          </cell>
          <cell r="D26">
            <v>0</v>
          </cell>
          <cell r="E26">
            <v>2.2462687502744823</v>
          </cell>
          <cell r="F26">
            <v>0</v>
          </cell>
          <cell r="G26">
            <v>64.752833567433882</v>
          </cell>
        </row>
        <row r="27">
          <cell r="B27">
            <v>2036</v>
          </cell>
          <cell r="C27">
            <v>164.99317807038221</v>
          </cell>
          <cell r="D27">
            <v>0</v>
          </cell>
          <cell r="E27">
            <v>2.0656473020385682</v>
          </cell>
          <cell r="F27">
            <v>0</v>
          </cell>
          <cell r="G27">
            <v>65.957045274731883</v>
          </cell>
        </row>
        <row r="28">
          <cell r="B28">
            <v>2037</v>
          </cell>
          <cell r="C28">
            <v>168.78231768396074</v>
          </cell>
          <cell r="D28">
            <v>0</v>
          </cell>
          <cell r="E28">
            <v>1.3749247808790253</v>
          </cell>
          <cell r="F28">
            <v>0</v>
          </cell>
          <cell r="G28">
            <v>66.785177152245993</v>
          </cell>
        </row>
        <row r="29">
          <cell r="B29">
            <v>2038</v>
          </cell>
          <cell r="C29">
            <v>172.66172040996355</v>
          </cell>
          <cell r="D29">
            <v>0</v>
          </cell>
          <cell r="E29">
            <v>0.83387123417189268</v>
          </cell>
          <cell r="F29">
            <v>0</v>
          </cell>
          <cell r="G29">
            <v>67.747555451007145</v>
          </cell>
        </row>
        <row r="30">
          <cell r="B30">
            <v>2039</v>
          </cell>
          <cell r="C30">
            <v>176.63006317345292</v>
          </cell>
          <cell r="D30">
            <v>0</v>
          </cell>
          <cell r="E30">
            <v>0.85305027255784605</v>
          </cell>
          <cell r="F30">
            <v>0</v>
          </cell>
          <cell r="G30">
            <v>69.304634342990099</v>
          </cell>
        </row>
        <row r="31">
          <cell r="B31">
            <v>2040</v>
          </cell>
          <cell r="C31">
            <v>180.69763655727849</v>
          </cell>
          <cell r="D31">
            <v>0</v>
          </cell>
          <cell r="E31">
            <v>0.87267042882667667</v>
          </cell>
          <cell r="F31">
            <v>0</v>
          </cell>
          <cell r="G31">
            <v>70.900610394983005</v>
          </cell>
        </row>
        <row r="32">
          <cell r="B32">
            <v>2041</v>
          </cell>
          <cell r="C32">
            <v>184.67391777039478</v>
          </cell>
          <cell r="D32">
            <v>0</v>
          </cell>
          <cell r="E32">
            <v>0.8935847275312504</v>
          </cell>
          <cell r="F32">
            <v>0</v>
          </cell>
          <cell r="G32">
            <v>72.702275227483582</v>
          </cell>
        </row>
        <row r="33">
          <cell r="B33">
            <v>2042</v>
          </cell>
          <cell r="C33">
            <v>188.74149115422034</v>
          </cell>
          <cell r="D33">
            <v>0</v>
          </cell>
          <cell r="E33">
            <v>0.91324359153693779</v>
          </cell>
          <cell r="F33">
            <v>0</v>
          </cell>
          <cell r="G33">
            <v>74.30357118313384</v>
          </cell>
        </row>
        <row r="34">
          <cell r="B34">
            <v>2043</v>
          </cell>
          <cell r="C34">
            <v>193.08294105017382</v>
          </cell>
          <cell r="D34">
            <v>0</v>
          </cell>
          <cell r="E34">
            <v>0.93424819414228744</v>
          </cell>
          <cell r="F34">
            <v>0</v>
          </cell>
          <cell r="G34">
            <v>76.012707145399716</v>
          </cell>
        </row>
        <row r="35">
          <cell r="B35">
            <v>2044</v>
          </cell>
          <cell r="C35">
            <v>0</v>
          </cell>
          <cell r="D35">
            <v>0</v>
          </cell>
          <cell r="E35">
            <v>0.95480165441341758</v>
          </cell>
          <cell r="F35">
            <v>0</v>
          </cell>
          <cell r="G35">
            <v>0.95480165441341758</v>
          </cell>
        </row>
        <row r="36">
          <cell r="B36">
            <v>2045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2046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2047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34.650193221828971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27.915420947836889</v>
          </cell>
          <cell r="F13">
            <v>0</v>
          </cell>
          <cell r="G13">
            <v>27.915420947836889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25.612713691464723</v>
          </cell>
          <cell r="F14">
            <v>0</v>
          </cell>
          <cell r="G14">
            <v>25.612713691464723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17.913173967358098</v>
          </cell>
          <cell r="F15">
            <v>0</v>
          </cell>
          <cell r="G15">
            <v>17.913173967358098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19.00918985471786</v>
          </cell>
          <cell r="F16">
            <v>0</v>
          </cell>
          <cell r="G16">
            <v>19.00918985471786</v>
          </cell>
        </row>
        <row r="17">
          <cell r="B17">
            <v>2026</v>
          </cell>
          <cell r="C17">
            <v>115.47174342061953</v>
          </cell>
          <cell r="D17">
            <v>0</v>
          </cell>
          <cell r="E17">
            <v>19.304536360045752</v>
          </cell>
          <cell r="F17">
            <v>0</v>
          </cell>
          <cell r="G17">
            <v>32.486242229979482</v>
          </cell>
          <cell r="I17">
            <v>-2.5121246648423465</v>
          </cell>
        </row>
        <row r="18">
          <cell r="B18">
            <v>2027</v>
          </cell>
          <cell r="C18">
            <v>118.1193351459134</v>
          </cell>
          <cell r="D18">
            <v>0</v>
          </cell>
          <cell r="E18">
            <v>20.75283617800309</v>
          </cell>
          <cell r="F18">
            <v>0</v>
          </cell>
          <cell r="G18">
            <v>34.236778546258058</v>
          </cell>
          <cell r="I18">
            <v>-1.7118119022304619</v>
          </cell>
        </row>
        <row r="19">
          <cell r="B19">
            <v>2028</v>
          </cell>
          <cell r="C19">
            <v>120.86317788006875</v>
          </cell>
          <cell r="D19">
            <v>0</v>
          </cell>
          <cell r="E19">
            <v>24.029844400081732</v>
          </cell>
          <cell r="F19">
            <v>0</v>
          </cell>
          <cell r="G19">
            <v>37.78931364872345</v>
          </cell>
        </row>
        <row r="20">
          <cell r="B20">
            <v>2029</v>
          </cell>
          <cell r="C20">
            <v>123.76174858795466</v>
          </cell>
          <cell r="D20">
            <v>0</v>
          </cell>
          <cell r="E20">
            <v>26.804290698868616</v>
          </cell>
          <cell r="F20">
            <v>0</v>
          </cell>
          <cell r="G20">
            <v>40.932344190644272</v>
          </cell>
        </row>
        <row r="21">
          <cell r="B21">
            <v>2030</v>
          </cell>
          <cell r="C21">
            <v>126.62937370109448</v>
          </cell>
          <cell r="D21">
            <v>0</v>
          </cell>
          <cell r="E21">
            <v>24.88041345527115</v>
          </cell>
          <cell r="F21">
            <v>0</v>
          </cell>
          <cell r="G21">
            <v>39.33582141201709</v>
          </cell>
        </row>
        <row r="22">
          <cell r="B22">
            <v>2031</v>
          </cell>
          <cell r="C22">
            <v>129.52794440898037</v>
          </cell>
          <cell r="D22">
            <v>0</v>
          </cell>
          <cell r="E22">
            <v>26.373680683040593</v>
          </cell>
          <cell r="F22">
            <v>0</v>
          </cell>
          <cell r="G22">
            <v>41.159975706896802</v>
          </cell>
        </row>
        <row r="23">
          <cell r="B23">
            <v>2032</v>
          </cell>
          <cell r="C23">
            <v>132.51935190110464</v>
          </cell>
          <cell r="D23">
            <v>0</v>
          </cell>
          <cell r="E23">
            <v>27.208631659718705</v>
          </cell>
          <cell r="F23">
            <v>0</v>
          </cell>
          <cell r="G23">
            <v>42.295078825145012</v>
          </cell>
        </row>
        <row r="24">
          <cell r="B24">
            <v>2033</v>
          </cell>
          <cell r="C24">
            <v>135.54170498797504</v>
          </cell>
          <cell r="D24">
            <v>0</v>
          </cell>
          <cell r="E24">
            <v>28.290669202726317</v>
          </cell>
          <cell r="F24">
            <v>0</v>
          </cell>
          <cell r="G24">
            <v>43.763466575782829</v>
          </cell>
        </row>
        <row r="25">
          <cell r="B25">
            <v>2034</v>
          </cell>
          <cell r="C25">
            <v>138.66721005733245</v>
          </cell>
          <cell r="D25">
            <v>0</v>
          </cell>
          <cell r="E25">
            <v>29.027128604562893</v>
          </cell>
          <cell r="F25">
            <v>0</v>
          </cell>
          <cell r="G25">
            <v>44.856718793756094</v>
          </cell>
        </row>
        <row r="26">
          <cell r="B26">
            <v>2035</v>
          </cell>
          <cell r="C26">
            <v>141.83397591968466</v>
          </cell>
          <cell r="D26">
            <v>0</v>
          </cell>
          <cell r="E26">
            <v>30.004419348049126</v>
          </cell>
          <cell r="F26">
            <v>0</v>
          </cell>
          <cell r="G26">
            <v>46.195512489565637</v>
          </cell>
        </row>
        <row r="27">
          <cell r="B27">
            <v>2036</v>
          </cell>
          <cell r="C27">
            <v>145.11420896277266</v>
          </cell>
          <cell r="D27">
            <v>0</v>
          </cell>
          <cell r="E27">
            <v>31.595310482374192</v>
          </cell>
          <cell r="F27">
            <v>0</v>
          </cell>
          <cell r="G27">
            <v>48.11559838797217</v>
          </cell>
        </row>
        <row r="28">
          <cell r="B28">
            <v>2037</v>
          </cell>
          <cell r="C28">
            <v>148.46664839360156</v>
          </cell>
          <cell r="D28">
            <v>0</v>
          </cell>
          <cell r="E28">
            <v>33.397473410819067</v>
          </cell>
          <cell r="F28">
            <v>0</v>
          </cell>
          <cell r="G28">
            <v>50.34572094433522</v>
          </cell>
        </row>
        <row r="29">
          <cell r="B29">
            <v>2038</v>
          </cell>
          <cell r="C29">
            <v>151.88097901392271</v>
          </cell>
          <cell r="D29">
            <v>0</v>
          </cell>
          <cell r="E29">
            <v>33.887919025427998</v>
          </cell>
          <cell r="F29">
            <v>0</v>
          </cell>
          <cell r="G29">
            <v>51.225930328387214</v>
          </cell>
        </row>
        <row r="30">
          <cell r="B30">
            <v>2039</v>
          </cell>
          <cell r="C30">
            <v>155.37783122023347</v>
          </cell>
          <cell r="D30">
            <v>0</v>
          </cell>
          <cell r="E30">
            <v>34.667341163012836</v>
          </cell>
          <cell r="F30">
            <v>0</v>
          </cell>
          <cell r="G30">
            <v>52.40453650778835</v>
          </cell>
        </row>
        <row r="31">
          <cell r="B31">
            <v>2040</v>
          </cell>
          <cell r="C31">
            <v>158.93657461603644</v>
          </cell>
          <cell r="D31">
            <v>0</v>
          </cell>
          <cell r="E31">
            <v>35.46469000976213</v>
          </cell>
          <cell r="F31">
            <v>0</v>
          </cell>
          <cell r="G31">
            <v>53.608134600633875</v>
          </cell>
        </row>
        <row r="32">
          <cell r="B32">
            <v>2041</v>
          </cell>
          <cell r="C32">
            <v>162.43342682234726</v>
          </cell>
          <cell r="D32">
            <v>0</v>
          </cell>
          <cell r="E32">
            <v>36.235452955172207</v>
          </cell>
          <cell r="F32">
            <v>0</v>
          </cell>
          <cell r="G32">
            <v>54.827261620228846</v>
          </cell>
        </row>
        <row r="33">
          <cell r="B33">
            <v>2042</v>
          </cell>
          <cell r="C33">
            <v>165.99217021815025</v>
          </cell>
          <cell r="D33">
            <v>0</v>
          </cell>
          <cell r="E33">
            <v>37.032632920185989</v>
          </cell>
          <cell r="F33">
            <v>0</v>
          </cell>
          <cell r="G33">
            <v>56.031768313473066</v>
          </cell>
        </row>
        <row r="34">
          <cell r="B34">
            <v>2043</v>
          </cell>
          <cell r="C34">
            <v>0</v>
          </cell>
          <cell r="D34">
            <v>0</v>
          </cell>
          <cell r="E34">
            <v>37.884383477350269</v>
          </cell>
          <cell r="F34">
            <v>0</v>
          </cell>
          <cell r="G34">
            <v>37.884383477350269</v>
          </cell>
        </row>
        <row r="35">
          <cell r="B35">
            <v>2044</v>
          </cell>
          <cell r="C35">
            <v>0</v>
          </cell>
          <cell r="D35">
            <v>0</v>
          </cell>
          <cell r="E35">
            <v>38.717839913851982</v>
          </cell>
          <cell r="F35">
            <v>0</v>
          </cell>
          <cell r="G35">
            <v>38.717839913851982</v>
          </cell>
        </row>
        <row r="36">
          <cell r="B36">
            <v>2045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2046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2047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33.667397676481457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D26" sqref="D26"/>
    </sheetView>
  </sheetViews>
  <sheetFormatPr defaultColWidth="9.33203125" defaultRowHeight="12.75"/>
  <cols>
    <col min="1" max="1" width="14" style="53" customWidth="1"/>
    <col min="2" max="2" width="11.6640625" style="53" customWidth="1"/>
    <col min="3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374" t="s">
        <v>227</v>
      </c>
      <c r="C1" s="375"/>
      <c r="D1" s="375"/>
      <c r="E1" s="375"/>
      <c r="F1" s="375"/>
      <c r="G1" s="375"/>
      <c r="H1" s="375"/>
      <c r="I1" s="376"/>
      <c r="J1" s="376"/>
      <c r="K1" s="376"/>
    </row>
    <row r="2" spans="2:12" ht="5.25" customHeight="1">
      <c r="B2" s="374"/>
      <c r="C2" s="375"/>
      <c r="D2" s="375"/>
      <c r="E2" s="375"/>
      <c r="F2" s="375"/>
      <c r="G2" s="375"/>
      <c r="H2" s="375"/>
      <c r="I2" s="376"/>
      <c r="J2" s="376"/>
      <c r="K2" s="376"/>
    </row>
    <row r="3" spans="2:12" ht="15.75">
      <c r="B3" s="377" t="s">
        <v>228</v>
      </c>
      <c r="C3" s="377"/>
      <c r="D3" s="377"/>
      <c r="E3" s="377"/>
      <c r="F3" s="377"/>
      <c r="G3" s="377"/>
      <c r="H3" s="377"/>
      <c r="I3" s="374"/>
      <c r="J3" s="374"/>
      <c r="K3" s="374"/>
    </row>
    <row r="4" spans="2:12" ht="15.75">
      <c r="B4" s="378" t="s">
        <v>229</v>
      </c>
      <c r="C4" s="377"/>
      <c r="D4" s="377"/>
      <c r="E4" s="377"/>
      <c r="F4" s="377"/>
      <c r="G4" s="377"/>
      <c r="H4" s="377"/>
      <c r="I4" s="374"/>
      <c r="J4" s="374"/>
      <c r="K4" s="374"/>
    </row>
    <row r="5" spans="2:12" ht="25.5" customHeight="1">
      <c r="C5" s="379" t="s">
        <v>230</v>
      </c>
      <c r="D5" s="379" t="s">
        <v>231</v>
      </c>
      <c r="E5" s="380" t="s">
        <v>66</v>
      </c>
      <c r="F5" s="379" t="s">
        <v>230</v>
      </c>
      <c r="G5" s="379" t="s">
        <v>231</v>
      </c>
      <c r="H5" s="380" t="s">
        <v>232</v>
      </c>
      <c r="I5" s="379" t="str">
        <f>C5</f>
        <v>Thermal</v>
      </c>
      <c r="J5" s="379" t="str">
        <f>D5</f>
        <v>Solar Tracking</v>
      </c>
      <c r="K5" s="380" t="str">
        <f>E5</f>
        <v>Wind</v>
      </c>
    </row>
    <row r="6" spans="2:12">
      <c r="B6" s="379" t="s">
        <v>0</v>
      </c>
      <c r="C6" s="381" t="s">
        <v>241</v>
      </c>
      <c r="D6" s="381" t="s">
        <v>241</v>
      </c>
      <c r="E6" s="381" t="s">
        <v>241</v>
      </c>
      <c r="F6" s="381" t="s">
        <v>233</v>
      </c>
      <c r="G6" s="381" t="s">
        <v>233</v>
      </c>
      <c r="H6" s="381" t="s">
        <v>233</v>
      </c>
      <c r="I6" s="382"/>
      <c r="J6" s="382"/>
      <c r="K6" s="382"/>
      <c r="L6" s="383"/>
    </row>
    <row r="7" spans="2:12">
      <c r="B7" s="379"/>
      <c r="C7" s="384" t="s">
        <v>234</v>
      </c>
      <c r="D7" s="384" t="s">
        <v>235</v>
      </c>
      <c r="E7" s="385" t="s">
        <v>236</v>
      </c>
      <c r="F7" s="384" t="s">
        <v>234</v>
      </c>
      <c r="G7" s="384" t="s">
        <v>235</v>
      </c>
      <c r="H7" s="385" t="s">
        <v>236</v>
      </c>
      <c r="I7" s="379" t="s">
        <v>237</v>
      </c>
      <c r="J7" s="379" t="s">
        <v>237</v>
      </c>
      <c r="K7" s="379" t="s">
        <v>237</v>
      </c>
    </row>
    <row r="8" spans="2:12" hidden="1">
      <c r="B8" s="386"/>
      <c r="C8" s="387"/>
      <c r="D8" s="387"/>
      <c r="E8" s="387"/>
      <c r="F8" s="387"/>
      <c r="G8" s="387"/>
      <c r="H8" s="387"/>
      <c r="I8" s="387"/>
      <c r="J8" s="387"/>
      <c r="K8" s="388"/>
      <c r="L8" s="389"/>
    </row>
    <row r="9" spans="2:12">
      <c r="B9" s="386">
        <v>2022</v>
      </c>
      <c r="C9" s="387">
        <f ca="1">VLOOKUP($B9,'Table 1'!$B$13:$G$34,6,FALSE)</f>
        <v>33.349716426529604</v>
      </c>
      <c r="D9" s="387" t="e">
        <f>VLOOKUP($B9,#REF!,6,FALSE)</f>
        <v>#REF!</v>
      </c>
      <c r="E9" s="387" t="e">
        <f>VLOOKUP($B9,#REF!,6,FALSE)</f>
        <v>#REF!</v>
      </c>
      <c r="F9" s="390">
        <f>VLOOKUP($B9,'[2]Table 1'!$B$13:$G$40,6,FALSE)</f>
        <v>27.915420947836889</v>
      </c>
      <c r="G9" s="390">
        <f>VLOOKUP($B9,'[10]Table 1'!$B$13:$G$40,6,FALSE)</f>
        <v>20.863240416876177</v>
      </c>
      <c r="H9" s="390">
        <f>VLOOKUP($B9,'[11]Table 1'!$B$13:$G$40,6,FALSE)</f>
        <v>23.30426674578851</v>
      </c>
      <c r="I9" s="387">
        <f t="shared" ref="I9:K23" ca="1" si="0">C9-F9</f>
        <v>5.4342954786927145</v>
      </c>
      <c r="J9" s="387" t="e">
        <f t="shared" si="0"/>
        <v>#REF!</v>
      </c>
      <c r="K9" s="388" t="e">
        <f t="shared" si="0"/>
        <v>#REF!</v>
      </c>
      <c r="L9" s="389"/>
    </row>
    <row r="10" spans="2:12">
      <c r="B10" s="391">
        <f>B9+1</f>
        <v>2023</v>
      </c>
      <c r="C10" s="392">
        <f ca="1">VLOOKUP($B10,'Table 1'!$B$13:$G$34,6,FALSE)</f>
        <v>30.355139843151193</v>
      </c>
      <c r="D10" s="392" t="e">
        <f>VLOOKUP($B10,#REF!,6,FALSE)</f>
        <v>#REF!</v>
      </c>
      <c r="E10" s="392" t="e">
        <f>VLOOKUP($B10,#REF!,6,FALSE)</f>
        <v>#REF!</v>
      </c>
      <c r="F10" s="392">
        <f>VLOOKUP($B10,'[2]Table 1'!$B$13:$G$40,6,FALSE)</f>
        <v>25.612713691464723</v>
      </c>
      <c r="G10" s="392">
        <f>VLOOKUP($B10,'[10]Table 1'!$B$13:$G$40,6,FALSE)</f>
        <v>19.193009357488325</v>
      </c>
      <c r="H10" s="392">
        <f>VLOOKUP($B10,'[11]Table 1'!$B$13:$G$40,6,FALSE)</f>
        <v>25.75436772508915</v>
      </c>
      <c r="I10" s="392">
        <f t="shared" ca="1" si="0"/>
        <v>4.7424261516864696</v>
      </c>
      <c r="J10" s="392" t="e">
        <f t="shared" si="0"/>
        <v>#REF!</v>
      </c>
      <c r="K10" s="393" t="e">
        <f t="shared" si="0"/>
        <v>#REF!</v>
      </c>
      <c r="L10" s="389"/>
    </row>
    <row r="11" spans="2:12">
      <c r="B11" s="391">
        <f t="shared" ref="B11:B23" si="1">B10+1</f>
        <v>2024</v>
      </c>
      <c r="C11" s="392">
        <f ca="1">VLOOKUP($B11,'Table 1'!$B$13:$G$34,6,FALSE)</f>
        <v>31.57773718322953</v>
      </c>
      <c r="D11" s="392" t="e">
        <f>VLOOKUP($B11,#REF!,6,FALSE)</f>
        <v>#REF!</v>
      </c>
      <c r="E11" s="392" t="e">
        <f>VLOOKUP($B11,#REF!,6,FALSE)</f>
        <v>#REF!</v>
      </c>
      <c r="F11" s="392">
        <f>VLOOKUP($B11,'[2]Table 1'!$B$13:$G$40,6,FALSE)</f>
        <v>17.913173967358098</v>
      </c>
      <c r="G11" s="392">
        <f>VLOOKUP($B11,'[10]Table 1'!$B$13:$G$40,6,FALSE)</f>
        <v>15.618218211783921</v>
      </c>
      <c r="H11" s="392">
        <f>VLOOKUP($B11,'[11]Table 1'!$B$13:$G$40,6,FALSE)</f>
        <v>27.038119561241633</v>
      </c>
      <c r="I11" s="392">
        <f t="shared" ca="1" si="0"/>
        <v>13.664563215871432</v>
      </c>
      <c r="J11" s="392" t="e">
        <f t="shared" si="0"/>
        <v>#REF!</v>
      </c>
      <c r="K11" s="393" t="e">
        <f t="shared" si="0"/>
        <v>#REF!</v>
      </c>
      <c r="L11" s="389"/>
    </row>
    <row r="12" spans="2:12">
      <c r="B12" s="391">
        <f t="shared" si="1"/>
        <v>2025</v>
      </c>
      <c r="C12" s="392">
        <f ca="1">VLOOKUP($B12,'Table 1'!$B$13:$G$34,6,FALSE)</f>
        <v>21.206969499166682</v>
      </c>
      <c r="D12" s="392" t="e">
        <f>VLOOKUP($B12,#REF!,6,FALSE)</f>
        <v>#REF!</v>
      </c>
      <c r="E12" s="392" t="e">
        <f>VLOOKUP($B12,#REF!,6,FALSE)</f>
        <v>#REF!</v>
      </c>
      <c r="F12" s="392">
        <f>VLOOKUP($B12,'[2]Table 1'!$B$13:$G$40,6,FALSE)</f>
        <v>19.00918985471786</v>
      </c>
      <c r="G12" s="392">
        <f>VLOOKUP($B12,'[10]Table 1'!$B$13:$G$40,6,FALSE)</f>
        <v>17.77077972166504</v>
      </c>
      <c r="H12" s="392">
        <f>VLOOKUP($B12,'[11]Table 1'!$B$13:$G$40,6,FALSE)</f>
        <v>27.307244573256813</v>
      </c>
      <c r="I12" s="392">
        <f t="shared" ca="1" si="0"/>
        <v>2.197779644448822</v>
      </c>
      <c r="J12" s="392" t="e">
        <f t="shared" si="0"/>
        <v>#REF!</v>
      </c>
      <c r="K12" s="393" t="e">
        <f t="shared" si="0"/>
        <v>#REF!</v>
      </c>
      <c r="L12" s="389"/>
    </row>
    <row r="13" spans="2:12">
      <c r="B13" s="391">
        <f t="shared" si="1"/>
        <v>2026</v>
      </c>
      <c r="C13" s="392">
        <f ca="1">VLOOKUP($B13,'Table 1'!$B$13:$G$34,6,FALSE)</f>
        <v>19.411552154771829</v>
      </c>
      <c r="D13" s="392" t="e">
        <f>VLOOKUP($B13,#REF!,6,FALSE)</f>
        <v>#REF!</v>
      </c>
      <c r="E13" s="392" t="e">
        <f>VLOOKUP($B13,#REF!,6,FALSE)</f>
        <v>#REF!</v>
      </c>
      <c r="F13" s="392">
        <f>VLOOKUP($B13,'[2]Table 1'!$B$13:$G$40,6,FALSE)</f>
        <v>32.486242229979482</v>
      </c>
      <c r="G13" s="392">
        <f>VLOOKUP($B13,'[10]Table 1'!$B$13:$G$40,6,FALSE)</f>
        <v>18.786691542536452</v>
      </c>
      <c r="H13" s="392">
        <f>VLOOKUP($B13,'[11]Table 1'!$B$13:$G$40,6,FALSE)</f>
        <v>28.512605319442478</v>
      </c>
      <c r="I13" s="392">
        <f t="shared" ca="1" si="0"/>
        <v>-13.074690075207652</v>
      </c>
      <c r="J13" s="392" t="e">
        <f t="shared" si="0"/>
        <v>#REF!</v>
      </c>
      <c r="K13" s="393" t="e">
        <f t="shared" si="0"/>
        <v>#REF!</v>
      </c>
      <c r="L13" s="389"/>
    </row>
    <row r="14" spans="2:12">
      <c r="B14" s="391">
        <f t="shared" si="1"/>
        <v>2027</v>
      </c>
      <c r="C14" s="392">
        <f ca="1">VLOOKUP($B14,'Table 1'!$B$13:$G$34,6,FALSE)</f>
        <v>20.041330467526958</v>
      </c>
      <c r="D14" s="392" t="e">
        <f>VLOOKUP($B14,#REF!,6,FALSE)</f>
        <v>#REF!</v>
      </c>
      <c r="E14" s="392" t="e">
        <f>VLOOKUP($B14,#REF!,6,FALSE)</f>
        <v>#REF!</v>
      </c>
      <c r="F14" s="392">
        <f>VLOOKUP($B14,'[2]Table 1'!$B$13:$G$40,6,FALSE)</f>
        <v>34.236778546258058</v>
      </c>
      <c r="G14" s="392">
        <f>VLOOKUP($B14,'[10]Table 1'!$B$13:$G$40,6,FALSE)</f>
        <v>19.491523816455629</v>
      </c>
      <c r="H14" s="392">
        <f>VLOOKUP($B14,'[11]Table 1'!$B$13:$G$40,6,FALSE)</f>
        <v>28.94159126469064</v>
      </c>
      <c r="I14" s="392">
        <f t="shared" ca="1" si="0"/>
        <v>-14.195448078731101</v>
      </c>
      <c r="J14" s="392" t="e">
        <f t="shared" si="0"/>
        <v>#REF!</v>
      </c>
      <c r="K14" s="393" t="e">
        <f t="shared" si="0"/>
        <v>#REF!</v>
      </c>
      <c r="L14" s="389"/>
    </row>
    <row r="15" spans="2:12">
      <c r="B15" s="391">
        <f t="shared" si="1"/>
        <v>2028</v>
      </c>
      <c r="C15" s="392">
        <f ca="1">VLOOKUP($B15,'Table 1'!$B$13:$G$34,6,FALSE)</f>
        <v>21.081157889160139</v>
      </c>
      <c r="D15" s="392" t="e">
        <f>VLOOKUP($B15,#REF!,6,FALSE)</f>
        <v>#REF!</v>
      </c>
      <c r="E15" s="392" t="e">
        <f>VLOOKUP($B15,#REF!,6,FALSE)</f>
        <v>#REF!</v>
      </c>
      <c r="F15" s="392">
        <f>VLOOKUP($B15,'[2]Table 1'!$B$13:$G$40,6,FALSE)</f>
        <v>37.78931364872345</v>
      </c>
      <c r="G15" s="392">
        <f>VLOOKUP($B15,'[10]Table 1'!$B$13:$G$40,6,FALSE)</f>
        <v>21.519888972742869</v>
      </c>
      <c r="H15" s="392">
        <f>VLOOKUP($B15,'[11]Table 1'!$B$13:$G$40,6,FALSE)</f>
        <v>30.493632761717787</v>
      </c>
      <c r="I15" s="392">
        <f t="shared" ca="1" si="0"/>
        <v>-16.708155759563311</v>
      </c>
      <c r="J15" s="392" t="e">
        <f t="shared" si="0"/>
        <v>#REF!</v>
      </c>
      <c r="K15" s="393" t="e">
        <f t="shared" si="0"/>
        <v>#REF!</v>
      </c>
      <c r="L15" s="389"/>
    </row>
    <row r="16" spans="2:12">
      <c r="B16" s="391">
        <f t="shared" si="1"/>
        <v>2029</v>
      </c>
      <c r="C16" s="392">
        <f ca="1">VLOOKUP($B16,'Table 1'!$B$13:$G$34,6,FALSE)</f>
        <v>22.173265278043559</v>
      </c>
      <c r="D16" s="392" t="e">
        <f>VLOOKUP($B16,#REF!,6,FALSE)</f>
        <v>#REF!</v>
      </c>
      <c r="E16" s="392" t="e">
        <f>VLOOKUP($B16,#REF!,6,FALSE)</f>
        <v>#REF!</v>
      </c>
      <c r="F16" s="392">
        <f>VLOOKUP($B16,'[2]Table 1'!$B$13:$G$40,6,FALSE)</f>
        <v>40.932344190644272</v>
      </c>
      <c r="G16" s="392">
        <f>VLOOKUP($B16,'[10]Table 1'!$B$13:$G$40,6,FALSE)</f>
        <v>22.587030614914688</v>
      </c>
      <c r="H16" s="392">
        <f>VLOOKUP($B16,'[11]Table 1'!$B$13:$G$40,6,FALSE)</f>
        <v>31.331115098148739</v>
      </c>
      <c r="I16" s="392">
        <f t="shared" ca="1" si="0"/>
        <v>-18.759078912600714</v>
      </c>
      <c r="J16" s="392" t="e">
        <f t="shared" si="0"/>
        <v>#REF!</v>
      </c>
      <c r="K16" s="393" t="e">
        <f t="shared" si="0"/>
        <v>#REF!</v>
      </c>
      <c r="L16" s="389"/>
    </row>
    <row r="17" spans="1:12">
      <c r="B17" s="391">
        <f t="shared" si="1"/>
        <v>2030</v>
      </c>
      <c r="C17" s="392">
        <f ca="1">VLOOKUP($B17,'Table 1'!$B$13:$G$34,6,FALSE)</f>
        <v>22.329548208730881</v>
      </c>
      <c r="D17" s="392" t="e">
        <f>VLOOKUP($B17,#REF!,6,FALSE)</f>
        <v>#REF!</v>
      </c>
      <c r="E17" s="392" t="e">
        <f>VLOOKUP($B17,#REF!,6,FALSE)</f>
        <v>#REF!</v>
      </c>
      <c r="F17" s="392">
        <f>VLOOKUP($B17,'[2]Table 1'!$B$13:$G$40,6,FALSE)</f>
        <v>39.33582141201709</v>
      </c>
      <c r="G17" s="392">
        <f>VLOOKUP($B17,'[10]Table 1'!$B$13:$G$40,6,FALSE)</f>
        <v>20.858529754670602</v>
      </c>
      <c r="H17" s="392">
        <f>VLOOKUP($B17,'[11]Table 1'!$B$13:$G$40,6,FALSE)</f>
        <v>31.917075103781549</v>
      </c>
      <c r="I17" s="392">
        <f t="shared" ca="1" si="0"/>
        <v>-17.006273203286209</v>
      </c>
      <c r="J17" s="392" t="e">
        <f t="shared" si="0"/>
        <v>#REF!</v>
      </c>
      <c r="K17" s="393" t="e">
        <f t="shared" si="0"/>
        <v>#REF!</v>
      </c>
      <c r="L17" s="389"/>
    </row>
    <row r="18" spans="1:12">
      <c r="B18" s="391">
        <f t="shared" si="1"/>
        <v>2031</v>
      </c>
      <c r="C18" s="392">
        <f ca="1">VLOOKUP($B18,'Table 1'!$B$13:$G$34,6,FALSE)</f>
        <v>21.678981552067377</v>
      </c>
      <c r="D18" s="392" t="e">
        <f>VLOOKUP($B18,#REF!,6,FALSE)</f>
        <v>#REF!</v>
      </c>
      <c r="E18" s="392" t="e">
        <f>VLOOKUP($B18,#REF!,6,FALSE)</f>
        <v>#REF!</v>
      </c>
      <c r="F18" s="392">
        <f>VLOOKUP($B18,'[2]Table 1'!$B$13:$G$40,6,FALSE)</f>
        <v>41.159975706896802</v>
      </c>
      <c r="G18" s="392">
        <f>VLOOKUP($B18,'[10]Table 1'!$B$13:$G$40,6,FALSE)</f>
        <v>22.205542294276466</v>
      </c>
      <c r="H18" s="392">
        <f>VLOOKUP($B18,'[11]Table 1'!$B$13:$G$40,6,FALSE)</f>
        <v>33.319208263830014</v>
      </c>
      <c r="I18" s="392">
        <f t="shared" ca="1" si="0"/>
        <v>-19.480994154829425</v>
      </c>
      <c r="J18" s="392" t="e">
        <f t="shared" si="0"/>
        <v>#REF!</v>
      </c>
      <c r="K18" s="393" t="e">
        <f t="shared" si="0"/>
        <v>#REF!</v>
      </c>
      <c r="L18" s="389"/>
    </row>
    <row r="19" spans="1:12">
      <c r="B19" s="391">
        <f t="shared" si="1"/>
        <v>2032</v>
      </c>
      <c r="C19" s="392">
        <f ca="1">VLOOKUP($B19,'Table 1'!$B$13:$G$34,6,FALSE)</f>
        <v>21.902060166408795</v>
      </c>
      <c r="D19" s="392" t="e">
        <f>VLOOKUP($B19,#REF!,6,FALSE)</f>
        <v>#REF!</v>
      </c>
      <c r="E19" s="392" t="e">
        <f>VLOOKUP($B19,#REF!,6,FALSE)</f>
        <v>#REF!</v>
      </c>
      <c r="F19" s="392">
        <f>VLOOKUP($B19,'[2]Table 1'!$B$13:$G$40,6,FALSE)</f>
        <v>42.295078825145012</v>
      </c>
      <c r="G19" s="392">
        <f>VLOOKUP($B19,'[10]Table 1'!$B$13:$G$40,6,FALSE)</f>
        <v>22.983830774519404</v>
      </c>
      <c r="H19" s="392">
        <f>VLOOKUP($B19,'[11]Table 1'!$B$13:$G$40,6,FALSE)</f>
        <v>33.979013364315243</v>
      </c>
      <c r="I19" s="392">
        <f t="shared" ca="1" si="0"/>
        <v>-20.393018658736217</v>
      </c>
      <c r="J19" s="392" t="e">
        <f t="shared" si="0"/>
        <v>#REF!</v>
      </c>
      <c r="K19" s="393" t="e">
        <f t="shared" si="0"/>
        <v>#REF!</v>
      </c>
      <c r="L19" s="389"/>
    </row>
    <row r="20" spans="1:12">
      <c r="B20" s="391">
        <f t="shared" si="1"/>
        <v>2033</v>
      </c>
      <c r="C20" s="392">
        <f ca="1">VLOOKUP($B20,'Table 1'!$B$13:$G$34,6,FALSE)</f>
        <v>34.760670551240459</v>
      </c>
      <c r="D20" s="392" t="e">
        <f>VLOOKUP($B20,#REF!,6,FALSE)</f>
        <v>#REF!</v>
      </c>
      <c r="E20" s="392" t="e">
        <f>VLOOKUP($B20,#REF!,6,FALSE)</f>
        <v>#REF!</v>
      </c>
      <c r="F20" s="392">
        <f>VLOOKUP($B20,'[2]Table 1'!$B$13:$G$40,6,FALSE)</f>
        <v>43.763466575782829</v>
      </c>
      <c r="G20" s="392">
        <f>VLOOKUP($B20,'[10]Table 1'!$B$13:$G$40,6,FALSE)</f>
        <v>23.117408015517686</v>
      </c>
      <c r="H20" s="392">
        <f>VLOOKUP($B20,'[11]Table 1'!$B$13:$G$40,6,FALSE)</f>
        <v>61.387713410433037</v>
      </c>
      <c r="I20" s="392">
        <f t="shared" ca="1" si="0"/>
        <v>-9.0027960245423699</v>
      </c>
      <c r="J20" s="392" t="e">
        <f t="shared" si="0"/>
        <v>#REF!</v>
      </c>
      <c r="K20" s="393" t="e">
        <f t="shared" si="0"/>
        <v>#REF!</v>
      </c>
      <c r="L20" s="389"/>
    </row>
    <row r="21" spans="1:12">
      <c r="B21" s="391">
        <f t="shared" si="1"/>
        <v>2034</v>
      </c>
      <c r="C21" s="392">
        <f ca="1">VLOOKUP($B21,'Table 1'!$B$13:$G$34,6,FALSE)</f>
        <v>35.83784870369707</v>
      </c>
      <c r="D21" s="392" t="e">
        <f>VLOOKUP($B21,#REF!,6,FALSE)</f>
        <v>#REF!</v>
      </c>
      <c r="E21" s="392" t="e">
        <f>VLOOKUP($B21,#REF!,6,FALSE)</f>
        <v>#REF!</v>
      </c>
      <c r="F21" s="392">
        <f>VLOOKUP($B21,'[2]Table 1'!$B$13:$G$40,6,FALSE)</f>
        <v>44.856718793756094</v>
      </c>
      <c r="G21" s="392">
        <f>VLOOKUP($B21,'[10]Table 1'!$B$13:$G$40,6,FALSE)</f>
        <v>24.173454107176632</v>
      </c>
      <c r="H21" s="392">
        <f>VLOOKUP($B21,'[11]Table 1'!$B$13:$G$40,6,FALSE)</f>
        <v>62.64053587656759</v>
      </c>
      <c r="I21" s="392">
        <f t="shared" ca="1" si="0"/>
        <v>-9.0188700900590248</v>
      </c>
      <c r="J21" s="392" t="e">
        <f t="shared" si="0"/>
        <v>#REF!</v>
      </c>
      <c r="K21" s="393" t="e">
        <f t="shared" si="0"/>
        <v>#REF!</v>
      </c>
      <c r="L21" s="389"/>
    </row>
    <row r="22" spans="1:12">
      <c r="B22" s="391">
        <f t="shared" si="1"/>
        <v>2035</v>
      </c>
      <c r="C22" s="392">
        <f ca="1">VLOOKUP($B22,'Table 1'!$B$13:$G$34,6,FALSE)</f>
        <v>36.75723282380897</v>
      </c>
      <c r="D22" s="392" t="e">
        <f>VLOOKUP($B22,#REF!,6,FALSE)</f>
        <v>#REF!</v>
      </c>
      <c r="E22" s="392" t="e">
        <f>VLOOKUP($B22,#REF!,6,FALSE)</f>
        <v>#REF!</v>
      </c>
      <c r="F22" s="392">
        <f>VLOOKUP($B22,'[2]Table 1'!$B$13:$G$40,6,FALSE)</f>
        <v>46.195512489565637</v>
      </c>
      <c r="G22" s="392">
        <f>VLOOKUP($B22,'[10]Table 1'!$B$13:$G$40,6,FALSE)</f>
        <v>24.987706737536506</v>
      </c>
      <c r="H22" s="392">
        <f>VLOOKUP($B22,'[11]Table 1'!$B$13:$G$40,6,FALSE)</f>
        <v>64.752833567433882</v>
      </c>
      <c r="I22" s="392">
        <f t="shared" ca="1" si="0"/>
        <v>-9.4382796657566672</v>
      </c>
      <c r="J22" s="392" t="e">
        <f t="shared" si="0"/>
        <v>#REF!</v>
      </c>
      <c r="K22" s="393" t="e">
        <f t="shared" si="0"/>
        <v>#REF!</v>
      </c>
      <c r="L22" s="389"/>
    </row>
    <row r="23" spans="1:12">
      <c r="B23" s="394">
        <f t="shared" si="1"/>
        <v>2036</v>
      </c>
      <c r="C23" s="395">
        <f ca="1">VLOOKUP($B23,'Table 1'!$B$13:$G$34,6,FALSE)</f>
        <v>38.226853345645964</v>
      </c>
      <c r="D23" s="395" t="e">
        <f>VLOOKUP($B23,#REF!,6,FALSE)</f>
        <v>#REF!</v>
      </c>
      <c r="E23" s="395" t="e">
        <f>VLOOKUP($B23,#REF!,6,FALSE)</f>
        <v>#REF!</v>
      </c>
      <c r="F23" s="395">
        <f>VLOOKUP($B23,'[2]Table 1'!$B$13:$G$40,6,FALSE)</f>
        <v>48.11559838797217</v>
      </c>
      <c r="G23" s="395">
        <f>VLOOKUP($B23,'[10]Table 1'!$B$13:$G$40,6,FALSE)</f>
        <v>26.316436387846604</v>
      </c>
      <c r="H23" s="395">
        <f>VLOOKUP($B23,'[11]Table 1'!$B$13:$G$40,6,FALSE)</f>
        <v>65.957045274731883</v>
      </c>
      <c r="I23" s="395">
        <f t="shared" ca="1" si="0"/>
        <v>-9.8887450423262067</v>
      </c>
      <c r="J23" s="395" t="e">
        <f t="shared" si="0"/>
        <v>#REF!</v>
      </c>
      <c r="K23" s="396" t="e">
        <f t="shared" si="0"/>
        <v>#REF!</v>
      </c>
      <c r="L23" s="389"/>
    </row>
    <row r="25" spans="1:12">
      <c r="B25" s="397" t="s">
        <v>243</v>
      </c>
      <c r="L25" s="398"/>
    </row>
    <row r="26" spans="1:12">
      <c r="A26" t="s">
        <v>238</v>
      </c>
      <c r="B26" s="399" t="s">
        <v>31</v>
      </c>
      <c r="C26" s="392">
        <f ca="1">ROUND('Table 1'!$G$50,2)</f>
        <v>26.85</v>
      </c>
      <c r="D26" s="392" t="e">
        <f>ROUND(#REF!,2)</f>
        <v>#REF!</v>
      </c>
      <c r="E26" s="392" t="e">
        <f>ROUND(#REF!,2)</f>
        <v>#REF!</v>
      </c>
      <c r="F26" s="392">
        <f>ROUND('[2]Table 1'!$G$50,2)</f>
        <v>33.67</v>
      </c>
      <c r="G26" s="392">
        <f>ROUND('[10]Table 1'!$G$50,2)</f>
        <v>20.65</v>
      </c>
      <c r="H26" s="392">
        <f>ROUND('[11]Table 1'!$G$50,2)</f>
        <v>34.65</v>
      </c>
      <c r="I26" s="392">
        <f ca="1">C26-F26</f>
        <v>-6.82</v>
      </c>
      <c r="J26" s="392" t="e">
        <f>D26-G26</f>
        <v>#REF!</v>
      </c>
      <c r="K26" s="392" t="e">
        <f>E26-H26</f>
        <v>#REF!</v>
      </c>
      <c r="L26" s="400"/>
    </row>
    <row r="27" spans="1:12" ht="17.25" customHeight="1">
      <c r="B27" s="401"/>
      <c r="C27" s="392"/>
      <c r="D27" s="392"/>
      <c r="E27" s="392"/>
      <c r="F27" s="392"/>
      <c r="G27" s="392"/>
      <c r="H27" s="392"/>
      <c r="I27" s="402">
        <f ca="1">I26/F26</f>
        <v>-0.20255420255420256</v>
      </c>
      <c r="J27" s="402" t="e">
        <f>J26/G26</f>
        <v>#REF!</v>
      </c>
      <c r="K27" s="402" t="e">
        <f>K26/H26</f>
        <v>#REF!</v>
      </c>
    </row>
    <row r="28" spans="1:12" ht="10.5" customHeight="1">
      <c r="B28" s="399"/>
      <c r="C28" s="392"/>
      <c r="D28" s="392"/>
      <c r="E28" s="392"/>
      <c r="F28" s="392"/>
      <c r="G28" s="392"/>
      <c r="H28" s="392"/>
      <c r="I28" s="392"/>
      <c r="J28" s="392"/>
      <c r="K28" s="392"/>
    </row>
    <row r="29" spans="1:12" ht="5.25" customHeight="1">
      <c r="F29" s="403"/>
      <c r="G29" s="403"/>
      <c r="H29" s="403"/>
    </row>
    <row r="30" spans="1:12">
      <c r="B30" s="53" t="s">
        <v>239</v>
      </c>
      <c r="C30" s="404"/>
      <c r="D30" s="404"/>
      <c r="E30" s="404"/>
      <c r="F30" s="405"/>
      <c r="G30" s="405"/>
      <c r="H30" s="405"/>
      <c r="I30" s="405"/>
      <c r="J30" s="405"/>
      <c r="K30" s="405"/>
    </row>
    <row r="31" spans="1:12">
      <c r="B31" s="50" t="s">
        <v>242</v>
      </c>
      <c r="C31" s="404"/>
      <c r="D31" s="404"/>
      <c r="E31" s="404"/>
      <c r="F31" s="405"/>
      <c r="G31" s="405"/>
      <c r="H31" s="405"/>
      <c r="I31" s="405"/>
      <c r="J31" s="405"/>
      <c r="K31" s="405"/>
    </row>
    <row r="32" spans="1:12">
      <c r="B32" s="406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2022 - 2036, levelized monthly</v>
      </c>
    </row>
    <row r="34" spans="2:11">
      <c r="B34" s="407"/>
    </row>
    <row r="35" spans="2:11">
      <c r="B35" s="407"/>
    </row>
    <row r="36" spans="2:11">
      <c r="B36" s="407"/>
    </row>
    <row r="37" spans="2:11" hidden="1"/>
    <row r="38" spans="2:11">
      <c r="C38" s="392"/>
      <c r="D38" s="392"/>
      <c r="E38" s="392"/>
      <c r="F38" s="392"/>
      <c r="G38" s="392"/>
      <c r="H38" s="392"/>
    </row>
    <row r="40" spans="2:11">
      <c r="C40" s="403"/>
      <c r="D40" s="403"/>
      <c r="E40" s="403"/>
      <c r="F40" s="403"/>
      <c r="G40" s="403"/>
      <c r="H40" s="403"/>
      <c r="I40" s="403"/>
      <c r="J40" s="403"/>
      <c r="K40" s="403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topLeftCell="B1" zoomScale="60" zoomScaleNormal="80" workbookViewId="0">
      <selection activeCell="D14" sqref="D1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193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200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Wilamette Valley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>
        <v>1498.7239999999999</v>
      </c>
      <c r="D20" s="128">
        <f>C20*$C$62</f>
        <v>104.60012717642665</v>
      </c>
      <c r="E20" s="147">
        <f>41749.5488472448/615</f>
        <v>67.885445280072844</v>
      </c>
      <c r="F20" s="183">
        <f>$C$60</f>
        <v>2.5355612781817829</v>
      </c>
      <c r="G20" s="130">
        <f t="shared" ref="G20:G37" si="1">(D20+E20+F20)/(8.76*$C$63)</f>
        <v>53.92599601839018</v>
      </c>
      <c r="H20" s="128">
        <v>0</v>
      </c>
      <c r="I20" s="128">
        <v>-22.278000000000002</v>
      </c>
      <c r="J20" s="130">
        <f t="shared" ref="J20:J37" si="2">(G20+H20+I20)</f>
        <v>31.647996018390177</v>
      </c>
      <c r="K20" s="130">
        <f t="shared" ref="K20:K37" si="3">ROUND(J20*$C$63*8.76,2)</f>
        <v>102.72</v>
      </c>
      <c r="L20" s="128">
        <f t="shared" ref="L20:L37" si="4">(D20+E20+F20)</f>
        <v>175.02113373468126</v>
      </c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>
        <f t="shared" ref="D21:D37" si="5">ROUND(D20*(1+IRP21_Infl_Rate),2)</f>
        <v>106.85</v>
      </c>
      <c r="E21" s="128">
        <f t="shared" ref="E21:E37" si="6">ROUND(E20*(1+IRP21_Infl_Rate),2)</f>
        <v>69.349999999999994</v>
      </c>
      <c r="F21" s="128">
        <f t="shared" ref="F21:F37" si="7">ROUND(F20*(1+IRP21_Infl_Rate),2)</f>
        <v>2.59</v>
      </c>
      <c r="G21" s="130">
        <f t="shared" si="1"/>
        <v>55.087226453141675</v>
      </c>
      <c r="H21" s="128">
        <v>0</v>
      </c>
      <c r="I21" s="128">
        <v>-23.07</v>
      </c>
      <c r="J21" s="130">
        <f t="shared" si="2"/>
        <v>32.017226453141674</v>
      </c>
      <c r="K21" s="130">
        <f t="shared" si="3"/>
        <v>103.91</v>
      </c>
      <c r="L21" s="128">
        <f t="shared" si="4"/>
        <v>178.79</v>
      </c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>
        <f t="shared" si="5"/>
        <v>109.15</v>
      </c>
      <c r="E22" s="128">
        <f t="shared" si="6"/>
        <v>70.84</v>
      </c>
      <c r="F22" s="128">
        <f t="shared" si="7"/>
        <v>2.65</v>
      </c>
      <c r="G22" s="130">
        <f t="shared" si="1"/>
        <v>56.273455111593471</v>
      </c>
      <c r="H22" s="128">
        <v>0</v>
      </c>
      <c r="I22" s="128">
        <v>-23.07</v>
      </c>
      <c r="J22" s="130">
        <f t="shared" si="2"/>
        <v>33.20345511159347</v>
      </c>
      <c r="K22" s="130">
        <f t="shared" si="3"/>
        <v>107.76</v>
      </c>
      <c r="L22" s="128">
        <f t="shared" si="4"/>
        <v>182.64000000000001</v>
      </c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>
        <f t="shared" si="5"/>
        <v>111.5</v>
      </c>
      <c r="E23" s="128">
        <f t="shared" si="6"/>
        <v>72.37</v>
      </c>
      <c r="F23" s="128">
        <f t="shared" si="7"/>
        <v>2.71</v>
      </c>
      <c r="G23" s="130">
        <f t="shared" si="1"/>
        <v>57.487413790632445</v>
      </c>
      <c r="H23" s="128">
        <v>0</v>
      </c>
      <c r="I23" s="128">
        <v>-23.867999999999999</v>
      </c>
      <c r="J23" s="130">
        <f t="shared" si="2"/>
        <v>33.61941379063245</v>
      </c>
      <c r="K23" s="130">
        <f t="shared" si="3"/>
        <v>109.11</v>
      </c>
      <c r="L23" s="128">
        <f t="shared" si="4"/>
        <v>186.58</v>
      </c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/>
      <c r="D24" s="128">
        <f t="shared" si="5"/>
        <v>113.9</v>
      </c>
      <c r="E24" s="128">
        <f t="shared" si="6"/>
        <v>73.930000000000007</v>
      </c>
      <c r="F24" s="128">
        <f t="shared" si="7"/>
        <v>2.77</v>
      </c>
      <c r="G24" s="130">
        <f t="shared" si="1"/>
        <v>58.726021376860032</v>
      </c>
      <c r="H24" s="128">
        <v>0</v>
      </c>
      <c r="I24" s="128">
        <v>-24.666</v>
      </c>
      <c r="J24" s="130">
        <f t="shared" si="2"/>
        <v>34.060021376860036</v>
      </c>
      <c r="K24" s="130">
        <f t="shared" si="3"/>
        <v>110.54</v>
      </c>
      <c r="L24" s="128">
        <f t="shared" si="4"/>
        <v>190.60000000000002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si="5"/>
        <v>116.35</v>
      </c>
      <c r="E25" s="128">
        <f t="shared" si="6"/>
        <v>75.52</v>
      </c>
      <c r="F25" s="128">
        <f t="shared" si="7"/>
        <v>2.83</v>
      </c>
      <c r="G25" s="130">
        <f t="shared" si="1"/>
        <v>59.989277870276219</v>
      </c>
      <c r="H25" s="128">
        <v>0</v>
      </c>
      <c r="I25" s="128">
        <v>-24.666</v>
      </c>
      <c r="J25" s="130">
        <f t="shared" si="2"/>
        <v>35.323277870276215</v>
      </c>
      <c r="K25" s="130">
        <f t="shared" si="3"/>
        <v>114.64</v>
      </c>
      <c r="L25" s="128">
        <f t="shared" si="4"/>
        <v>194.70000000000002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118.86</v>
      </c>
      <c r="E26" s="128">
        <f t="shared" si="6"/>
        <v>77.150000000000006</v>
      </c>
      <c r="F26" s="128">
        <f t="shared" si="7"/>
        <v>2.89</v>
      </c>
      <c r="G26" s="130">
        <f t="shared" si="1"/>
        <v>61.283345497678155</v>
      </c>
      <c r="H26" s="128">
        <v>0</v>
      </c>
      <c r="I26" s="128">
        <v>-25.457999999999998</v>
      </c>
      <c r="J26" s="130">
        <f t="shared" si="2"/>
        <v>35.825345497678157</v>
      </c>
      <c r="K26" s="130">
        <f t="shared" si="3"/>
        <v>116.27</v>
      </c>
      <c r="L26" s="128">
        <f t="shared" si="4"/>
        <v>198.89999999999998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121.42</v>
      </c>
      <c r="E27" s="128">
        <f t="shared" si="6"/>
        <v>78.81</v>
      </c>
      <c r="F27" s="128">
        <f t="shared" si="7"/>
        <v>2.95</v>
      </c>
      <c r="G27" s="130">
        <f t="shared" si="1"/>
        <v>62.602062032268726</v>
      </c>
      <c r="H27" s="128">
        <v>0</v>
      </c>
      <c r="I27" s="128">
        <v>-26.255999999999997</v>
      </c>
      <c r="J27" s="130">
        <f t="shared" si="2"/>
        <v>36.346062032268733</v>
      </c>
      <c r="K27" s="130">
        <f t="shared" si="3"/>
        <v>117.96</v>
      </c>
      <c r="L27" s="128">
        <f t="shared" si="4"/>
        <v>203.18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124.04</v>
      </c>
      <c r="E28" s="128">
        <f t="shared" si="6"/>
        <v>80.510000000000005</v>
      </c>
      <c r="F28" s="128">
        <f t="shared" si="7"/>
        <v>3.01</v>
      </c>
      <c r="G28" s="130">
        <f t="shared" si="1"/>
        <v>63.951589700845048</v>
      </c>
      <c r="H28" s="128">
        <v>0</v>
      </c>
      <c r="I28" s="128">
        <v>-26.255999999999997</v>
      </c>
      <c r="J28" s="130">
        <f t="shared" si="2"/>
        <v>37.695589700845048</v>
      </c>
      <c r="K28" s="130">
        <f t="shared" si="3"/>
        <v>122.34</v>
      </c>
      <c r="L28" s="128">
        <f t="shared" si="4"/>
        <v>207.56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126.71</v>
      </c>
      <c r="E29" s="128">
        <f t="shared" si="6"/>
        <v>82.24</v>
      </c>
      <c r="F29" s="128">
        <f t="shared" si="7"/>
        <v>3.07</v>
      </c>
      <c r="G29" s="130">
        <f t="shared" si="1"/>
        <v>65.325766276609968</v>
      </c>
      <c r="H29" s="128">
        <v>0</v>
      </c>
      <c r="I29" s="128">
        <v>-27.054000000000002</v>
      </c>
      <c r="J29" s="130">
        <f t="shared" si="2"/>
        <v>38.271766276609966</v>
      </c>
      <c r="K29" s="130">
        <f t="shared" si="3"/>
        <v>124.21</v>
      </c>
      <c r="L29" s="128">
        <f t="shared" si="4"/>
        <v>212.01999999999998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129.44</v>
      </c>
      <c r="E30" s="128">
        <f t="shared" si="6"/>
        <v>84.01</v>
      </c>
      <c r="F30" s="128">
        <f t="shared" si="7"/>
        <v>3.14</v>
      </c>
      <c r="G30" s="130">
        <f t="shared" si="1"/>
        <v>66.733835099759233</v>
      </c>
      <c r="H30" s="128">
        <v>0</v>
      </c>
      <c r="I30" s="128">
        <v>0</v>
      </c>
      <c r="J30" s="130">
        <f t="shared" si="2"/>
        <v>66.733835099759233</v>
      </c>
      <c r="K30" s="130">
        <f t="shared" si="3"/>
        <v>216.59</v>
      </c>
      <c r="L30" s="128">
        <f t="shared" si="4"/>
        <v>216.58999999999997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132.22999999999999</v>
      </c>
      <c r="E31" s="128">
        <f t="shared" si="6"/>
        <v>85.82</v>
      </c>
      <c r="F31" s="128">
        <f t="shared" si="7"/>
        <v>3.21</v>
      </c>
      <c r="G31" s="130">
        <f t="shared" si="1"/>
        <v>68.172715056894276</v>
      </c>
      <c r="H31" s="128">
        <v>0</v>
      </c>
      <c r="I31" s="128">
        <v>0</v>
      </c>
      <c r="J31" s="130">
        <f t="shared" si="2"/>
        <v>68.172715056894276</v>
      </c>
      <c r="K31" s="130">
        <f t="shared" si="3"/>
        <v>221.26</v>
      </c>
      <c r="L31" s="128">
        <f t="shared" si="4"/>
        <v>221.26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135.08000000000001</v>
      </c>
      <c r="E32" s="128">
        <f t="shared" si="6"/>
        <v>87.67</v>
      </c>
      <c r="F32" s="128">
        <f t="shared" si="7"/>
        <v>3.28</v>
      </c>
      <c r="G32" s="130">
        <f t="shared" si="1"/>
        <v>69.642406148015056</v>
      </c>
      <c r="H32" s="128">
        <v>0</v>
      </c>
      <c r="I32" s="128">
        <v>0</v>
      </c>
      <c r="J32" s="130">
        <f t="shared" si="2"/>
        <v>69.642406148015056</v>
      </c>
      <c r="K32" s="130">
        <f t="shared" si="3"/>
        <v>226.03</v>
      </c>
      <c r="L32" s="128">
        <f t="shared" si="4"/>
        <v>226.03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5"/>
        <v>137.99</v>
      </c>
      <c r="E33" s="128">
        <f t="shared" si="6"/>
        <v>89.56</v>
      </c>
      <c r="F33" s="128">
        <f t="shared" si="7"/>
        <v>3.35</v>
      </c>
      <c r="G33" s="130">
        <f t="shared" si="1"/>
        <v>71.142908373121614</v>
      </c>
      <c r="H33" s="128">
        <v>0</v>
      </c>
      <c r="I33" s="128">
        <v>0</v>
      </c>
      <c r="J33" s="130">
        <f t="shared" si="2"/>
        <v>71.142908373121614</v>
      </c>
      <c r="K33" s="130">
        <f t="shared" si="3"/>
        <v>230.9</v>
      </c>
      <c r="L33" s="128">
        <f t="shared" si="4"/>
        <v>230.9</v>
      </c>
      <c r="M33" s="119"/>
      <c r="O33" s="117"/>
    </row>
    <row r="34" spans="2:15">
      <c r="B34" s="135">
        <f t="shared" si="0"/>
        <v>2040</v>
      </c>
      <c r="C34" s="136"/>
      <c r="D34" s="128">
        <f t="shared" si="5"/>
        <v>140.96</v>
      </c>
      <c r="E34" s="128">
        <f t="shared" si="6"/>
        <v>91.49</v>
      </c>
      <c r="F34" s="128">
        <f t="shared" si="7"/>
        <v>3.42</v>
      </c>
      <c r="G34" s="130">
        <f t="shared" si="1"/>
        <v>72.674221732213908</v>
      </c>
      <c r="H34" s="128">
        <v>0</v>
      </c>
      <c r="I34" s="128">
        <v>0</v>
      </c>
      <c r="J34" s="130">
        <f t="shared" si="2"/>
        <v>72.674221732213908</v>
      </c>
      <c r="K34" s="130">
        <f t="shared" si="3"/>
        <v>235.87</v>
      </c>
      <c r="L34" s="128">
        <f t="shared" si="4"/>
        <v>235.86999999999998</v>
      </c>
      <c r="M34" s="119"/>
      <c r="O34" s="117"/>
    </row>
    <row r="35" spans="2:15">
      <c r="B35" s="135">
        <f t="shared" si="0"/>
        <v>2041</v>
      </c>
      <c r="C35" s="136"/>
      <c r="D35" s="128">
        <f t="shared" si="5"/>
        <v>144</v>
      </c>
      <c r="E35" s="128">
        <f t="shared" si="6"/>
        <v>93.46</v>
      </c>
      <c r="F35" s="128">
        <f t="shared" si="7"/>
        <v>3.49</v>
      </c>
      <c r="G35" s="130">
        <f t="shared" si="1"/>
        <v>74.239427338690561</v>
      </c>
      <c r="H35" s="128">
        <v>0</v>
      </c>
      <c r="I35" s="128">
        <v>0</v>
      </c>
      <c r="J35" s="130">
        <f t="shared" si="2"/>
        <v>74.239427338690561</v>
      </c>
      <c r="K35" s="130">
        <f t="shared" si="3"/>
        <v>240.95</v>
      </c>
      <c r="L35" s="128">
        <f t="shared" si="4"/>
        <v>240.95</v>
      </c>
      <c r="M35" s="119"/>
      <c r="O35" s="117"/>
    </row>
    <row r="36" spans="2:15">
      <c r="B36" s="135">
        <f t="shared" si="0"/>
        <v>2042</v>
      </c>
      <c r="C36" s="136"/>
      <c r="D36" s="128">
        <f t="shared" si="5"/>
        <v>147.1</v>
      </c>
      <c r="E36" s="128">
        <f t="shared" si="6"/>
        <v>95.47</v>
      </c>
      <c r="F36" s="128">
        <f t="shared" si="7"/>
        <v>3.57</v>
      </c>
      <c r="G36" s="130">
        <f t="shared" si="1"/>
        <v>75.838525192551543</v>
      </c>
      <c r="H36" s="128">
        <v>0</v>
      </c>
      <c r="I36" s="128">
        <v>0</v>
      </c>
      <c r="J36" s="130">
        <f t="shared" si="2"/>
        <v>75.838525192551543</v>
      </c>
      <c r="K36" s="130">
        <f t="shared" si="3"/>
        <v>246.14</v>
      </c>
      <c r="L36" s="128">
        <f t="shared" si="4"/>
        <v>246.14</v>
      </c>
      <c r="M36" s="119"/>
      <c r="O36" s="117"/>
    </row>
    <row r="37" spans="2:15">
      <c r="B37" s="135">
        <f t="shared" si="0"/>
        <v>2043</v>
      </c>
      <c r="C37" s="136"/>
      <c r="D37" s="128">
        <f t="shared" si="5"/>
        <v>150.27000000000001</v>
      </c>
      <c r="E37" s="128">
        <f t="shared" si="6"/>
        <v>97.53</v>
      </c>
      <c r="F37" s="128">
        <f t="shared" si="7"/>
        <v>3.65</v>
      </c>
      <c r="G37" s="130">
        <f t="shared" si="1"/>
        <v>77.474596407195449</v>
      </c>
      <c r="H37" s="128">
        <v>0</v>
      </c>
      <c r="I37" s="128">
        <v>0</v>
      </c>
      <c r="J37" s="130">
        <f t="shared" si="2"/>
        <v>77.474596407195449</v>
      </c>
      <c r="K37" s="130">
        <f t="shared" si="3"/>
        <v>251.45</v>
      </c>
      <c r="L37" s="128">
        <f t="shared" si="4"/>
        <v>251.45000000000002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Wilamette Valley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2026</v>
      </c>
    </row>
    <row r="55" spans="2:28">
      <c r="B55" s="344" t="s">
        <v>186</v>
      </c>
      <c r="C55" s="411">
        <f>921715.26/615</f>
        <v>1498.7239999999999</v>
      </c>
      <c r="D55" s="117" t="s">
        <v>65</v>
      </c>
      <c r="P55" s="117">
        <v>615</v>
      </c>
      <c r="Q55" s="117" t="s">
        <v>32</v>
      </c>
    </row>
    <row r="56" spans="2:28">
      <c r="B56" s="344" t="s">
        <v>186</v>
      </c>
      <c r="C56" s="147">
        <f>41749.5488472448/615</f>
        <v>67.885445280072844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2.5355612781817829</v>
      </c>
      <c r="D60" s="117" t="s">
        <v>153</v>
      </c>
      <c r="F60" s="117" t="s">
        <v>177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0.37049999910522241</v>
      </c>
      <c r="D63" s="117" t="s">
        <v>37</v>
      </c>
    </row>
    <row r="64" spans="2:28">
      <c r="D64" s="153"/>
    </row>
    <row r="65" spans="15:15" s="119" customFormat="1">
      <c r="O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topLeftCell="B1" zoomScale="80" zoomScaleNormal="80" workbookViewId="0">
      <selection activeCell="C24" sqref="C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240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Yakima Wind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356"/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356"/>
      <c r="G21" s="130"/>
      <c r="H21" s="128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356"/>
      <c r="G22" s="130"/>
      <c r="H22" s="128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356"/>
      <c r="G23" s="130"/>
      <c r="H23" s="128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>
        <v>1498.7239999999999</v>
      </c>
      <c r="D24" s="128">
        <f>C24*$C$62</f>
        <v>104.60012717642665</v>
      </c>
      <c r="E24" s="147">
        <f>41749.5488472448/615</f>
        <v>67.885445280072844</v>
      </c>
      <c r="F24" s="183">
        <f>$C$60</f>
        <v>5.7969932450072994</v>
      </c>
      <c r="G24" s="130">
        <f t="shared" ref="G24" si="1">(D24+E24+F24)/(8.76*$C$63)</f>
        <v>54.93088006186909</v>
      </c>
      <c r="H24" s="128">
        <v>0</v>
      </c>
      <c r="I24" s="128"/>
      <c r="J24" s="130">
        <f t="shared" ref="J24" si="2">(G24+H24+I24)</f>
        <v>54.93088006186909</v>
      </c>
      <c r="K24" s="130">
        <f t="shared" ref="K24" si="3">ROUND(J24*$C$63*8.76,2)</f>
        <v>178.28</v>
      </c>
      <c r="L24" s="128">
        <f t="shared" ref="L24" si="4">(D24+E24+F24)</f>
        <v>178.28256570150677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ref="D25:F36" si="5">ROUND(D24*(1+IRP21_Infl_Rate),2)</f>
        <v>106.85</v>
      </c>
      <c r="E25" s="128">
        <f t="shared" si="5"/>
        <v>69.349999999999994</v>
      </c>
      <c r="F25" s="128">
        <f t="shared" si="5"/>
        <v>5.92</v>
      </c>
      <c r="G25" s="130">
        <f t="shared" ref="G25:G37" si="6">(D25+E25+F25)/(8.76*$C$63)</f>
        <v>56.113237082402208</v>
      </c>
      <c r="H25" s="128">
        <v>0</v>
      </c>
      <c r="I25" s="128"/>
      <c r="J25" s="130">
        <f t="shared" ref="J25:J37" si="7">(G25+H25+I25)</f>
        <v>56.113237082402208</v>
      </c>
      <c r="K25" s="130">
        <f t="shared" ref="K25:K37" si="8">ROUND(J25*$C$63*8.76,2)</f>
        <v>182.12</v>
      </c>
      <c r="L25" s="128">
        <f t="shared" ref="L25:L37" si="9">(D25+E25+F25)</f>
        <v>182.11999999999998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109.15</v>
      </c>
      <c r="E26" s="128">
        <f t="shared" si="5"/>
        <v>70.84</v>
      </c>
      <c r="F26" s="128">
        <f t="shared" si="5"/>
        <v>6.05</v>
      </c>
      <c r="G26" s="130">
        <f t="shared" si="6"/>
        <v>57.321033531792821</v>
      </c>
      <c r="H26" s="128">
        <v>0</v>
      </c>
      <c r="I26" s="128"/>
      <c r="J26" s="130">
        <f t="shared" si="7"/>
        <v>57.321033531792821</v>
      </c>
      <c r="K26" s="130">
        <f t="shared" si="8"/>
        <v>186.04</v>
      </c>
      <c r="L26" s="128">
        <f t="shared" si="9"/>
        <v>186.04000000000002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111.5</v>
      </c>
      <c r="E27" s="128">
        <f t="shared" si="5"/>
        <v>72.37</v>
      </c>
      <c r="F27" s="128">
        <f t="shared" si="5"/>
        <v>6.18</v>
      </c>
      <c r="G27" s="130">
        <f t="shared" si="6"/>
        <v>58.556560001705151</v>
      </c>
      <c r="H27" s="128">
        <v>0</v>
      </c>
      <c r="I27" s="128"/>
      <c r="J27" s="130">
        <f t="shared" si="7"/>
        <v>58.556560001705151</v>
      </c>
      <c r="K27" s="130">
        <f t="shared" si="8"/>
        <v>190.05</v>
      </c>
      <c r="L27" s="128">
        <f t="shared" si="9"/>
        <v>190.05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113.9</v>
      </c>
      <c r="E28" s="128">
        <f t="shared" si="5"/>
        <v>73.930000000000007</v>
      </c>
      <c r="F28" s="128">
        <f t="shared" si="5"/>
        <v>6.31</v>
      </c>
      <c r="G28" s="130">
        <f t="shared" si="6"/>
        <v>59.816735378747893</v>
      </c>
      <c r="H28" s="128">
        <v>0</v>
      </c>
      <c r="I28" s="128"/>
      <c r="J28" s="130">
        <f t="shared" si="7"/>
        <v>59.816735378747893</v>
      </c>
      <c r="K28" s="130">
        <f t="shared" si="8"/>
        <v>194.14</v>
      </c>
      <c r="L28" s="128">
        <f t="shared" si="9"/>
        <v>194.14000000000001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116.35</v>
      </c>
      <c r="E29" s="128">
        <f t="shared" si="5"/>
        <v>75.52</v>
      </c>
      <c r="F29" s="128">
        <f t="shared" si="5"/>
        <v>6.45</v>
      </c>
      <c r="G29" s="130">
        <f t="shared" si="6"/>
        <v>61.104640776312358</v>
      </c>
      <c r="H29" s="128">
        <v>0</v>
      </c>
      <c r="I29" s="128"/>
      <c r="J29" s="130">
        <f t="shared" si="7"/>
        <v>61.104640776312358</v>
      </c>
      <c r="K29" s="130">
        <f t="shared" si="8"/>
        <v>198.32</v>
      </c>
      <c r="L29" s="128">
        <f t="shared" si="9"/>
        <v>198.32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118.86</v>
      </c>
      <c r="E30" s="128">
        <f t="shared" si="5"/>
        <v>77.150000000000006</v>
      </c>
      <c r="F30" s="128">
        <f t="shared" si="5"/>
        <v>6.59</v>
      </c>
      <c r="G30" s="130">
        <f t="shared" si="6"/>
        <v>62.423357307789857</v>
      </c>
      <c r="H30" s="128">
        <v>0</v>
      </c>
      <c r="I30" s="128"/>
      <c r="J30" s="130">
        <f t="shared" si="7"/>
        <v>62.423357307789857</v>
      </c>
      <c r="K30" s="130">
        <f t="shared" si="8"/>
        <v>202.6</v>
      </c>
      <c r="L30" s="128">
        <f t="shared" si="9"/>
        <v>202.6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121.42</v>
      </c>
      <c r="E31" s="128">
        <f t="shared" si="5"/>
        <v>78.81</v>
      </c>
      <c r="F31" s="128">
        <f t="shared" si="5"/>
        <v>6.73</v>
      </c>
      <c r="G31" s="130">
        <f t="shared" si="6"/>
        <v>63.766722746397775</v>
      </c>
      <c r="H31" s="128">
        <v>0</v>
      </c>
      <c r="I31" s="128"/>
      <c r="J31" s="130">
        <f t="shared" si="7"/>
        <v>63.766722746397775</v>
      </c>
      <c r="K31" s="130">
        <f t="shared" si="8"/>
        <v>206.96</v>
      </c>
      <c r="L31" s="128">
        <f t="shared" si="9"/>
        <v>206.96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124.04</v>
      </c>
      <c r="E32" s="128">
        <f t="shared" si="5"/>
        <v>80.510000000000005</v>
      </c>
      <c r="F32" s="128">
        <f t="shared" si="5"/>
        <v>6.88</v>
      </c>
      <c r="G32" s="130">
        <f t="shared" si="6"/>
        <v>65.143980432310016</v>
      </c>
      <c r="H32" s="128">
        <v>0</v>
      </c>
      <c r="I32" s="128"/>
      <c r="J32" s="130">
        <f t="shared" si="7"/>
        <v>65.143980432310016</v>
      </c>
      <c r="K32" s="130">
        <f t="shared" si="8"/>
        <v>211.43</v>
      </c>
      <c r="L32" s="128">
        <f t="shared" si="9"/>
        <v>211.43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5"/>
        <v>126.71</v>
      </c>
      <c r="E33" s="128">
        <f t="shared" si="5"/>
        <v>82.24</v>
      </c>
      <c r="F33" s="128">
        <f t="shared" si="5"/>
        <v>7.03</v>
      </c>
      <c r="G33" s="130">
        <f t="shared" si="6"/>
        <v>66.545887025352684</v>
      </c>
      <c r="H33" s="128">
        <v>0</v>
      </c>
      <c r="I33" s="128"/>
      <c r="J33" s="130">
        <f t="shared" si="7"/>
        <v>66.545887025352684</v>
      </c>
      <c r="K33" s="130">
        <f t="shared" si="8"/>
        <v>215.98</v>
      </c>
      <c r="L33" s="128">
        <f t="shared" si="9"/>
        <v>215.98</v>
      </c>
      <c r="M33" s="119"/>
      <c r="O33" s="117"/>
    </row>
    <row r="34" spans="2:15">
      <c r="B34" s="135">
        <f t="shared" si="0"/>
        <v>2040</v>
      </c>
      <c r="C34" s="136"/>
      <c r="D34" s="128">
        <f t="shared" si="5"/>
        <v>129.44</v>
      </c>
      <c r="E34" s="128">
        <f t="shared" si="5"/>
        <v>84.01</v>
      </c>
      <c r="F34" s="128">
        <f t="shared" si="5"/>
        <v>7.18</v>
      </c>
      <c r="G34" s="130">
        <f t="shared" si="6"/>
        <v>67.978604752308371</v>
      </c>
      <c r="H34" s="128">
        <v>0</v>
      </c>
      <c r="I34" s="128"/>
      <c r="J34" s="130">
        <f t="shared" si="7"/>
        <v>67.978604752308371</v>
      </c>
      <c r="K34" s="130">
        <f t="shared" si="8"/>
        <v>220.63</v>
      </c>
      <c r="L34" s="128">
        <f t="shared" si="9"/>
        <v>220.63</v>
      </c>
      <c r="M34" s="119"/>
      <c r="O34" s="117"/>
    </row>
    <row r="35" spans="2:15">
      <c r="B35" s="135">
        <f t="shared" si="0"/>
        <v>2041</v>
      </c>
      <c r="C35" s="136"/>
      <c r="D35" s="128">
        <f t="shared" si="5"/>
        <v>132.22999999999999</v>
      </c>
      <c r="E35" s="128">
        <f t="shared" si="5"/>
        <v>85.82</v>
      </c>
      <c r="F35" s="128">
        <f t="shared" si="5"/>
        <v>7.33</v>
      </c>
      <c r="G35" s="130">
        <f t="shared" si="6"/>
        <v>69.442133613177091</v>
      </c>
      <c r="H35" s="128">
        <v>0</v>
      </c>
      <c r="I35" s="128"/>
      <c r="J35" s="130">
        <f t="shared" si="7"/>
        <v>69.442133613177091</v>
      </c>
      <c r="K35" s="130">
        <f t="shared" si="8"/>
        <v>225.38</v>
      </c>
      <c r="L35" s="128">
        <f t="shared" si="9"/>
        <v>225.38</v>
      </c>
      <c r="M35" s="119"/>
      <c r="O35" s="117"/>
    </row>
    <row r="36" spans="2:15">
      <c r="B36" s="135">
        <f t="shared" si="0"/>
        <v>2042</v>
      </c>
      <c r="C36" s="136"/>
      <c r="D36" s="128">
        <f t="shared" si="5"/>
        <v>135.08000000000001</v>
      </c>
      <c r="E36" s="128">
        <f t="shared" si="5"/>
        <v>87.67</v>
      </c>
      <c r="F36" s="128">
        <f t="shared" si="5"/>
        <v>7.49</v>
      </c>
      <c r="G36" s="130">
        <f t="shared" si="6"/>
        <v>70.939554721350135</v>
      </c>
      <c r="H36" s="128">
        <v>0</v>
      </c>
      <c r="I36" s="128"/>
      <c r="J36" s="130">
        <f t="shared" si="7"/>
        <v>70.939554721350135</v>
      </c>
      <c r="K36" s="130">
        <f t="shared" si="8"/>
        <v>230.24</v>
      </c>
      <c r="L36" s="128">
        <f t="shared" si="9"/>
        <v>230.24</v>
      </c>
      <c r="M36" s="119"/>
      <c r="O36" s="117"/>
    </row>
    <row r="37" spans="2:15">
      <c r="B37" s="135">
        <f t="shared" si="0"/>
        <v>2043</v>
      </c>
      <c r="C37" s="136"/>
      <c r="D37" s="128">
        <f t="shared" ref="D37:F37" si="10">ROUND(D36*(1+IRP21_Infl_Rate),2)</f>
        <v>137.99</v>
      </c>
      <c r="E37" s="128">
        <f t="shared" si="10"/>
        <v>89.56</v>
      </c>
      <c r="F37" s="128">
        <f t="shared" si="10"/>
        <v>7.65</v>
      </c>
      <c r="G37" s="130">
        <f t="shared" si="6"/>
        <v>72.467786963436211</v>
      </c>
      <c r="H37" s="128">
        <v>0</v>
      </c>
      <c r="I37" s="128"/>
      <c r="J37" s="130">
        <f t="shared" si="7"/>
        <v>72.467786963436211</v>
      </c>
      <c r="K37" s="130">
        <f t="shared" si="8"/>
        <v>235.2</v>
      </c>
      <c r="L37" s="128">
        <f t="shared" si="9"/>
        <v>235.20000000000002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Yakima Wind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2030</v>
      </c>
    </row>
    <row r="55" spans="2:28">
      <c r="B55" s="344" t="s">
        <v>219</v>
      </c>
      <c r="C55" s="411">
        <f>254616/160</f>
        <v>1591.35</v>
      </c>
      <c r="D55" s="117" t="s">
        <v>65</v>
      </c>
      <c r="P55" s="117">
        <v>160</v>
      </c>
      <c r="Q55" s="117" t="s">
        <v>32</v>
      </c>
    </row>
    <row r="56" spans="2:28">
      <c r="B56" s="344" t="s">
        <v>219</v>
      </c>
      <c r="C56" s="147">
        <f>11828.6487075816/160</f>
        <v>73.929054422385008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2030$</v>
      </c>
      <c r="C60" s="152">
        <f>INDEX('Table 3 TransCost'!$39:$39,1,MATCH(F60,'Table 3 TransCost'!$4:$4,0)+2)</f>
        <v>5.7969932450072994</v>
      </c>
      <c r="D60" s="117" t="s">
        <v>153</v>
      </c>
      <c r="F60" s="117" t="s">
        <v>147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0.37049999997985367</v>
      </c>
      <c r="D63" s="117" t="s">
        <v>37</v>
      </c>
    </row>
    <row r="64" spans="2:28">
      <c r="D64" s="153"/>
    </row>
    <row r="65" spans="15:15" s="119" customFormat="1">
      <c r="O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zoomScale="70" zoomScaleNormal="70" workbookViewId="0">
      <selection activeCell="C20" sqref="C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161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183">
        <f>$C$60</f>
        <v>58.544856686682266</v>
      </c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128">
        <f t="shared" ref="F20:F37" si="1">ROUND(F19*(1+IRP21_Infl_Rate),2)</f>
        <v>59.81</v>
      </c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128">
        <f t="shared" si="1"/>
        <v>61.1</v>
      </c>
      <c r="G21" s="130"/>
      <c r="H21" s="183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128">
        <f t="shared" si="1"/>
        <v>62.42</v>
      </c>
      <c r="G22" s="130"/>
      <c r="H22" s="183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128">
        <f t="shared" si="1"/>
        <v>63.77</v>
      </c>
      <c r="G23" s="130"/>
      <c r="H23" s="183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>
        <v>1552.7760000000001</v>
      </c>
      <c r="D24" s="128">
        <f>C24*$C$62</f>
        <v>108.37256698131416</v>
      </c>
      <c r="E24" s="147">
        <f>9241.39507495671/289.216</f>
        <v>31.953263564106791</v>
      </c>
      <c r="F24" s="128">
        <f t="shared" si="1"/>
        <v>65.14</v>
      </c>
      <c r="G24" s="130">
        <f t="shared" ref="G24:G37" si="2">(D24+E24+F24)/(8.76*$C$63)</f>
        <v>53.771213862693294</v>
      </c>
      <c r="H24" s="417">
        <v>0.80400000000000005</v>
      </c>
      <c r="I24" s="128"/>
      <c r="J24" s="130">
        <f t="shared" ref="J24:J37" si="3">(G24+H24+I24)</f>
        <v>54.575213862693296</v>
      </c>
      <c r="K24" s="130">
        <f t="shared" ref="K24:K32" si="4">ROUND(J24*$C$63*8.76,2)</f>
        <v>208.54</v>
      </c>
      <c r="L24" s="128">
        <f t="shared" ref="L24:L37" si="5">(D24+E24+F24)</f>
        <v>205.46583054542094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ref="D25:D37" si="6">ROUND(D24*(1+IRP21_Infl_Rate),2)</f>
        <v>110.71</v>
      </c>
      <c r="E25" s="128">
        <f t="shared" ref="E25:E37" si="7">ROUND(E24*(1+IRP21_Infl_Rate),2)</f>
        <v>32.64</v>
      </c>
      <c r="F25" s="128">
        <f t="shared" si="1"/>
        <v>66.540000000000006</v>
      </c>
      <c r="G25" s="130">
        <f t="shared" si="2"/>
        <v>54.929036364252141</v>
      </c>
      <c r="H25" s="128">
        <f t="shared" ref="H25:H37" si="8">ROUND(H24*(1+IRP21_Infl_Rate),2)</f>
        <v>0.82</v>
      </c>
      <c r="I25" s="128"/>
      <c r="J25" s="130">
        <f t="shared" si="3"/>
        <v>55.749036364252142</v>
      </c>
      <c r="K25" s="130">
        <f t="shared" si="4"/>
        <v>213.02</v>
      </c>
      <c r="L25" s="128">
        <f t="shared" si="5"/>
        <v>209.89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6"/>
        <v>113.1</v>
      </c>
      <c r="E26" s="128">
        <f t="shared" si="7"/>
        <v>33.340000000000003</v>
      </c>
      <c r="F26" s="128">
        <f t="shared" si="1"/>
        <v>67.97</v>
      </c>
      <c r="G26" s="130">
        <f t="shared" si="2"/>
        <v>56.11193809547526</v>
      </c>
      <c r="H26" s="128">
        <f t="shared" si="8"/>
        <v>0.84</v>
      </c>
      <c r="I26" s="128"/>
      <c r="J26" s="130">
        <f t="shared" si="3"/>
        <v>56.951938095475263</v>
      </c>
      <c r="K26" s="130">
        <f t="shared" si="4"/>
        <v>217.62</v>
      </c>
      <c r="L26" s="128">
        <f t="shared" si="5"/>
        <v>214.41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6"/>
        <v>115.54</v>
      </c>
      <c r="E27" s="128">
        <f t="shared" si="7"/>
        <v>34.06</v>
      </c>
      <c r="F27" s="128">
        <f t="shared" si="1"/>
        <v>69.430000000000007</v>
      </c>
      <c r="G27" s="130">
        <f t="shared" si="2"/>
        <v>57.321010218982082</v>
      </c>
      <c r="H27" s="128">
        <f t="shared" si="8"/>
        <v>0.86</v>
      </c>
      <c r="I27" s="128"/>
      <c r="J27" s="130">
        <f t="shared" si="3"/>
        <v>58.181010218982081</v>
      </c>
      <c r="K27" s="130">
        <f t="shared" si="4"/>
        <v>222.32</v>
      </c>
      <c r="L27" s="128">
        <f t="shared" si="5"/>
        <v>219.03000000000003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6"/>
        <v>118.03</v>
      </c>
      <c r="E28" s="128">
        <f t="shared" si="7"/>
        <v>34.79</v>
      </c>
      <c r="F28" s="128">
        <f t="shared" si="1"/>
        <v>70.930000000000007</v>
      </c>
      <c r="G28" s="130">
        <f t="shared" si="2"/>
        <v>58.556252734772585</v>
      </c>
      <c r="H28" s="128">
        <f t="shared" si="8"/>
        <v>0.88</v>
      </c>
      <c r="I28" s="128"/>
      <c r="J28" s="130">
        <f t="shared" si="3"/>
        <v>59.436252734772587</v>
      </c>
      <c r="K28" s="130">
        <f t="shared" si="4"/>
        <v>227.11</v>
      </c>
      <c r="L28" s="128">
        <f t="shared" si="5"/>
        <v>223.75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6"/>
        <v>120.57</v>
      </c>
      <c r="E29" s="128">
        <f t="shared" si="7"/>
        <v>35.54</v>
      </c>
      <c r="F29" s="128">
        <f t="shared" si="1"/>
        <v>72.459999999999994</v>
      </c>
      <c r="G29" s="130">
        <f t="shared" si="2"/>
        <v>59.817665642846784</v>
      </c>
      <c r="H29" s="128">
        <f t="shared" si="8"/>
        <v>0.9</v>
      </c>
      <c r="I29" s="128"/>
      <c r="J29" s="130">
        <f t="shared" si="3"/>
        <v>60.717665642846782</v>
      </c>
      <c r="K29" s="130">
        <f t="shared" si="4"/>
        <v>232.01</v>
      </c>
      <c r="L29" s="128">
        <f t="shared" si="5"/>
        <v>228.57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6"/>
        <v>123.17</v>
      </c>
      <c r="E30" s="128">
        <f t="shared" si="7"/>
        <v>36.31</v>
      </c>
      <c r="F30" s="128">
        <f t="shared" si="1"/>
        <v>74.02</v>
      </c>
      <c r="G30" s="130">
        <f t="shared" si="2"/>
        <v>61.107865982433061</v>
      </c>
      <c r="H30" s="128">
        <f t="shared" si="8"/>
        <v>0.92</v>
      </c>
      <c r="I30" s="128"/>
      <c r="J30" s="130">
        <f t="shared" si="3"/>
        <v>62.027865982433063</v>
      </c>
      <c r="K30" s="130">
        <f t="shared" si="4"/>
        <v>237.02</v>
      </c>
      <c r="L30" s="128">
        <f t="shared" si="5"/>
        <v>233.5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6"/>
        <v>125.82</v>
      </c>
      <c r="E31" s="128">
        <f t="shared" si="7"/>
        <v>37.090000000000003</v>
      </c>
      <c r="F31" s="128">
        <f t="shared" si="1"/>
        <v>75.62</v>
      </c>
      <c r="G31" s="130">
        <f t="shared" si="2"/>
        <v>62.424236714303035</v>
      </c>
      <c r="H31" s="128">
        <f t="shared" si="8"/>
        <v>0.94</v>
      </c>
      <c r="I31" s="128"/>
      <c r="J31" s="130">
        <f t="shared" si="3"/>
        <v>63.364236714303033</v>
      </c>
      <c r="K31" s="130">
        <f t="shared" si="4"/>
        <v>242.12</v>
      </c>
      <c r="L31" s="128">
        <f t="shared" si="5"/>
        <v>238.53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6"/>
        <v>128.53</v>
      </c>
      <c r="E32" s="128">
        <f t="shared" si="7"/>
        <v>37.89</v>
      </c>
      <c r="F32" s="128">
        <f t="shared" si="1"/>
        <v>77.25</v>
      </c>
      <c r="G32" s="130">
        <f t="shared" si="2"/>
        <v>63.769394877685073</v>
      </c>
      <c r="H32" s="128">
        <f t="shared" si="8"/>
        <v>0.96</v>
      </c>
      <c r="I32" s="128"/>
      <c r="J32" s="130">
        <f t="shared" si="3"/>
        <v>64.729394877685067</v>
      </c>
      <c r="K32" s="130">
        <f t="shared" si="4"/>
        <v>247.34</v>
      </c>
      <c r="L32" s="128">
        <f t="shared" si="5"/>
        <v>243.67000000000002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6"/>
        <v>131.30000000000001</v>
      </c>
      <c r="E33" s="128">
        <f t="shared" si="7"/>
        <v>38.71</v>
      </c>
      <c r="F33" s="128">
        <f t="shared" si="1"/>
        <v>78.91</v>
      </c>
      <c r="G33" s="130">
        <f t="shared" si="2"/>
        <v>65.143340472579183</v>
      </c>
      <c r="H33" s="128">
        <f t="shared" si="8"/>
        <v>0.98</v>
      </c>
      <c r="I33" s="128"/>
      <c r="J33" s="130">
        <f t="shared" si="3"/>
        <v>66.123340472579187</v>
      </c>
      <c r="K33" s="130">
        <f t="shared" ref="K33:K37" si="9">ROUND(J33*$C$63*8.76,2)</f>
        <v>252.66</v>
      </c>
      <c r="L33" s="128">
        <f t="shared" si="5"/>
        <v>248.92000000000002</v>
      </c>
      <c r="M33" s="119"/>
      <c r="O33" s="117"/>
    </row>
    <row r="34" spans="2:15">
      <c r="B34" s="135">
        <f t="shared" si="0"/>
        <v>2040</v>
      </c>
      <c r="C34" s="136"/>
      <c r="D34" s="128">
        <f t="shared" si="6"/>
        <v>134.13</v>
      </c>
      <c r="E34" s="128">
        <f t="shared" si="7"/>
        <v>39.54</v>
      </c>
      <c r="F34" s="128">
        <f t="shared" si="1"/>
        <v>80.61</v>
      </c>
      <c r="G34" s="130">
        <f t="shared" si="2"/>
        <v>66.546073498985336</v>
      </c>
      <c r="H34" s="128">
        <f t="shared" si="8"/>
        <v>1</v>
      </c>
      <c r="I34" s="128"/>
      <c r="J34" s="130">
        <f t="shared" si="3"/>
        <v>67.546073498985336</v>
      </c>
      <c r="K34" s="130">
        <f t="shared" si="9"/>
        <v>258.10000000000002</v>
      </c>
      <c r="L34" s="128">
        <f t="shared" si="5"/>
        <v>254.27999999999997</v>
      </c>
      <c r="M34" s="119"/>
      <c r="O34" s="117"/>
    </row>
    <row r="35" spans="2:15">
      <c r="B35" s="135">
        <f t="shared" si="0"/>
        <v>2041</v>
      </c>
      <c r="C35" s="136"/>
      <c r="D35" s="128">
        <f t="shared" si="6"/>
        <v>137.02000000000001</v>
      </c>
      <c r="E35" s="128">
        <f t="shared" si="7"/>
        <v>40.39</v>
      </c>
      <c r="F35" s="128">
        <f t="shared" si="1"/>
        <v>82.35</v>
      </c>
      <c r="G35" s="130">
        <f t="shared" si="2"/>
        <v>67.980210996131959</v>
      </c>
      <c r="H35" s="128">
        <f t="shared" si="8"/>
        <v>1.02</v>
      </c>
      <c r="I35" s="128"/>
      <c r="J35" s="130">
        <f t="shared" si="3"/>
        <v>69.000210996131955</v>
      </c>
      <c r="K35" s="130">
        <f t="shared" si="9"/>
        <v>263.66000000000003</v>
      </c>
      <c r="L35" s="128">
        <f t="shared" si="5"/>
        <v>259.76</v>
      </c>
      <c r="M35" s="119"/>
      <c r="O35" s="117"/>
    </row>
    <row r="36" spans="2:15">
      <c r="B36" s="135">
        <f t="shared" si="0"/>
        <v>2042</v>
      </c>
      <c r="C36" s="136"/>
      <c r="D36" s="128">
        <f t="shared" si="6"/>
        <v>139.97</v>
      </c>
      <c r="E36" s="128">
        <f t="shared" si="7"/>
        <v>41.26</v>
      </c>
      <c r="F36" s="128">
        <f t="shared" si="1"/>
        <v>84.12</v>
      </c>
      <c r="G36" s="130">
        <f t="shared" si="2"/>
        <v>69.443135924790639</v>
      </c>
      <c r="H36" s="128">
        <f t="shared" si="8"/>
        <v>1.04</v>
      </c>
      <c r="I36" s="128"/>
      <c r="J36" s="130">
        <f t="shared" si="3"/>
        <v>70.483135924790645</v>
      </c>
      <c r="K36" s="130">
        <f t="shared" si="9"/>
        <v>269.32</v>
      </c>
      <c r="L36" s="128">
        <f t="shared" si="5"/>
        <v>265.35000000000002</v>
      </c>
      <c r="M36" s="119"/>
      <c r="O36" s="117"/>
    </row>
    <row r="37" spans="2:15">
      <c r="B37" s="135">
        <f t="shared" si="0"/>
        <v>2043</v>
      </c>
      <c r="C37" s="136"/>
      <c r="D37" s="128">
        <f t="shared" si="6"/>
        <v>142.99</v>
      </c>
      <c r="E37" s="128">
        <f t="shared" si="7"/>
        <v>42.15</v>
      </c>
      <c r="F37" s="128">
        <f t="shared" si="1"/>
        <v>85.93</v>
      </c>
      <c r="G37" s="130">
        <f t="shared" si="2"/>
        <v>70.940082363418128</v>
      </c>
      <c r="H37" s="128">
        <f t="shared" si="8"/>
        <v>1.06</v>
      </c>
      <c r="I37" s="128"/>
      <c r="J37" s="130">
        <f t="shared" si="3"/>
        <v>72.00008236341813</v>
      </c>
      <c r="K37" s="130">
        <f t="shared" si="9"/>
        <v>275.12</v>
      </c>
      <c r="L37" s="128">
        <f t="shared" si="5"/>
        <v>271.07000000000005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43.6%)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Wyoming Wind Resource - 44%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2030</v>
      </c>
    </row>
    <row r="55" spans="2:28">
      <c r="B55" s="344" t="s">
        <v>186</v>
      </c>
      <c r="C55" s="411">
        <f>449087.663616/289.216</f>
        <v>1552.7759999999998</v>
      </c>
      <c r="D55" s="117" t="s">
        <v>65</v>
      </c>
      <c r="P55" s="117">
        <v>289.21600000000001</v>
      </c>
      <c r="Q55" s="117" t="s">
        <v>32</v>
      </c>
    </row>
    <row r="56" spans="2:28">
      <c r="B56" s="344" t="s">
        <v>186</v>
      </c>
      <c r="C56" s="147">
        <f>9241.39507495671/289.216</f>
        <v>31.953263564106791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 t="s">
        <v>186</v>
      </c>
      <c r="C58" s="147">
        <v>0.80400000000000005</v>
      </c>
      <c r="D58" s="117" t="s">
        <v>69</v>
      </c>
      <c r="F58" s="117" t="s">
        <v>128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/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2025$</v>
      </c>
      <c r="C60" s="152">
        <f>INDEX('Table 3 TransCost'!$39:$39,1,MATCH(F60,'Table 3 TransCost'!$4:$4,0)+2)</f>
        <v>58.544856686682266</v>
      </c>
      <c r="D60" s="117" t="s">
        <v>153</v>
      </c>
      <c r="F60" s="117" t="s">
        <v>145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0.43620000000024889</v>
      </c>
      <c r="D63" s="117" t="s">
        <v>37</v>
      </c>
    </row>
    <row r="64" spans="2:28">
      <c r="D64" s="153"/>
    </row>
    <row r="65" spans="15:15" s="119" customFormat="1">
      <c r="O65" s="162"/>
    </row>
    <row r="66" spans="15:15" s="119" customFormat="1">
      <c r="O66" s="162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  <row r="92" spans="3:4">
      <c r="C92" s="149"/>
      <c r="D92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zoomScale="70" zoomScaleNormal="70" workbookViewId="0">
      <selection activeCell="C24" sqref="C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192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Wyoming DJ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128"/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128"/>
      <c r="G21" s="130"/>
      <c r="H21" s="183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128"/>
      <c r="G22" s="130"/>
      <c r="H22" s="183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128"/>
      <c r="G23" s="130"/>
      <c r="H23" s="183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>
        <v>1552.7760000000001</v>
      </c>
      <c r="D24" s="128">
        <f>C24*$C$62</f>
        <v>108.37256698131416</v>
      </c>
      <c r="E24" s="128">
        <f>6390.65271282369/200</f>
        <v>31.953263564118451</v>
      </c>
      <c r="F24" s="128"/>
      <c r="G24" s="130">
        <f t="shared" ref="G24:G37" si="1">(D24+E24+F24)/(8.76*$C$63)</f>
        <v>36.723820329095965</v>
      </c>
      <c r="H24" s="417">
        <v>0.80400000000000005</v>
      </c>
      <c r="I24" s="128"/>
      <c r="J24" s="130">
        <f t="shared" ref="J24:J37" si="2">(G24+H24+I24)</f>
        <v>37.527820329095967</v>
      </c>
      <c r="K24" s="130">
        <f t="shared" ref="K24:K37" si="3">ROUND(J24*$C$63*8.76,2)</f>
        <v>143.4</v>
      </c>
      <c r="L24" s="128">
        <f t="shared" ref="L24:L37" si="4">(D24+E24+F24)</f>
        <v>140.32583054543261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ref="D25:D37" si="5">ROUND(D24*(1+IRP21_Infl_Rate),2)</f>
        <v>110.71</v>
      </c>
      <c r="E25" s="128">
        <f t="shared" ref="E25:E37" si="6">ROUND(E24*(1+IRP21_Infl_Rate),2)</f>
        <v>32.64</v>
      </c>
      <c r="F25" s="128"/>
      <c r="G25" s="130">
        <f t="shared" si="1"/>
        <v>37.515257338679994</v>
      </c>
      <c r="H25" s="128">
        <f t="shared" ref="H25:H37" si="7">ROUND(H24*(1+IRP21_Infl_Rate),2)</f>
        <v>0.82</v>
      </c>
      <c r="I25" s="128"/>
      <c r="J25" s="130">
        <f t="shared" si="2"/>
        <v>38.335257338679995</v>
      </c>
      <c r="K25" s="130">
        <f t="shared" si="3"/>
        <v>146.47999999999999</v>
      </c>
      <c r="L25" s="128">
        <f t="shared" si="4"/>
        <v>143.35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113.1</v>
      </c>
      <c r="E26" s="128">
        <f t="shared" si="6"/>
        <v>33.340000000000003</v>
      </c>
      <c r="F26" s="128"/>
      <c r="G26" s="130">
        <f t="shared" si="1"/>
        <v>38.323922460246244</v>
      </c>
      <c r="H26" s="128">
        <f t="shared" si="7"/>
        <v>0.84</v>
      </c>
      <c r="I26" s="128"/>
      <c r="J26" s="130">
        <f t="shared" si="2"/>
        <v>39.163922460246248</v>
      </c>
      <c r="K26" s="130">
        <f t="shared" si="3"/>
        <v>149.65</v>
      </c>
      <c r="L26" s="128">
        <f t="shared" si="4"/>
        <v>146.44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115.54</v>
      </c>
      <c r="E27" s="128">
        <f t="shared" si="6"/>
        <v>34.06</v>
      </c>
      <c r="F27" s="128"/>
      <c r="G27" s="130">
        <f t="shared" si="1"/>
        <v>39.150906856411083</v>
      </c>
      <c r="H27" s="128">
        <f t="shared" si="7"/>
        <v>0.86</v>
      </c>
      <c r="I27" s="128"/>
      <c r="J27" s="130">
        <f t="shared" si="2"/>
        <v>40.010906856411083</v>
      </c>
      <c r="K27" s="130">
        <f t="shared" si="3"/>
        <v>152.88999999999999</v>
      </c>
      <c r="L27" s="128">
        <f t="shared" si="4"/>
        <v>149.60000000000002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118.03</v>
      </c>
      <c r="E28" s="128">
        <f t="shared" si="6"/>
        <v>34.79</v>
      </c>
      <c r="F28" s="128"/>
      <c r="G28" s="130">
        <f t="shared" si="1"/>
        <v>39.993593487946129</v>
      </c>
      <c r="H28" s="128">
        <f t="shared" si="7"/>
        <v>0.88</v>
      </c>
      <c r="I28" s="128"/>
      <c r="J28" s="130">
        <f t="shared" si="2"/>
        <v>40.873593487946131</v>
      </c>
      <c r="K28" s="130">
        <f t="shared" si="3"/>
        <v>156.18</v>
      </c>
      <c r="L28" s="128">
        <f t="shared" si="4"/>
        <v>152.82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120.57</v>
      </c>
      <c r="E29" s="128">
        <f t="shared" si="6"/>
        <v>35.54</v>
      </c>
      <c r="F29" s="128"/>
      <c r="G29" s="130">
        <f t="shared" si="1"/>
        <v>40.854599394079763</v>
      </c>
      <c r="H29" s="128">
        <f t="shared" si="7"/>
        <v>0.9</v>
      </c>
      <c r="I29" s="128"/>
      <c r="J29" s="130">
        <f t="shared" si="2"/>
        <v>41.754599394079762</v>
      </c>
      <c r="K29" s="130">
        <f t="shared" si="3"/>
        <v>159.55000000000001</v>
      </c>
      <c r="L29" s="128">
        <f t="shared" si="4"/>
        <v>156.10999999999999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123.17</v>
      </c>
      <c r="E30" s="128">
        <f t="shared" si="6"/>
        <v>36.31</v>
      </c>
      <c r="F30" s="128"/>
      <c r="G30" s="130">
        <f t="shared" si="1"/>
        <v>41.73654161404037</v>
      </c>
      <c r="H30" s="128">
        <f t="shared" si="7"/>
        <v>0.92</v>
      </c>
      <c r="I30" s="128"/>
      <c r="J30" s="130">
        <f t="shared" si="2"/>
        <v>42.656541614040371</v>
      </c>
      <c r="K30" s="130">
        <f t="shared" si="3"/>
        <v>163</v>
      </c>
      <c r="L30" s="128">
        <f t="shared" si="4"/>
        <v>159.48000000000002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125.82</v>
      </c>
      <c r="E31" s="128">
        <f t="shared" si="6"/>
        <v>37.090000000000003</v>
      </c>
      <c r="F31" s="128"/>
      <c r="G31" s="130">
        <f t="shared" si="1"/>
        <v>42.634186069371175</v>
      </c>
      <c r="H31" s="128">
        <f t="shared" si="7"/>
        <v>0.94</v>
      </c>
      <c r="I31" s="128"/>
      <c r="J31" s="130">
        <f t="shared" si="2"/>
        <v>43.574186069371173</v>
      </c>
      <c r="K31" s="130">
        <f t="shared" si="3"/>
        <v>166.5</v>
      </c>
      <c r="L31" s="128">
        <f t="shared" si="4"/>
        <v>162.91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128.53</v>
      </c>
      <c r="E32" s="128">
        <f t="shared" si="6"/>
        <v>37.89</v>
      </c>
      <c r="F32" s="128"/>
      <c r="G32" s="130">
        <f t="shared" si="1"/>
        <v>43.552766838528953</v>
      </c>
      <c r="H32" s="128">
        <f t="shared" si="7"/>
        <v>0.96</v>
      </c>
      <c r="I32" s="128"/>
      <c r="J32" s="130">
        <f t="shared" si="2"/>
        <v>44.512766838528954</v>
      </c>
      <c r="K32" s="130">
        <f t="shared" si="3"/>
        <v>170.09</v>
      </c>
      <c r="L32" s="128">
        <f t="shared" si="4"/>
        <v>166.42000000000002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5"/>
        <v>131.30000000000001</v>
      </c>
      <c r="E33" s="128">
        <f t="shared" si="6"/>
        <v>38.71</v>
      </c>
      <c r="F33" s="128"/>
      <c r="G33" s="130">
        <f t="shared" si="1"/>
        <v>44.492283921513689</v>
      </c>
      <c r="H33" s="128">
        <f t="shared" si="7"/>
        <v>0.98</v>
      </c>
      <c r="I33" s="128"/>
      <c r="J33" s="130">
        <f t="shared" si="2"/>
        <v>45.472283921513686</v>
      </c>
      <c r="K33" s="130">
        <f t="shared" si="3"/>
        <v>173.75</v>
      </c>
      <c r="L33" s="128">
        <f t="shared" si="4"/>
        <v>170.01000000000002</v>
      </c>
      <c r="M33" s="119"/>
      <c r="O33" s="117"/>
    </row>
    <row r="34" spans="2:15">
      <c r="B34" s="135">
        <f t="shared" si="0"/>
        <v>2040</v>
      </c>
      <c r="C34" s="136"/>
      <c r="D34" s="128">
        <f t="shared" si="5"/>
        <v>134.13</v>
      </c>
      <c r="E34" s="128">
        <f t="shared" si="6"/>
        <v>39.54</v>
      </c>
      <c r="F34" s="128"/>
      <c r="G34" s="130">
        <f t="shared" si="1"/>
        <v>45.450120279097</v>
      </c>
      <c r="H34" s="128">
        <f t="shared" si="7"/>
        <v>1</v>
      </c>
      <c r="I34" s="128"/>
      <c r="J34" s="130">
        <f t="shared" si="2"/>
        <v>46.450120279097</v>
      </c>
      <c r="K34" s="130">
        <f t="shared" si="3"/>
        <v>177.49</v>
      </c>
      <c r="L34" s="128">
        <f t="shared" si="4"/>
        <v>173.67</v>
      </c>
      <c r="M34" s="119"/>
      <c r="O34" s="117"/>
    </row>
    <row r="35" spans="2:15">
      <c r="B35" s="135">
        <f t="shared" si="0"/>
        <v>2041</v>
      </c>
      <c r="C35" s="136"/>
      <c r="D35" s="128">
        <f t="shared" si="5"/>
        <v>137.02000000000001</v>
      </c>
      <c r="E35" s="128">
        <f t="shared" si="6"/>
        <v>40.39</v>
      </c>
      <c r="F35" s="128"/>
      <c r="G35" s="130">
        <f t="shared" si="1"/>
        <v>46.428892950507283</v>
      </c>
      <c r="H35" s="128">
        <f t="shared" si="7"/>
        <v>1.02</v>
      </c>
      <c r="I35" s="128"/>
      <c r="J35" s="130">
        <f t="shared" si="2"/>
        <v>47.448892950507286</v>
      </c>
      <c r="K35" s="130">
        <f t="shared" si="3"/>
        <v>181.31</v>
      </c>
      <c r="L35" s="128">
        <f t="shared" si="4"/>
        <v>177.41000000000003</v>
      </c>
      <c r="M35" s="119"/>
      <c r="O35" s="117"/>
    </row>
    <row r="36" spans="2:15">
      <c r="B36" s="135">
        <f t="shared" si="0"/>
        <v>2042</v>
      </c>
      <c r="C36" s="136"/>
      <c r="D36" s="128">
        <f t="shared" si="5"/>
        <v>139.97</v>
      </c>
      <c r="E36" s="128">
        <f t="shared" si="6"/>
        <v>41.26</v>
      </c>
      <c r="F36" s="128"/>
      <c r="G36" s="130">
        <f t="shared" si="1"/>
        <v>47.42860193574451</v>
      </c>
      <c r="H36" s="128">
        <f t="shared" si="7"/>
        <v>1.04</v>
      </c>
      <c r="I36" s="128"/>
      <c r="J36" s="130">
        <f t="shared" si="2"/>
        <v>48.468601935744509</v>
      </c>
      <c r="K36" s="130">
        <f t="shared" si="3"/>
        <v>185.2</v>
      </c>
      <c r="L36" s="128">
        <f t="shared" si="4"/>
        <v>181.23</v>
      </c>
      <c r="M36" s="119"/>
      <c r="O36" s="117"/>
    </row>
    <row r="37" spans="2:15">
      <c r="B37" s="135">
        <f t="shared" si="0"/>
        <v>2043</v>
      </c>
      <c r="C37" s="136"/>
      <c r="D37" s="128">
        <f t="shared" si="5"/>
        <v>142.99</v>
      </c>
      <c r="E37" s="128">
        <f t="shared" si="6"/>
        <v>42.15</v>
      </c>
      <c r="F37" s="128"/>
      <c r="G37" s="130">
        <f t="shared" si="1"/>
        <v>48.451864274037078</v>
      </c>
      <c r="H37" s="128">
        <f t="shared" si="7"/>
        <v>1.06</v>
      </c>
      <c r="I37" s="128"/>
      <c r="J37" s="130">
        <f t="shared" si="2"/>
        <v>49.51186427403708</v>
      </c>
      <c r="K37" s="130">
        <f t="shared" si="3"/>
        <v>189.19</v>
      </c>
      <c r="L37" s="128">
        <f t="shared" si="4"/>
        <v>185.14000000000001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43.6%)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Wyoming DJ Wind Resource - 44%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2030</v>
      </c>
    </row>
    <row r="55" spans="2:28">
      <c r="B55" s="344" t="s">
        <v>186</v>
      </c>
      <c r="C55" s="411">
        <f>310555.2/200</f>
        <v>1552.7760000000001</v>
      </c>
      <c r="D55" s="117" t="s">
        <v>65</v>
      </c>
      <c r="P55" s="117">
        <v>200</v>
      </c>
      <c r="Q55" s="117" t="s">
        <v>32</v>
      </c>
    </row>
    <row r="56" spans="2:28">
      <c r="B56" s="344" t="s">
        <v>186</v>
      </c>
      <c r="C56" s="147">
        <f>6390.65271282369/200</f>
        <v>31.953263564118451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 t="s">
        <v>186</v>
      </c>
      <c r="C58" s="147">
        <v>0.80400000000000005</v>
      </c>
      <c r="D58" s="117" t="s">
        <v>69</v>
      </c>
      <c r="F58" s="117" t="s">
        <v>128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/>
      <c r="C60" s="152">
        <v>0</v>
      </c>
      <c r="D60" s="117" t="s">
        <v>153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0.43620000000024889</v>
      </c>
      <c r="D63" s="117" t="s">
        <v>37</v>
      </c>
    </row>
    <row r="64" spans="2:28">
      <c r="D64" s="153"/>
    </row>
    <row r="80" spans="3:4">
      <c r="C80" s="149"/>
      <c r="D80" s="153"/>
    </row>
    <row r="81" spans="3:4">
      <c r="C81" s="149"/>
      <c r="D81" s="153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158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28%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Borah Solar with Storage - 28%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>
        <f>(D12+E12+F12)</f>
        <v>0</v>
      </c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>
        <f t="shared" si="1"/>
        <v>0</v>
      </c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>
        <f t="shared" si="1"/>
        <v>0</v>
      </c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>
        <f t="shared" si="1"/>
        <v>0</v>
      </c>
      <c r="L18" s="119"/>
      <c r="N18" s="117"/>
      <c r="P18" s="371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>
        <f t="shared" si="1"/>
        <v>0</v>
      </c>
      <c r="L19" s="119"/>
      <c r="N19" s="117"/>
      <c r="P19" s="371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>
        <v>2695.7550000000001</v>
      </c>
      <c r="D20" s="128">
        <f>C20*$C$62</f>
        <v>146.07704804045611</v>
      </c>
      <c r="E20" s="128">
        <v>37.566000000000003</v>
      </c>
      <c r="F20" s="183">
        <f>C60</f>
        <v>54.441007169221002</v>
      </c>
      <c r="G20" s="130">
        <f t="shared" ref="G20:G37" si="2">(D20+E20+F20)/(8.76*$C$63)</f>
        <v>97.414140198064302</v>
      </c>
      <c r="H20" s="128"/>
      <c r="I20" s="130">
        <f t="shared" ref="I20:I37" si="3">(G20+H20)</f>
        <v>97.414140198064302</v>
      </c>
      <c r="J20" s="130">
        <f t="shared" ref="J20:J32" si="4">ROUND(I20*$C$63*8.76,2)</f>
        <v>238.08</v>
      </c>
      <c r="K20" s="128">
        <f t="shared" si="1"/>
        <v>238.0840552096771</v>
      </c>
      <c r="L20" s="119"/>
      <c r="N20" s="117"/>
      <c r="P20" s="130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>
        <f t="shared" ref="D21:D37" si="5">ROUND(D20*(1+IRP21_Infl_Rate),2)</f>
        <v>149.22999999999999</v>
      </c>
      <c r="E21" s="128">
        <f t="shared" ref="E21:E37" si="6">ROUND(E20*(1+IRP21_Infl_Rate),2)</f>
        <v>38.380000000000003</v>
      </c>
      <c r="F21" s="128">
        <f t="shared" ref="F21:F37" si="7">ROUND(F20*(1+IRP21_Infl_Rate),2)</f>
        <v>55.61</v>
      </c>
      <c r="G21" s="130">
        <f t="shared" si="2"/>
        <v>99.515556210209311</v>
      </c>
      <c r="H21" s="128"/>
      <c r="I21" s="130">
        <f t="shared" si="3"/>
        <v>99.515556210209311</v>
      </c>
      <c r="J21" s="130">
        <f t="shared" si="4"/>
        <v>243.22</v>
      </c>
      <c r="K21" s="128">
        <f t="shared" si="1"/>
        <v>243.21999999999997</v>
      </c>
      <c r="L21" s="119"/>
      <c r="N21" s="117"/>
      <c r="P21" s="130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>
        <f t="shared" si="5"/>
        <v>152.44999999999999</v>
      </c>
      <c r="E22" s="128">
        <f t="shared" si="6"/>
        <v>39.21</v>
      </c>
      <c r="F22" s="128">
        <f t="shared" si="7"/>
        <v>56.81</v>
      </c>
      <c r="G22" s="130">
        <f t="shared" si="2"/>
        <v>101.66363889298047</v>
      </c>
      <c r="H22" s="128"/>
      <c r="I22" s="130">
        <f t="shared" si="3"/>
        <v>101.66363889298047</v>
      </c>
      <c r="J22" s="130">
        <f t="shared" si="4"/>
        <v>248.47</v>
      </c>
      <c r="K22" s="128">
        <f t="shared" si="1"/>
        <v>248.47</v>
      </c>
      <c r="L22" s="119"/>
      <c r="N22" s="117"/>
      <c r="P22" s="130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>
        <f t="shared" si="5"/>
        <v>155.74</v>
      </c>
      <c r="E23" s="128">
        <f t="shared" si="6"/>
        <v>40.049999999999997</v>
      </c>
      <c r="F23" s="128">
        <f t="shared" si="7"/>
        <v>58.03</v>
      </c>
      <c r="G23" s="130">
        <f t="shared" si="2"/>
        <v>103.85263743637584</v>
      </c>
      <c r="H23" s="128"/>
      <c r="I23" s="130">
        <f t="shared" si="3"/>
        <v>103.85263743637584</v>
      </c>
      <c r="J23" s="130">
        <f t="shared" si="4"/>
        <v>253.82</v>
      </c>
      <c r="K23" s="128">
        <f t="shared" si="1"/>
        <v>253.82000000000002</v>
      </c>
      <c r="L23" s="119"/>
      <c r="N23" s="117"/>
      <c r="P23" s="130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>
        <f t="shared" si="5"/>
        <v>159.1</v>
      </c>
      <c r="E24" s="128">
        <f t="shared" si="6"/>
        <v>40.909999999999997</v>
      </c>
      <c r="F24" s="128">
        <f t="shared" si="7"/>
        <v>59.28</v>
      </c>
      <c r="G24" s="130">
        <f t="shared" si="2"/>
        <v>106.09073501252023</v>
      </c>
      <c r="H24" s="128"/>
      <c r="I24" s="130">
        <f t="shared" si="3"/>
        <v>106.09073501252023</v>
      </c>
      <c r="J24" s="130">
        <f t="shared" si="4"/>
        <v>259.29000000000002</v>
      </c>
      <c r="K24" s="128">
        <f t="shared" si="1"/>
        <v>259.28999999999996</v>
      </c>
      <c r="L24" s="119"/>
      <c r="N24" s="117"/>
      <c r="P24" s="130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si="5"/>
        <v>162.53</v>
      </c>
      <c r="E25" s="128">
        <f t="shared" si="6"/>
        <v>41.79</v>
      </c>
      <c r="F25" s="128">
        <f t="shared" si="7"/>
        <v>60.56</v>
      </c>
      <c r="G25" s="130">
        <f t="shared" si="2"/>
        <v>108.37793162141371</v>
      </c>
      <c r="H25" s="128"/>
      <c r="I25" s="130">
        <f t="shared" si="3"/>
        <v>108.37793162141371</v>
      </c>
      <c r="J25" s="130">
        <f t="shared" si="4"/>
        <v>264.88</v>
      </c>
      <c r="K25" s="128">
        <f t="shared" si="1"/>
        <v>264.88</v>
      </c>
      <c r="L25" s="119"/>
      <c r="N25" s="117"/>
      <c r="P25" s="130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si="5"/>
        <v>166.03</v>
      </c>
      <c r="E26" s="128">
        <f t="shared" si="6"/>
        <v>42.69</v>
      </c>
      <c r="F26" s="128">
        <f t="shared" si="7"/>
        <v>61.87</v>
      </c>
      <c r="G26" s="130">
        <f t="shared" si="2"/>
        <v>110.71422726305623</v>
      </c>
      <c r="H26" s="128"/>
      <c r="I26" s="130">
        <f t="shared" si="3"/>
        <v>110.71422726305623</v>
      </c>
      <c r="J26" s="130">
        <f t="shared" si="4"/>
        <v>270.58999999999997</v>
      </c>
      <c r="K26" s="128">
        <f t="shared" si="1"/>
        <v>270.58999999999997</v>
      </c>
      <c r="L26" s="119"/>
      <c r="N26" s="117"/>
      <c r="P26" s="130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5"/>
        <v>169.61</v>
      </c>
      <c r="E27" s="128">
        <f t="shared" si="6"/>
        <v>43.61</v>
      </c>
      <c r="F27" s="128">
        <f t="shared" si="7"/>
        <v>63.2</v>
      </c>
      <c r="G27" s="130">
        <f t="shared" si="2"/>
        <v>113.09962193744784</v>
      </c>
      <c r="H27" s="128"/>
      <c r="I27" s="130">
        <f t="shared" si="3"/>
        <v>113.09962193744784</v>
      </c>
      <c r="J27" s="130">
        <f t="shared" si="4"/>
        <v>276.42</v>
      </c>
      <c r="K27" s="128">
        <f t="shared" si="1"/>
        <v>276.42</v>
      </c>
      <c r="L27" s="119"/>
      <c r="N27" s="117"/>
      <c r="P27" s="130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5"/>
        <v>173.27</v>
      </c>
      <c r="E28" s="128">
        <f t="shared" si="6"/>
        <v>44.55</v>
      </c>
      <c r="F28" s="128">
        <f t="shared" si="7"/>
        <v>64.56</v>
      </c>
      <c r="G28" s="130">
        <f t="shared" si="2"/>
        <v>115.53820723065088</v>
      </c>
      <c r="H28" s="128"/>
      <c r="I28" s="130">
        <f t="shared" si="3"/>
        <v>115.53820723065088</v>
      </c>
      <c r="J28" s="130">
        <f t="shared" si="4"/>
        <v>282.38</v>
      </c>
      <c r="K28" s="128">
        <f t="shared" si="1"/>
        <v>282.38</v>
      </c>
      <c r="L28" s="119"/>
      <c r="N28" s="117"/>
      <c r="P28" s="130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177</v>
      </c>
      <c r="E29" s="128">
        <f t="shared" si="6"/>
        <v>45.51</v>
      </c>
      <c r="F29" s="128">
        <f t="shared" si="7"/>
        <v>65.95</v>
      </c>
      <c r="G29" s="130">
        <f t="shared" si="2"/>
        <v>118.02589155660299</v>
      </c>
      <c r="H29" s="128"/>
      <c r="I29" s="130">
        <f t="shared" si="3"/>
        <v>118.02589155660299</v>
      </c>
      <c r="J29" s="130">
        <f t="shared" si="4"/>
        <v>288.45999999999998</v>
      </c>
      <c r="K29" s="128">
        <f t="shared" si="1"/>
        <v>288.45999999999998</v>
      </c>
      <c r="L29" s="119"/>
      <c r="N29" s="117"/>
      <c r="P29" s="130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180.81</v>
      </c>
      <c r="E30" s="128">
        <f t="shared" si="6"/>
        <v>46.49</v>
      </c>
      <c r="F30" s="128">
        <f t="shared" si="7"/>
        <v>67.37</v>
      </c>
      <c r="G30" s="130">
        <f t="shared" si="2"/>
        <v>120.56676650136659</v>
      </c>
      <c r="H30" s="128"/>
      <c r="I30" s="130">
        <f t="shared" si="3"/>
        <v>120.56676650136659</v>
      </c>
      <c r="J30" s="130">
        <f t="shared" si="4"/>
        <v>294.67</v>
      </c>
      <c r="K30" s="128">
        <f t="shared" si="1"/>
        <v>294.67</v>
      </c>
      <c r="L30" s="119"/>
      <c r="N30" s="117"/>
      <c r="P30" s="130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184.71</v>
      </c>
      <c r="E31" s="128">
        <f t="shared" si="6"/>
        <v>47.49</v>
      </c>
      <c r="F31" s="128">
        <f t="shared" si="7"/>
        <v>68.819999999999993</v>
      </c>
      <c r="G31" s="130">
        <f t="shared" si="2"/>
        <v>123.16492365100406</v>
      </c>
      <c r="H31" s="128"/>
      <c r="I31" s="130">
        <f t="shared" si="3"/>
        <v>123.16492365100406</v>
      </c>
      <c r="J31" s="130">
        <f t="shared" si="4"/>
        <v>301.02</v>
      </c>
      <c r="K31" s="128">
        <f t="shared" si="1"/>
        <v>301.02</v>
      </c>
      <c r="L31" s="119"/>
      <c r="N31" s="117"/>
      <c r="P31" s="130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188.69</v>
      </c>
      <c r="E32" s="128">
        <f t="shared" si="6"/>
        <v>48.51</v>
      </c>
      <c r="F32" s="128">
        <f t="shared" si="7"/>
        <v>70.3</v>
      </c>
      <c r="G32" s="130">
        <f t="shared" si="2"/>
        <v>125.81627141945303</v>
      </c>
      <c r="H32" s="128"/>
      <c r="I32" s="130">
        <f t="shared" si="3"/>
        <v>125.81627141945303</v>
      </c>
      <c r="J32" s="130">
        <f t="shared" si="4"/>
        <v>307.5</v>
      </c>
      <c r="K32" s="128">
        <f t="shared" si="1"/>
        <v>307.5</v>
      </c>
      <c r="L32" s="119"/>
      <c r="N32" s="117"/>
      <c r="P32" s="130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192.76</v>
      </c>
      <c r="E33" s="128">
        <f t="shared" si="6"/>
        <v>49.56</v>
      </c>
      <c r="F33" s="128">
        <f t="shared" si="7"/>
        <v>71.81</v>
      </c>
      <c r="G33" s="130">
        <f t="shared" si="2"/>
        <v>128.52899297883832</v>
      </c>
      <c r="H33" s="128"/>
      <c r="I33" s="130">
        <f t="shared" si="3"/>
        <v>128.52899297883832</v>
      </c>
      <c r="J33" s="130">
        <f t="shared" ref="J33:J37" si="8">ROUND(I33*$C$63*8.76,2)</f>
        <v>314.13</v>
      </c>
      <c r="K33" s="128">
        <f t="shared" si="1"/>
        <v>314.13</v>
      </c>
      <c r="L33" s="119"/>
      <c r="N33" s="117"/>
      <c r="P33" s="130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196.91</v>
      </c>
      <c r="E34" s="128">
        <f t="shared" si="6"/>
        <v>50.63</v>
      </c>
      <c r="F34" s="128">
        <f t="shared" si="7"/>
        <v>73.36</v>
      </c>
      <c r="G34" s="130">
        <f t="shared" si="2"/>
        <v>131.29899674309746</v>
      </c>
      <c r="H34" s="128"/>
      <c r="I34" s="130">
        <f t="shared" si="3"/>
        <v>131.29899674309746</v>
      </c>
      <c r="J34" s="130">
        <f t="shared" si="8"/>
        <v>320.89999999999998</v>
      </c>
      <c r="K34" s="128">
        <f t="shared" si="1"/>
        <v>320.89999999999998</v>
      </c>
      <c r="L34" s="119"/>
      <c r="N34" s="117"/>
      <c r="P34" s="130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201.15</v>
      </c>
      <c r="E35" s="128">
        <f t="shared" si="6"/>
        <v>51.72</v>
      </c>
      <c r="F35" s="128">
        <f t="shared" si="7"/>
        <v>74.94</v>
      </c>
      <c r="G35" s="130">
        <f t="shared" si="2"/>
        <v>134.12628271223056</v>
      </c>
      <c r="H35" s="128"/>
      <c r="I35" s="130">
        <f t="shared" si="3"/>
        <v>134.12628271223056</v>
      </c>
      <c r="J35" s="130">
        <f t="shared" si="8"/>
        <v>327.81</v>
      </c>
      <c r="K35" s="128">
        <f t="shared" si="1"/>
        <v>327.81</v>
      </c>
      <c r="L35" s="119"/>
      <c r="N35" s="117"/>
      <c r="P35" s="130"/>
      <c r="R35" s="119"/>
    </row>
    <row r="36" spans="2:27">
      <c r="B36" s="135">
        <f t="shared" si="0"/>
        <v>2042</v>
      </c>
      <c r="C36" s="136"/>
      <c r="D36" s="128">
        <f t="shared" si="5"/>
        <v>205.48</v>
      </c>
      <c r="E36" s="128">
        <f t="shared" si="6"/>
        <v>52.83</v>
      </c>
      <c r="F36" s="128">
        <f t="shared" si="7"/>
        <v>76.55</v>
      </c>
      <c r="G36" s="130">
        <f t="shared" si="2"/>
        <v>137.01085088623753</v>
      </c>
      <c r="H36" s="128"/>
      <c r="I36" s="130">
        <f t="shared" si="3"/>
        <v>137.01085088623753</v>
      </c>
      <c r="J36" s="130">
        <f t="shared" si="8"/>
        <v>334.86</v>
      </c>
      <c r="K36" s="128">
        <f t="shared" si="1"/>
        <v>334.86</v>
      </c>
      <c r="L36" s="119"/>
      <c r="N36" s="117"/>
      <c r="P36" s="130"/>
      <c r="R36" s="119"/>
    </row>
    <row r="37" spans="2:27">
      <c r="B37" s="135">
        <f t="shared" si="0"/>
        <v>2043</v>
      </c>
      <c r="C37" s="136"/>
      <c r="D37" s="128">
        <f t="shared" si="5"/>
        <v>209.91</v>
      </c>
      <c r="E37" s="128">
        <f t="shared" si="6"/>
        <v>53.97</v>
      </c>
      <c r="F37" s="128">
        <f t="shared" si="7"/>
        <v>78.2</v>
      </c>
      <c r="G37" s="130">
        <f t="shared" si="2"/>
        <v>139.96497602330567</v>
      </c>
      <c r="H37" s="128"/>
      <c r="I37" s="130">
        <f t="shared" si="3"/>
        <v>139.96497602330567</v>
      </c>
      <c r="J37" s="130">
        <f t="shared" si="8"/>
        <v>342.08</v>
      </c>
      <c r="K37" s="128">
        <f t="shared" si="1"/>
        <v>342.08</v>
      </c>
      <c r="P37" s="130"/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27.9%)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Borah Solar with Storage - 28%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2026</v>
      </c>
    </row>
    <row r="55" spans="2:25">
      <c r="B55" s="85" t="s">
        <v>160</v>
      </c>
      <c r="C55" s="411"/>
      <c r="D55" s="117" t="s">
        <v>65</v>
      </c>
      <c r="O55" s="263">
        <v>600</v>
      </c>
      <c r="P55" s="117" t="s">
        <v>32</v>
      </c>
    </row>
    <row r="56" spans="2:25">
      <c r="B56" s="85" t="s">
        <v>160</v>
      </c>
      <c r="C56" s="147"/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54.441007169221002</v>
      </c>
      <c r="D60" s="117" t="s">
        <v>153</v>
      </c>
      <c r="F60" s="117" t="s">
        <v>168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0.27900000000000003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197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29%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Southern Oregon Solar with Storage - 29%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133"/>
      <c r="Q14" s="134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256"/>
      <c r="P15" s="133"/>
      <c r="Q15" s="134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328">
        <f>221123.288/83</f>
        <v>2664.136</v>
      </c>
      <c r="D22" s="128">
        <f>C22*$C$62</f>
        <v>144.36368381336902</v>
      </c>
      <c r="E22" s="354">
        <f>5722.71583561707/83</f>
        <v>68.948383561651454</v>
      </c>
      <c r="F22" s="358">
        <f>$C$60</f>
        <v>9.0939944302083777</v>
      </c>
      <c r="G22" s="130">
        <f t="shared" ref="G22:G37" si="1">(D22+E22+F22)/(8.76*$C$63)</f>
        <v>86.651262255220317</v>
      </c>
      <c r="H22" s="128"/>
      <c r="I22" s="130">
        <f t="shared" ref="I22:I37" si="2">(G22+H22)</f>
        <v>86.651262255220317</v>
      </c>
      <c r="J22" s="130">
        <f t="shared" ref="J22:J37" si="3">ROUND(I22*$C$63*8.76,2)</f>
        <v>222.41</v>
      </c>
      <c r="K22" s="128">
        <f t="shared" ref="K22:K37" si="4">(D22+E22+F22)</f>
        <v>222.40606180522886</v>
      </c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369">
        <f t="shared" ref="D23:F37" si="5">ROUND(D22*(1+IRP21_Infl_Rate),2)</f>
        <v>147.47</v>
      </c>
      <c r="E23" s="369">
        <f t="shared" si="5"/>
        <v>70.430000000000007</v>
      </c>
      <c r="F23" s="369">
        <f t="shared" si="5"/>
        <v>9.2899999999999991</v>
      </c>
      <c r="G23" s="130">
        <f t="shared" si="1"/>
        <v>88.515124596755342</v>
      </c>
      <c r="H23" s="128"/>
      <c r="I23" s="130">
        <f t="shared" si="2"/>
        <v>88.515124596755342</v>
      </c>
      <c r="J23" s="130">
        <f t="shared" si="3"/>
        <v>227.19</v>
      </c>
      <c r="K23" s="128">
        <f t="shared" si="4"/>
        <v>227.19</v>
      </c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369">
        <f t="shared" si="5"/>
        <v>150.65</v>
      </c>
      <c r="E24" s="369">
        <f t="shared" si="5"/>
        <v>71.95</v>
      </c>
      <c r="F24" s="369">
        <f t="shared" si="5"/>
        <v>9.49</v>
      </c>
      <c r="G24" s="130">
        <f t="shared" si="1"/>
        <v>90.424205588542421</v>
      </c>
      <c r="H24" s="128"/>
      <c r="I24" s="130">
        <f t="shared" si="2"/>
        <v>90.424205588542421</v>
      </c>
      <c r="J24" s="130">
        <f t="shared" si="3"/>
        <v>232.09</v>
      </c>
      <c r="K24" s="128">
        <f t="shared" si="4"/>
        <v>232.09000000000003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369">
        <f t="shared" si="5"/>
        <v>153.9</v>
      </c>
      <c r="E25" s="369">
        <f t="shared" si="5"/>
        <v>73.5</v>
      </c>
      <c r="F25" s="369">
        <f t="shared" si="5"/>
        <v>9.69</v>
      </c>
      <c r="G25" s="130">
        <f t="shared" si="1"/>
        <v>92.372247416896542</v>
      </c>
      <c r="H25" s="128"/>
      <c r="I25" s="130">
        <f t="shared" si="2"/>
        <v>92.372247416896542</v>
      </c>
      <c r="J25" s="130">
        <f t="shared" si="3"/>
        <v>237.09</v>
      </c>
      <c r="K25" s="128">
        <f t="shared" si="4"/>
        <v>237.09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369">
        <f t="shared" si="5"/>
        <v>157.22</v>
      </c>
      <c r="E26" s="369">
        <f t="shared" si="5"/>
        <v>75.08</v>
      </c>
      <c r="F26" s="369">
        <f t="shared" si="5"/>
        <v>9.9</v>
      </c>
      <c r="G26" s="130">
        <f t="shared" si="1"/>
        <v>94.363146165474475</v>
      </c>
      <c r="H26" s="128"/>
      <c r="I26" s="130">
        <f t="shared" si="2"/>
        <v>94.363146165474475</v>
      </c>
      <c r="J26" s="130">
        <f t="shared" si="3"/>
        <v>242.2</v>
      </c>
      <c r="K26" s="128">
        <f t="shared" si="4"/>
        <v>242.20000000000002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369">
        <f t="shared" si="5"/>
        <v>160.61000000000001</v>
      </c>
      <c r="E27" s="369">
        <f t="shared" si="5"/>
        <v>76.7</v>
      </c>
      <c r="F27" s="369">
        <f t="shared" si="5"/>
        <v>10.11</v>
      </c>
      <c r="G27" s="130">
        <f t="shared" si="1"/>
        <v>96.396901834276193</v>
      </c>
      <c r="H27" s="128"/>
      <c r="I27" s="130">
        <f t="shared" si="2"/>
        <v>96.396901834276193</v>
      </c>
      <c r="J27" s="130">
        <f t="shared" si="3"/>
        <v>247.42</v>
      </c>
      <c r="K27" s="128">
        <f t="shared" si="4"/>
        <v>247.42000000000002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369">
        <f t="shared" si="5"/>
        <v>164.07</v>
      </c>
      <c r="E28" s="369">
        <f t="shared" si="5"/>
        <v>78.349999999999994</v>
      </c>
      <c r="F28" s="369">
        <f t="shared" si="5"/>
        <v>10.33</v>
      </c>
      <c r="G28" s="130">
        <f t="shared" si="1"/>
        <v>98.473514423301708</v>
      </c>
      <c r="H28" s="128"/>
      <c r="I28" s="130">
        <f t="shared" si="2"/>
        <v>98.473514423301708</v>
      </c>
      <c r="J28" s="130">
        <f t="shared" si="3"/>
        <v>252.75</v>
      </c>
      <c r="K28" s="128">
        <f t="shared" si="4"/>
        <v>252.75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369">
        <f t="shared" si="5"/>
        <v>167.61</v>
      </c>
      <c r="E29" s="369">
        <f t="shared" si="5"/>
        <v>80.040000000000006</v>
      </c>
      <c r="F29" s="369">
        <f t="shared" si="5"/>
        <v>10.55</v>
      </c>
      <c r="G29" s="130">
        <f t="shared" si="1"/>
        <v>100.59688001620773</v>
      </c>
      <c r="H29" s="128"/>
      <c r="I29" s="130">
        <f t="shared" si="2"/>
        <v>100.59688001620773</v>
      </c>
      <c r="J29" s="130">
        <f t="shared" si="3"/>
        <v>258.2</v>
      </c>
      <c r="K29" s="128">
        <f t="shared" si="4"/>
        <v>258.20000000000005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369">
        <f t="shared" si="5"/>
        <v>171.22</v>
      </c>
      <c r="E30" s="369">
        <f t="shared" si="5"/>
        <v>81.760000000000005</v>
      </c>
      <c r="F30" s="369">
        <f t="shared" si="5"/>
        <v>10.78</v>
      </c>
      <c r="G30" s="130">
        <f t="shared" si="1"/>
        <v>102.76310252933752</v>
      </c>
      <c r="H30" s="128"/>
      <c r="I30" s="130">
        <f t="shared" si="2"/>
        <v>102.76310252933752</v>
      </c>
      <c r="J30" s="130">
        <f t="shared" si="3"/>
        <v>263.76</v>
      </c>
      <c r="K30" s="128">
        <f t="shared" si="4"/>
        <v>263.76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369">
        <f t="shared" si="5"/>
        <v>174.91</v>
      </c>
      <c r="E31" s="369">
        <f t="shared" si="5"/>
        <v>83.52</v>
      </c>
      <c r="F31" s="369">
        <f t="shared" si="5"/>
        <v>11.01</v>
      </c>
      <c r="G31" s="130">
        <f t="shared" si="1"/>
        <v>104.97607804634782</v>
      </c>
      <c r="H31" s="128"/>
      <c r="I31" s="130">
        <f t="shared" si="2"/>
        <v>104.97607804634782</v>
      </c>
      <c r="J31" s="130">
        <f t="shared" si="3"/>
        <v>269.44</v>
      </c>
      <c r="K31" s="128">
        <f t="shared" si="4"/>
        <v>269.44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369">
        <f t="shared" si="5"/>
        <v>178.68</v>
      </c>
      <c r="E32" s="369">
        <f t="shared" si="5"/>
        <v>85.32</v>
      </c>
      <c r="F32" s="369">
        <f t="shared" si="5"/>
        <v>11.25</v>
      </c>
      <c r="G32" s="130">
        <f t="shared" si="1"/>
        <v>107.23970265089532</v>
      </c>
      <c r="H32" s="128"/>
      <c r="I32" s="130">
        <f t="shared" si="2"/>
        <v>107.23970265089532</v>
      </c>
      <c r="J32" s="130">
        <f t="shared" si="3"/>
        <v>275.25</v>
      </c>
      <c r="K32" s="128">
        <f t="shared" si="4"/>
        <v>275.25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30">
      <c r="B33" s="135">
        <f t="shared" si="0"/>
        <v>2039</v>
      </c>
      <c r="C33" s="136"/>
      <c r="D33" s="369">
        <f t="shared" si="5"/>
        <v>182.53</v>
      </c>
      <c r="E33" s="369">
        <f t="shared" si="5"/>
        <v>87.16</v>
      </c>
      <c r="F33" s="369">
        <f t="shared" si="5"/>
        <v>11.49</v>
      </c>
      <c r="G33" s="130">
        <f t="shared" si="1"/>
        <v>109.55008025932334</v>
      </c>
      <c r="H33" s="128"/>
      <c r="I33" s="130">
        <f t="shared" si="2"/>
        <v>109.55008025932334</v>
      </c>
      <c r="J33" s="130">
        <f t="shared" si="3"/>
        <v>281.18</v>
      </c>
      <c r="K33" s="128">
        <f t="shared" si="4"/>
        <v>281.18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62"/>
    </row>
    <row r="34" spans="2:30">
      <c r="B34" s="135">
        <f t="shared" si="0"/>
        <v>2040</v>
      </c>
      <c r="C34" s="136"/>
      <c r="D34" s="369">
        <f t="shared" si="5"/>
        <v>186.46</v>
      </c>
      <c r="E34" s="369">
        <f t="shared" si="5"/>
        <v>89.04</v>
      </c>
      <c r="F34" s="369">
        <f t="shared" si="5"/>
        <v>11.74</v>
      </c>
      <c r="G34" s="130">
        <f t="shared" si="1"/>
        <v>111.91110695528856</v>
      </c>
      <c r="H34" s="128"/>
      <c r="I34" s="130">
        <f t="shared" si="2"/>
        <v>111.91110695528856</v>
      </c>
      <c r="J34" s="130">
        <f t="shared" si="3"/>
        <v>287.24</v>
      </c>
      <c r="K34" s="128">
        <f t="shared" si="4"/>
        <v>287.24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62"/>
    </row>
    <row r="35" spans="2:30">
      <c r="B35" s="135">
        <f t="shared" si="0"/>
        <v>2041</v>
      </c>
      <c r="C35" s="136"/>
      <c r="D35" s="369">
        <f t="shared" si="5"/>
        <v>190.48</v>
      </c>
      <c r="E35" s="369">
        <f t="shared" si="5"/>
        <v>90.96</v>
      </c>
      <c r="F35" s="369">
        <f t="shared" si="5"/>
        <v>11.99</v>
      </c>
      <c r="G35" s="130">
        <f t="shared" si="1"/>
        <v>114.32278273879098</v>
      </c>
      <c r="H35" s="128"/>
      <c r="I35" s="130">
        <f t="shared" si="2"/>
        <v>114.32278273879098</v>
      </c>
      <c r="J35" s="130">
        <f t="shared" si="3"/>
        <v>293.43</v>
      </c>
      <c r="K35" s="128">
        <f t="shared" si="4"/>
        <v>293.43</v>
      </c>
      <c r="L35" s="119"/>
      <c r="N35" s="117"/>
      <c r="R35" s="119"/>
      <c r="AC35" s="262"/>
    </row>
    <row r="36" spans="2:30">
      <c r="B36" s="135">
        <f t="shared" si="0"/>
        <v>2042</v>
      </c>
      <c r="C36" s="136"/>
      <c r="D36" s="369">
        <f t="shared" si="5"/>
        <v>194.58</v>
      </c>
      <c r="E36" s="369">
        <f t="shared" si="5"/>
        <v>92.92</v>
      </c>
      <c r="F36" s="369">
        <f t="shared" si="5"/>
        <v>12.25</v>
      </c>
      <c r="G36" s="130">
        <f t="shared" si="1"/>
        <v>116.7851076098306</v>
      </c>
      <c r="H36" s="128"/>
      <c r="I36" s="130">
        <f t="shared" si="2"/>
        <v>116.7851076098306</v>
      </c>
      <c r="J36" s="130">
        <f t="shared" si="3"/>
        <v>299.75</v>
      </c>
      <c r="K36" s="128">
        <f t="shared" si="4"/>
        <v>299.75</v>
      </c>
      <c r="L36" s="119"/>
      <c r="N36" s="117"/>
      <c r="R36" s="119"/>
      <c r="AC36" s="262"/>
    </row>
    <row r="37" spans="2:30">
      <c r="B37" s="135">
        <f t="shared" si="0"/>
        <v>2043</v>
      </c>
      <c r="C37" s="136"/>
      <c r="D37" s="369">
        <f t="shared" si="5"/>
        <v>198.77</v>
      </c>
      <c r="E37" s="369">
        <f t="shared" si="5"/>
        <v>94.92</v>
      </c>
      <c r="F37" s="369">
        <f t="shared" si="5"/>
        <v>12.51</v>
      </c>
      <c r="G37" s="130">
        <f t="shared" si="1"/>
        <v>119.29808156840744</v>
      </c>
      <c r="H37" s="128"/>
      <c r="I37" s="130">
        <f t="shared" si="2"/>
        <v>119.29808156840744</v>
      </c>
      <c r="J37" s="130">
        <f t="shared" si="3"/>
        <v>306.2</v>
      </c>
      <c r="K37" s="128">
        <f t="shared" si="4"/>
        <v>306.2</v>
      </c>
      <c r="R37" s="119"/>
      <c r="AC37" s="262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62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62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  <c r="AD40" s="262"/>
    </row>
    <row r="41" spans="2:30">
      <c r="N41" s="117"/>
      <c r="O41" s="159"/>
      <c r="S41" s="119"/>
      <c r="AD41" s="262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62"/>
    </row>
    <row r="43" spans="2:30">
      <c r="AC43" s="262"/>
    </row>
    <row r="44" spans="2:30">
      <c r="B44" s="117" t="s">
        <v>63</v>
      </c>
      <c r="C44" s="140" t="s">
        <v>64</v>
      </c>
      <c r="D44" s="283" t="s">
        <v>159</v>
      </c>
      <c r="AC44" s="262"/>
    </row>
    <row r="45" spans="2:30">
      <c r="C45" s="140" t="str">
        <f>C7</f>
        <v>(a)</v>
      </c>
      <c r="D45" s="117" t="s">
        <v>65</v>
      </c>
      <c r="AC45" s="262"/>
    </row>
    <row r="46" spans="2:30">
      <c r="C46" s="140" t="str">
        <f>D7</f>
        <v>(b)</v>
      </c>
      <c r="D46" s="130" t="str">
        <f>"= "&amp;C7&amp;" x "&amp;C62</f>
        <v>= (a) x 0.0541878056575824</v>
      </c>
      <c r="AC46" s="262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29.3%)</v>
      </c>
      <c r="AC47" s="262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259">
        <v>2028</v>
      </c>
    </row>
    <row r="55" spans="2:25">
      <c r="B55" s="85" t="s">
        <v>160</v>
      </c>
      <c r="C55" s="168"/>
      <c r="D55" s="117" t="s">
        <v>65</v>
      </c>
      <c r="O55" s="263">
        <v>83</v>
      </c>
      <c r="P55" s="117" t="s">
        <v>32</v>
      </c>
    </row>
    <row r="56" spans="2:25">
      <c r="B56" s="85" t="s">
        <v>160</v>
      </c>
      <c r="C56" s="253"/>
      <c r="D56" s="117" t="s">
        <v>68</v>
      </c>
      <c r="R56" s="119"/>
    </row>
    <row r="57" spans="2:25" ht="24" customHeight="1">
      <c r="B57" s="85"/>
      <c r="C57" s="255"/>
      <c r="D57" s="117" t="s">
        <v>99</v>
      </c>
      <c r="Q57" s="198"/>
    </row>
    <row r="58" spans="2:25">
      <c r="B58" s="85" t="s">
        <v>160</v>
      </c>
      <c r="C58" s="253"/>
      <c r="D58" s="117" t="s">
        <v>69</v>
      </c>
      <c r="K58" s="119"/>
      <c r="L58" s="148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182" t="s">
        <v>90</v>
      </c>
      <c r="L59" s="150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2028$</v>
      </c>
      <c r="C60" s="255">
        <f>INDEX('Table 3 TransCost'!$39:$39,1,MATCH(F60,'Table 3 TransCost'!$4:$4,0)+2)</f>
        <v>9.0939944302083777</v>
      </c>
      <c r="D60" s="117" t="s">
        <v>153</v>
      </c>
      <c r="F60" s="259" t="s">
        <v>173</v>
      </c>
      <c r="K60" s="150"/>
      <c r="L60" s="150"/>
      <c r="M60" s="150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150"/>
      <c r="L61" s="150"/>
      <c r="M61" s="150"/>
      <c r="N61" s="162"/>
      <c r="O61" s="150"/>
      <c r="R61" s="119"/>
      <c r="T61" s="119"/>
      <c r="U61" s="119"/>
      <c r="V61" s="119"/>
      <c r="W61" s="119"/>
      <c r="X61" s="119"/>
      <c r="Y61" s="119"/>
    </row>
    <row r="62" spans="2:25">
      <c r="C62" s="254">
        <v>5.4187805657582425E-2</v>
      </c>
      <c r="D62" s="117" t="s">
        <v>36</v>
      </c>
      <c r="E62" s="355"/>
      <c r="K62" s="154"/>
      <c r="L62" s="155"/>
      <c r="M62" s="155"/>
      <c r="O62" s="156"/>
    </row>
    <row r="63" spans="2:25">
      <c r="C63" s="192">
        <v>0.29299999999999998</v>
      </c>
      <c r="D63" s="117" t="s">
        <v>37</v>
      </c>
    </row>
    <row r="64" spans="2:25" ht="13.5" thickBot="1">
      <c r="D64" s="153"/>
    </row>
    <row r="65" spans="3:14" ht="13.5" thickBot="1">
      <c r="C65" s="40" t="str">
        <f>"Company Official Inflation Forecast Dated "&amp;TEXT('Table 4'!$H$5,"mmmm dd, yyyy")</f>
        <v>Company Official Inflation Forecast Dated September 30, 2021</v>
      </c>
      <c r="D65" s="141"/>
      <c r="E65" s="141"/>
      <c r="F65" s="141"/>
      <c r="G65" s="141"/>
      <c r="H65" s="141"/>
      <c r="I65" s="141"/>
      <c r="J65" s="141"/>
      <c r="K65" s="143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2.4E-2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2.5000000000000001E-2</v>
      </c>
      <c r="H68" s="41"/>
      <c r="I68" s="87">
        <f t="shared" ref="I68:I74" si="8">I67+1</f>
        <v>2037</v>
      </c>
      <c r="J68" s="41">
        <v>2.3E-2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4">
      <c r="C70" s="87">
        <f t="shared" si="6"/>
        <v>2021</v>
      </c>
      <c r="D70" s="41">
        <v>0.04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4">
      <c r="C71" s="87">
        <f t="shared" si="6"/>
        <v>2022</v>
      </c>
      <c r="D71" s="41">
        <v>2.5000000000000001E-2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4" s="119" customFormat="1">
      <c r="C72" s="87">
        <f t="shared" si="6"/>
        <v>2023</v>
      </c>
      <c r="D72" s="41">
        <v>1.9E-2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N72" s="162"/>
    </row>
    <row r="73" spans="3:14" s="119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2.1999999999999999E-2</v>
      </c>
      <c r="N73" s="162"/>
    </row>
    <row r="74" spans="3:14" s="119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N74" s="162"/>
    </row>
    <row r="75" spans="3:14" s="119" customFormat="1">
      <c r="N75" s="162"/>
    </row>
    <row r="76" spans="3:14" s="119" customFormat="1">
      <c r="N76" s="162"/>
    </row>
    <row r="93" spans="3:4">
      <c r="C93" s="149"/>
      <c r="D93" s="153"/>
    </row>
    <row r="94" spans="3:4">
      <c r="C94" s="149"/>
      <c r="D94" s="153"/>
    </row>
    <row r="95" spans="3:4">
      <c r="C95" s="149"/>
      <c r="D95" s="153"/>
    </row>
    <row r="96" spans="3:4">
      <c r="C96" s="149"/>
      <c r="D96" s="153"/>
    </row>
    <row r="97" spans="3:4">
      <c r="C97" s="149"/>
      <c r="D97" s="153"/>
    </row>
    <row r="98" spans="3:4">
      <c r="C98" s="149"/>
      <c r="D98" s="153"/>
    </row>
    <row r="99" spans="3:4">
      <c r="C99" s="149"/>
      <c r="D99" s="153"/>
    </row>
    <row r="100" spans="3:4">
      <c r="C100" s="149"/>
      <c r="D100" s="153"/>
    </row>
    <row r="101" spans="3:4">
      <c r="C101" s="149"/>
      <c r="D101" s="153"/>
    </row>
    <row r="102" spans="3:4">
      <c r="C102" s="149"/>
      <c r="D102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D38" sqref="D38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197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29%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Southern Oregon Solar with Storage - 29%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83">
        <f>$C$60</f>
        <v>9.0939944302083777</v>
      </c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>
        <f t="shared" ref="D23:F37" si="1">ROUND(F22*(1+IRP21_Infl_Rate),2)</f>
        <v>9.2899999999999991</v>
      </c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>
        <f>967346.939/377</f>
        <v>2565.9070000000002</v>
      </c>
      <c r="D24" s="128">
        <f>C24*$C$62</f>
        <v>139.04086985143036</v>
      </c>
      <c r="E24" s="128">
        <f>26737.970999999/377</f>
        <v>70.922999999997344</v>
      </c>
      <c r="F24" s="128">
        <f t="shared" si="1"/>
        <v>9.49</v>
      </c>
      <c r="G24" s="130">
        <f t="shared" ref="G24:G37" si="2">(D24+E24+F24)/(8.76*$C$63)</f>
        <v>85.516752036034163</v>
      </c>
      <c r="H24" s="128"/>
      <c r="I24" s="130">
        <f t="shared" ref="I24:I37" si="3">(G24+H24)</f>
        <v>85.516752036034163</v>
      </c>
      <c r="J24" s="130">
        <f t="shared" ref="J24:J37" si="4">ROUND(I24*$C$63*8.76,2)</f>
        <v>219.45</v>
      </c>
      <c r="K24" s="128">
        <f t="shared" ref="K24:K37" si="5">(D24+E24+F24)</f>
        <v>219.45386985142773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si="1"/>
        <v>142.04</v>
      </c>
      <c r="E25" s="128">
        <f t="shared" si="1"/>
        <v>72.45</v>
      </c>
      <c r="F25" s="128">
        <f t="shared" si="1"/>
        <v>9.69</v>
      </c>
      <c r="G25" s="130">
        <f t="shared" si="2"/>
        <v>87.358429743878204</v>
      </c>
      <c r="H25" s="128"/>
      <c r="I25" s="130">
        <f t="shared" si="3"/>
        <v>87.358429743878204</v>
      </c>
      <c r="J25" s="130">
        <f t="shared" si="4"/>
        <v>224.18</v>
      </c>
      <c r="K25" s="128">
        <f t="shared" si="5"/>
        <v>224.18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si="1"/>
        <v>145.1</v>
      </c>
      <c r="E26" s="128">
        <f t="shared" si="1"/>
        <v>74.010000000000005</v>
      </c>
      <c r="F26" s="128">
        <f t="shared" si="1"/>
        <v>9.9</v>
      </c>
      <c r="G26" s="130">
        <f t="shared" si="2"/>
        <v>89.240583440295964</v>
      </c>
      <c r="H26" s="128"/>
      <c r="I26" s="130">
        <f t="shared" si="3"/>
        <v>89.240583440295964</v>
      </c>
      <c r="J26" s="130">
        <f t="shared" si="4"/>
        <v>229.01</v>
      </c>
      <c r="K26" s="128">
        <f t="shared" si="5"/>
        <v>229.01000000000002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1"/>
        <v>148.22999999999999</v>
      </c>
      <c r="E27" s="128">
        <f t="shared" si="1"/>
        <v>75.599999999999994</v>
      </c>
      <c r="F27" s="128">
        <f t="shared" si="1"/>
        <v>10.11</v>
      </c>
      <c r="G27" s="130">
        <f t="shared" si="2"/>
        <v>91.161705122146785</v>
      </c>
      <c r="H27" s="128"/>
      <c r="I27" s="130">
        <f t="shared" si="3"/>
        <v>91.161705122146785</v>
      </c>
      <c r="J27" s="130">
        <f t="shared" si="4"/>
        <v>233.94</v>
      </c>
      <c r="K27" s="128">
        <f t="shared" si="5"/>
        <v>233.94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1"/>
        <v>151.41999999999999</v>
      </c>
      <c r="E28" s="128">
        <f t="shared" si="1"/>
        <v>77.23</v>
      </c>
      <c r="F28" s="128">
        <f t="shared" si="1"/>
        <v>10.33</v>
      </c>
      <c r="G28" s="130">
        <f t="shared" si="2"/>
        <v>93.125691587974003</v>
      </c>
      <c r="H28" s="128"/>
      <c r="I28" s="130">
        <f t="shared" si="3"/>
        <v>93.125691587974003</v>
      </c>
      <c r="J28" s="130">
        <f t="shared" si="4"/>
        <v>238.98</v>
      </c>
      <c r="K28" s="128">
        <f t="shared" si="5"/>
        <v>238.98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1"/>
        <v>154.68</v>
      </c>
      <c r="E29" s="128">
        <f t="shared" si="1"/>
        <v>78.89</v>
      </c>
      <c r="F29" s="128">
        <f t="shared" si="1"/>
        <v>10.55</v>
      </c>
      <c r="G29" s="130">
        <f t="shared" si="2"/>
        <v>95.128646039234312</v>
      </c>
      <c r="H29" s="128"/>
      <c r="I29" s="130">
        <f t="shared" si="3"/>
        <v>95.128646039234312</v>
      </c>
      <c r="J29" s="130">
        <f t="shared" si="4"/>
        <v>244.12</v>
      </c>
      <c r="K29" s="128">
        <f t="shared" si="5"/>
        <v>244.12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1"/>
        <v>158.01</v>
      </c>
      <c r="E30" s="128">
        <f t="shared" si="1"/>
        <v>80.59</v>
      </c>
      <c r="F30" s="128">
        <f t="shared" si="1"/>
        <v>10.78</v>
      </c>
      <c r="G30" s="130">
        <f t="shared" si="2"/>
        <v>97.178362073014299</v>
      </c>
      <c r="H30" s="128"/>
      <c r="I30" s="130">
        <f t="shared" si="3"/>
        <v>97.178362073014299</v>
      </c>
      <c r="J30" s="130">
        <f t="shared" si="4"/>
        <v>249.38</v>
      </c>
      <c r="K30" s="128">
        <f t="shared" si="5"/>
        <v>249.38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1"/>
        <v>161.41999999999999</v>
      </c>
      <c r="E31" s="128">
        <f t="shared" si="1"/>
        <v>82.33</v>
      </c>
      <c r="F31" s="128">
        <f t="shared" si="1"/>
        <v>11.01</v>
      </c>
      <c r="G31" s="130">
        <f t="shared" si="2"/>
        <v>99.274839689313993</v>
      </c>
      <c r="H31" s="128"/>
      <c r="I31" s="130">
        <f t="shared" si="3"/>
        <v>99.274839689313993</v>
      </c>
      <c r="J31" s="130">
        <f t="shared" si="4"/>
        <v>254.76</v>
      </c>
      <c r="K31" s="128">
        <f t="shared" si="5"/>
        <v>254.76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1"/>
        <v>164.9</v>
      </c>
      <c r="E32" s="128">
        <f t="shared" si="1"/>
        <v>84.1</v>
      </c>
      <c r="F32" s="128">
        <f t="shared" si="1"/>
        <v>11.25</v>
      </c>
      <c r="G32" s="130">
        <f t="shared" si="2"/>
        <v>101.41418208959007</v>
      </c>
      <c r="H32" s="128"/>
      <c r="I32" s="130">
        <f t="shared" si="3"/>
        <v>101.41418208959007</v>
      </c>
      <c r="J32" s="130">
        <f t="shared" si="4"/>
        <v>260.25</v>
      </c>
      <c r="K32" s="128">
        <f t="shared" si="5"/>
        <v>260.25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1"/>
        <v>168.45</v>
      </c>
      <c r="E33" s="128">
        <f t="shared" si="1"/>
        <v>85.91</v>
      </c>
      <c r="F33" s="128">
        <f t="shared" si="1"/>
        <v>11.49</v>
      </c>
      <c r="G33" s="130">
        <f t="shared" si="2"/>
        <v>103.59638927384252</v>
      </c>
      <c r="H33" s="128"/>
      <c r="I33" s="130">
        <f t="shared" si="3"/>
        <v>103.59638927384252</v>
      </c>
      <c r="J33" s="130">
        <f t="shared" si="4"/>
        <v>265.85000000000002</v>
      </c>
      <c r="K33" s="128">
        <f t="shared" si="5"/>
        <v>265.84999999999997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1"/>
        <v>172.08</v>
      </c>
      <c r="E34" s="128">
        <f t="shared" si="1"/>
        <v>87.76</v>
      </c>
      <c r="F34" s="128">
        <f t="shared" si="1"/>
        <v>11.74</v>
      </c>
      <c r="G34" s="130">
        <f t="shared" si="2"/>
        <v>105.82925483915803</v>
      </c>
      <c r="H34" s="128"/>
      <c r="I34" s="130">
        <f t="shared" si="3"/>
        <v>105.82925483915803</v>
      </c>
      <c r="J34" s="130">
        <f t="shared" si="4"/>
        <v>271.58</v>
      </c>
      <c r="K34" s="128">
        <f t="shared" si="5"/>
        <v>271.58000000000004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1"/>
        <v>175.79</v>
      </c>
      <c r="E35" s="128">
        <f t="shared" si="1"/>
        <v>89.65</v>
      </c>
      <c r="F35" s="128">
        <f t="shared" si="1"/>
        <v>11.99</v>
      </c>
      <c r="G35" s="130">
        <f t="shared" si="2"/>
        <v>108.10888198699318</v>
      </c>
      <c r="H35" s="128"/>
      <c r="I35" s="130">
        <f t="shared" si="3"/>
        <v>108.10888198699318</v>
      </c>
      <c r="J35" s="130">
        <f t="shared" si="4"/>
        <v>277.43</v>
      </c>
      <c r="K35" s="128">
        <f t="shared" si="5"/>
        <v>277.43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1"/>
        <v>179.58</v>
      </c>
      <c r="E36" s="128">
        <f t="shared" si="1"/>
        <v>91.58</v>
      </c>
      <c r="F36" s="128">
        <f t="shared" si="1"/>
        <v>12.25</v>
      </c>
      <c r="G36" s="130">
        <f t="shared" si="2"/>
        <v>110.43916751589136</v>
      </c>
      <c r="H36" s="128"/>
      <c r="I36" s="130">
        <f t="shared" si="3"/>
        <v>110.43916751589136</v>
      </c>
      <c r="J36" s="130">
        <f t="shared" si="4"/>
        <v>283.41000000000003</v>
      </c>
      <c r="K36" s="128">
        <f t="shared" si="5"/>
        <v>283.41000000000003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1"/>
        <v>183.45</v>
      </c>
      <c r="E37" s="128">
        <f t="shared" si="1"/>
        <v>93.55</v>
      </c>
      <c r="F37" s="128">
        <f t="shared" si="1"/>
        <v>12.51</v>
      </c>
      <c r="G37" s="130">
        <f t="shared" si="2"/>
        <v>112.81621462730921</v>
      </c>
      <c r="H37" s="128"/>
      <c r="I37" s="130">
        <f t="shared" si="3"/>
        <v>112.81621462730921</v>
      </c>
      <c r="J37" s="130">
        <f t="shared" si="4"/>
        <v>289.51</v>
      </c>
      <c r="K37" s="128">
        <f t="shared" si="5"/>
        <v>289.51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29.3%)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2030</v>
      </c>
    </row>
    <row r="55" spans="2:25">
      <c r="B55" s="85" t="s">
        <v>214</v>
      </c>
      <c r="C55" s="411">
        <f>967346.939/377</f>
        <v>2565.9070000000002</v>
      </c>
      <c r="D55" s="117" t="s">
        <v>65</v>
      </c>
      <c r="O55" s="263">
        <v>377</v>
      </c>
      <c r="P55" s="117" t="s">
        <v>32</v>
      </c>
    </row>
    <row r="56" spans="2:25">
      <c r="B56" s="85" t="s">
        <v>214</v>
      </c>
      <c r="C56" s="147">
        <f>26737.970999999/377</f>
        <v>70.922999999997344</v>
      </c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214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2028$</v>
      </c>
      <c r="C60" s="152">
        <f>INDEX('Table 3 TransCost'!$39:$39,1,MATCH(F60,'Table 3 TransCost'!$4:$4,0)+2)</f>
        <v>9.0939944302083777</v>
      </c>
      <c r="D60" s="117" t="s">
        <v>153</v>
      </c>
      <c r="F60" s="117" t="s">
        <v>173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0.2929462477283894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zoomScale="70" zoomScaleNormal="70" workbookViewId="0">
      <selection activeCell="C21" sqref="C2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198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25%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Yakima Solar with Storage - 25%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/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>
        <f>(53031.14/20)*(20/180)+(424249.12/160)*(160/180)</f>
        <v>2651.5569999999998</v>
      </c>
      <c r="D24" s="128">
        <f>C24*$C$62</f>
        <v>143.68205540600226</v>
      </c>
      <c r="E24" s="128">
        <f>(1382.4400000018/20)*(20/180)+(5979.48800000013/160)*(160/180)</f>
        <v>40.899600000010729</v>
      </c>
      <c r="F24" s="183">
        <f>$C$60</f>
        <v>5.7969932450072994</v>
      </c>
      <c r="G24" s="130">
        <f t="shared" ref="G24:G37" si="1">(D24+E24+F24)/(8.76*$C$63)</f>
        <v>87.745507433733451</v>
      </c>
      <c r="H24" s="128"/>
      <c r="I24" s="130">
        <f t="shared" ref="I24:I37" si="2">(G24+H24)</f>
        <v>87.745507433733451</v>
      </c>
      <c r="J24" s="130">
        <f t="shared" ref="J24:J37" si="3">ROUND(I24*$C$63*8.76,2)</f>
        <v>190.38</v>
      </c>
      <c r="K24" s="128">
        <f t="shared" ref="K24:K37" si="4">(D24+E24+F24)</f>
        <v>190.37864865102028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ref="D25:F37" si="5">ROUND(D24*(1+IRP21_Infl_Rate),2)</f>
        <v>146.78</v>
      </c>
      <c r="E25" s="128">
        <f t="shared" si="5"/>
        <v>41.78</v>
      </c>
      <c r="F25" s="128">
        <f t="shared" si="5"/>
        <v>5.92</v>
      </c>
      <c r="G25" s="130">
        <f t="shared" si="1"/>
        <v>89.635820017787623</v>
      </c>
      <c r="H25" s="128"/>
      <c r="I25" s="130">
        <f t="shared" si="2"/>
        <v>89.635820017787623</v>
      </c>
      <c r="J25" s="130">
        <f t="shared" si="3"/>
        <v>194.48</v>
      </c>
      <c r="K25" s="128">
        <f t="shared" si="4"/>
        <v>194.48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si="5"/>
        <v>149.94</v>
      </c>
      <c r="E26" s="128">
        <f t="shared" si="5"/>
        <v>42.68</v>
      </c>
      <c r="F26" s="128">
        <f t="shared" si="5"/>
        <v>6.05</v>
      </c>
      <c r="G26" s="130">
        <f t="shared" si="1"/>
        <v>91.566990759635274</v>
      </c>
      <c r="H26" s="128"/>
      <c r="I26" s="130">
        <f t="shared" si="2"/>
        <v>91.566990759635274</v>
      </c>
      <c r="J26" s="130">
        <f t="shared" si="3"/>
        <v>198.67</v>
      </c>
      <c r="K26" s="128">
        <f t="shared" si="4"/>
        <v>198.67000000000002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5"/>
        <v>153.16999999999999</v>
      </c>
      <c r="E27" s="128">
        <f t="shared" si="5"/>
        <v>43.6</v>
      </c>
      <c r="F27" s="128">
        <f t="shared" si="5"/>
        <v>6.18</v>
      </c>
      <c r="G27" s="130">
        <f t="shared" si="1"/>
        <v>93.539642495937869</v>
      </c>
      <c r="H27" s="128"/>
      <c r="I27" s="130">
        <f t="shared" si="2"/>
        <v>93.539642495937869</v>
      </c>
      <c r="J27" s="130">
        <f t="shared" si="3"/>
        <v>202.95</v>
      </c>
      <c r="K27" s="128">
        <f t="shared" si="4"/>
        <v>202.95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5"/>
        <v>156.47</v>
      </c>
      <c r="E28" s="128">
        <f t="shared" si="5"/>
        <v>44.54</v>
      </c>
      <c r="F28" s="128">
        <f t="shared" si="5"/>
        <v>6.31</v>
      </c>
      <c r="G28" s="130">
        <f t="shared" si="1"/>
        <v>95.55377522669545</v>
      </c>
      <c r="H28" s="128"/>
      <c r="I28" s="130">
        <f t="shared" si="2"/>
        <v>95.55377522669545</v>
      </c>
      <c r="J28" s="130">
        <f t="shared" si="3"/>
        <v>207.32</v>
      </c>
      <c r="K28" s="128">
        <f t="shared" si="4"/>
        <v>207.32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159.84</v>
      </c>
      <c r="E29" s="128">
        <f t="shared" si="5"/>
        <v>45.5</v>
      </c>
      <c r="F29" s="128">
        <f t="shared" si="5"/>
        <v>6.45</v>
      </c>
      <c r="G29" s="130">
        <f t="shared" si="1"/>
        <v>97.613997951291864</v>
      </c>
      <c r="H29" s="128"/>
      <c r="I29" s="130">
        <f t="shared" si="2"/>
        <v>97.613997951291864</v>
      </c>
      <c r="J29" s="130">
        <f t="shared" si="3"/>
        <v>211.79</v>
      </c>
      <c r="K29" s="128">
        <f t="shared" si="4"/>
        <v>211.79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163.28</v>
      </c>
      <c r="E30" s="128">
        <f t="shared" si="5"/>
        <v>46.48</v>
      </c>
      <c r="F30" s="128">
        <f t="shared" si="5"/>
        <v>6.59</v>
      </c>
      <c r="G30" s="130">
        <f t="shared" si="1"/>
        <v>99.715701670343236</v>
      </c>
      <c r="H30" s="128"/>
      <c r="I30" s="130">
        <f t="shared" si="2"/>
        <v>99.715701670343236</v>
      </c>
      <c r="J30" s="130">
        <f t="shared" si="3"/>
        <v>216.35</v>
      </c>
      <c r="K30" s="128">
        <f t="shared" si="4"/>
        <v>216.35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166.8</v>
      </c>
      <c r="E31" s="128">
        <f t="shared" si="5"/>
        <v>47.48</v>
      </c>
      <c r="F31" s="128">
        <f t="shared" si="5"/>
        <v>6.73</v>
      </c>
      <c r="G31" s="130">
        <f t="shared" si="1"/>
        <v>101.86349538323346</v>
      </c>
      <c r="H31" s="128"/>
      <c r="I31" s="130">
        <f t="shared" si="2"/>
        <v>101.86349538323346</v>
      </c>
      <c r="J31" s="130">
        <f t="shared" si="3"/>
        <v>221.01</v>
      </c>
      <c r="K31" s="128">
        <f t="shared" si="4"/>
        <v>221.01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170.39</v>
      </c>
      <c r="E32" s="128">
        <f t="shared" si="5"/>
        <v>48.5</v>
      </c>
      <c r="F32" s="128">
        <f t="shared" si="5"/>
        <v>6.88</v>
      </c>
      <c r="G32" s="130">
        <f t="shared" si="1"/>
        <v>104.05737908996252</v>
      </c>
      <c r="H32" s="128"/>
      <c r="I32" s="130">
        <f t="shared" si="2"/>
        <v>104.05737908996252</v>
      </c>
      <c r="J32" s="130">
        <f t="shared" si="3"/>
        <v>225.77</v>
      </c>
      <c r="K32" s="128">
        <f t="shared" si="4"/>
        <v>225.76999999999998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174.06</v>
      </c>
      <c r="E33" s="128">
        <f t="shared" si="5"/>
        <v>49.55</v>
      </c>
      <c r="F33" s="128">
        <f t="shared" si="5"/>
        <v>7.03</v>
      </c>
      <c r="G33" s="130">
        <f t="shared" si="1"/>
        <v>106.30196178991433</v>
      </c>
      <c r="H33" s="128"/>
      <c r="I33" s="130">
        <f t="shared" si="2"/>
        <v>106.30196178991433</v>
      </c>
      <c r="J33" s="130">
        <f t="shared" si="3"/>
        <v>230.64</v>
      </c>
      <c r="K33" s="128">
        <f t="shared" si="4"/>
        <v>230.64000000000001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177.81</v>
      </c>
      <c r="E34" s="128">
        <f t="shared" si="5"/>
        <v>50.62</v>
      </c>
      <c r="F34" s="128">
        <f t="shared" si="5"/>
        <v>7.18</v>
      </c>
      <c r="G34" s="130">
        <f t="shared" si="1"/>
        <v>108.59263448370497</v>
      </c>
      <c r="H34" s="128"/>
      <c r="I34" s="130">
        <f t="shared" si="2"/>
        <v>108.59263448370497</v>
      </c>
      <c r="J34" s="130">
        <f t="shared" si="3"/>
        <v>235.61</v>
      </c>
      <c r="K34" s="128">
        <f t="shared" si="4"/>
        <v>235.61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181.64</v>
      </c>
      <c r="E35" s="128">
        <f t="shared" si="5"/>
        <v>51.71</v>
      </c>
      <c r="F35" s="128">
        <f t="shared" si="5"/>
        <v>7.33</v>
      </c>
      <c r="G35" s="130">
        <f t="shared" si="1"/>
        <v>110.92939717133446</v>
      </c>
      <c r="H35" s="128"/>
      <c r="I35" s="130">
        <f t="shared" si="2"/>
        <v>110.92939717133446</v>
      </c>
      <c r="J35" s="130">
        <f t="shared" si="3"/>
        <v>240.68</v>
      </c>
      <c r="K35" s="128">
        <f t="shared" si="4"/>
        <v>240.68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5"/>
        <v>185.55</v>
      </c>
      <c r="E36" s="128">
        <f t="shared" si="5"/>
        <v>52.82</v>
      </c>
      <c r="F36" s="128">
        <f t="shared" si="5"/>
        <v>7.49</v>
      </c>
      <c r="G36" s="130">
        <f t="shared" si="1"/>
        <v>113.31685885218668</v>
      </c>
      <c r="H36" s="128"/>
      <c r="I36" s="130">
        <f t="shared" si="2"/>
        <v>113.31685885218668</v>
      </c>
      <c r="J36" s="130">
        <f t="shared" si="3"/>
        <v>245.86</v>
      </c>
      <c r="K36" s="128">
        <f t="shared" si="4"/>
        <v>245.86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5"/>
        <v>189.55</v>
      </c>
      <c r="E37" s="128">
        <f t="shared" si="5"/>
        <v>53.96</v>
      </c>
      <c r="F37" s="128">
        <f t="shared" si="5"/>
        <v>7.65</v>
      </c>
      <c r="G37" s="130">
        <f t="shared" si="1"/>
        <v>115.75962852564552</v>
      </c>
      <c r="H37" s="128"/>
      <c r="I37" s="130">
        <f t="shared" si="2"/>
        <v>115.75962852564552</v>
      </c>
      <c r="J37" s="130">
        <f t="shared" si="3"/>
        <v>251.16</v>
      </c>
      <c r="K37" s="128">
        <f t="shared" si="4"/>
        <v>251.16000000000003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24.8%)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Yakima Solar with Storage - 25%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2030</v>
      </c>
    </row>
    <row r="55" spans="2:25">
      <c r="B55" s="85" t="s">
        <v>214</v>
      </c>
      <c r="C55" s="411">
        <f>(53031.14/20)*(20/180)+(424249.12/160)*(160/180)</f>
        <v>2651.5569999999998</v>
      </c>
      <c r="D55" s="117" t="s">
        <v>65</v>
      </c>
      <c r="O55" s="263">
        <f>20+160</f>
        <v>180</v>
      </c>
      <c r="P55" s="117" t="s">
        <v>32</v>
      </c>
    </row>
    <row r="56" spans="2:25">
      <c r="B56" s="85" t="s">
        <v>214</v>
      </c>
      <c r="C56" s="147">
        <f>(1382.4400000018/20)*(20/180)+(5979.48800000013/160)*(160/180)</f>
        <v>40.899600000010729</v>
      </c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2030$</v>
      </c>
      <c r="C60" s="152">
        <f>INDEX('Table 3 TransCost'!$39:$39,1,MATCH(F60,'Table 3 TransCost'!$4:$4,0)+2)</f>
        <v>5.7969932450072994</v>
      </c>
      <c r="D60" s="117" t="s">
        <v>153</v>
      </c>
      <c r="F60" s="117" t="s">
        <v>147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0.24767903319904377</v>
      </c>
      <c r="D63" s="117" t="s">
        <v>37</v>
      </c>
    </row>
    <row r="64" spans="2:25">
      <c r="D64" s="153"/>
    </row>
    <row r="79" spans="3:4">
      <c r="C79" s="149"/>
      <c r="D79" s="153"/>
    </row>
    <row r="80" spans="3:4">
      <c r="C80" s="149"/>
      <c r="D80" s="153"/>
    </row>
    <row r="81" spans="3:4">
      <c r="C81" s="149"/>
      <c r="D81" s="153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E30" sqref="E3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199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32%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UTN Solar with Storage - 32%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 hidden="1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 hidden="1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 hidden="1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 hidden="1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 hidden="1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/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/>
      <c r="E24" s="128"/>
      <c r="F24" s="128"/>
      <c r="G24" s="130"/>
      <c r="H24" s="128"/>
      <c r="I24" s="130"/>
      <c r="J24" s="130"/>
      <c r="K24" s="128"/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>
        <f>2032007.56/820</f>
        <v>2478.058</v>
      </c>
      <c r="D25" s="128">
        <f>C25*$C$62</f>
        <v>134.28052531221738</v>
      </c>
      <c r="E25" s="128">
        <f>35760.1999999995/820</f>
        <v>43.609999999999395</v>
      </c>
      <c r="F25" s="183">
        <f>$C$60</f>
        <v>12.45513744317196</v>
      </c>
      <c r="G25" s="130">
        <f t="shared" ref="G25:G37" si="1">(D25+E25+F25)/(8.76*$C$63)</f>
        <v>67.383805384409328</v>
      </c>
      <c r="H25" s="128"/>
      <c r="I25" s="130">
        <f t="shared" ref="I25:I37" si="2">(G25+H25)</f>
        <v>67.383805384409328</v>
      </c>
      <c r="J25" s="130">
        <f t="shared" ref="J25:J37" si="3">ROUND(I25*$C$63*8.76,2)</f>
        <v>190.35</v>
      </c>
      <c r="K25" s="128">
        <f t="shared" ref="K25:K37" si="4">(D25+E25+F25)</f>
        <v>190.34566275538873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ref="D26:F37" si="5">ROUND(D25*(1+IRP21_Infl_Rate),2)</f>
        <v>137.16999999999999</v>
      </c>
      <c r="E26" s="128">
        <f t="shared" si="5"/>
        <v>44.55</v>
      </c>
      <c r="F26" s="128">
        <f t="shared" si="5"/>
        <v>12.72</v>
      </c>
      <c r="G26" s="130">
        <f t="shared" si="1"/>
        <v>68.833231759958366</v>
      </c>
      <c r="H26" s="128"/>
      <c r="I26" s="130">
        <f t="shared" si="2"/>
        <v>68.833231759958366</v>
      </c>
      <c r="J26" s="130">
        <f t="shared" si="3"/>
        <v>194.44</v>
      </c>
      <c r="K26" s="128">
        <f t="shared" si="4"/>
        <v>194.43999999999997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5"/>
        <v>140.13</v>
      </c>
      <c r="E27" s="128">
        <f t="shared" si="5"/>
        <v>45.51</v>
      </c>
      <c r="F27" s="128">
        <f t="shared" si="5"/>
        <v>12.99</v>
      </c>
      <c r="G27" s="130">
        <f t="shared" si="1"/>
        <v>70.316523475007884</v>
      </c>
      <c r="H27" s="128"/>
      <c r="I27" s="130">
        <f t="shared" si="2"/>
        <v>70.316523475007884</v>
      </c>
      <c r="J27" s="130">
        <f t="shared" si="3"/>
        <v>198.63</v>
      </c>
      <c r="K27" s="128">
        <f t="shared" si="4"/>
        <v>198.63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5"/>
        <v>143.15</v>
      </c>
      <c r="E28" s="128">
        <f t="shared" si="5"/>
        <v>46.49</v>
      </c>
      <c r="F28" s="128">
        <f t="shared" si="5"/>
        <v>13.27</v>
      </c>
      <c r="G28" s="130">
        <f t="shared" si="1"/>
        <v>71.831675871287587</v>
      </c>
      <c r="H28" s="128"/>
      <c r="I28" s="130">
        <f t="shared" si="2"/>
        <v>71.831675871287587</v>
      </c>
      <c r="J28" s="130">
        <f t="shared" si="3"/>
        <v>202.91</v>
      </c>
      <c r="K28" s="128">
        <f t="shared" si="4"/>
        <v>202.91000000000003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146.22999999999999</v>
      </c>
      <c r="E29" s="128">
        <f t="shared" si="5"/>
        <v>47.49</v>
      </c>
      <c r="F29" s="128">
        <f t="shared" si="5"/>
        <v>13.56</v>
      </c>
      <c r="G29" s="130">
        <f t="shared" si="1"/>
        <v>73.378688948797432</v>
      </c>
      <c r="H29" s="128"/>
      <c r="I29" s="130">
        <f t="shared" si="2"/>
        <v>73.378688948797432</v>
      </c>
      <c r="J29" s="130">
        <f t="shared" si="3"/>
        <v>207.28</v>
      </c>
      <c r="K29" s="128">
        <f t="shared" si="4"/>
        <v>207.28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149.38</v>
      </c>
      <c r="E30" s="128">
        <f t="shared" si="5"/>
        <v>48.51</v>
      </c>
      <c r="F30" s="128">
        <f t="shared" si="5"/>
        <v>13.85</v>
      </c>
      <c r="G30" s="130">
        <f t="shared" si="1"/>
        <v>74.957562707537477</v>
      </c>
      <c r="H30" s="128"/>
      <c r="I30" s="130">
        <f t="shared" si="2"/>
        <v>74.957562707537477</v>
      </c>
      <c r="J30" s="130">
        <f t="shared" si="3"/>
        <v>211.74</v>
      </c>
      <c r="K30" s="128">
        <f t="shared" si="4"/>
        <v>211.73999999999998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152.6</v>
      </c>
      <c r="E31" s="128">
        <f t="shared" si="5"/>
        <v>49.56</v>
      </c>
      <c r="F31" s="128">
        <f t="shared" si="5"/>
        <v>14.15</v>
      </c>
      <c r="G31" s="130">
        <f t="shared" si="1"/>
        <v>76.575377298892192</v>
      </c>
      <c r="H31" s="128"/>
      <c r="I31" s="130">
        <f t="shared" si="2"/>
        <v>76.575377298892192</v>
      </c>
      <c r="J31" s="130">
        <f t="shared" si="3"/>
        <v>216.31</v>
      </c>
      <c r="K31" s="128">
        <f t="shared" si="4"/>
        <v>216.31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155.88999999999999</v>
      </c>
      <c r="E32" s="128">
        <f t="shared" si="5"/>
        <v>50.63</v>
      </c>
      <c r="F32" s="128">
        <f t="shared" si="5"/>
        <v>14.45</v>
      </c>
      <c r="G32" s="130">
        <f t="shared" si="1"/>
        <v>78.225052571477079</v>
      </c>
      <c r="H32" s="128"/>
      <c r="I32" s="130">
        <f t="shared" si="2"/>
        <v>78.225052571477079</v>
      </c>
      <c r="J32" s="130">
        <f t="shared" si="3"/>
        <v>220.97</v>
      </c>
      <c r="K32" s="128">
        <f t="shared" si="4"/>
        <v>220.96999999999997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159.25</v>
      </c>
      <c r="E33" s="128">
        <f t="shared" si="5"/>
        <v>51.72</v>
      </c>
      <c r="F33" s="128">
        <f t="shared" si="5"/>
        <v>14.76</v>
      </c>
      <c r="G33" s="130">
        <f t="shared" si="1"/>
        <v>79.910128600984393</v>
      </c>
      <c r="H33" s="128"/>
      <c r="I33" s="130">
        <f t="shared" si="2"/>
        <v>79.910128600984393</v>
      </c>
      <c r="J33" s="130">
        <f t="shared" si="3"/>
        <v>225.73</v>
      </c>
      <c r="K33" s="128">
        <f t="shared" si="4"/>
        <v>225.73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162.68</v>
      </c>
      <c r="E34" s="128">
        <f t="shared" si="5"/>
        <v>52.83</v>
      </c>
      <c r="F34" s="128">
        <f t="shared" si="5"/>
        <v>15.08</v>
      </c>
      <c r="G34" s="130">
        <f t="shared" si="1"/>
        <v>81.630605387414136</v>
      </c>
      <c r="H34" s="128"/>
      <c r="I34" s="130">
        <f t="shared" si="2"/>
        <v>81.630605387414136</v>
      </c>
      <c r="J34" s="130">
        <f t="shared" si="3"/>
        <v>230.59</v>
      </c>
      <c r="K34" s="128">
        <f t="shared" si="4"/>
        <v>230.59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166.19</v>
      </c>
      <c r="E35" s="128">
        <f t="shared" si="5"/>
        <v>53.97</v>
      </c>
      <c r="F35" s="128">
        <f t="shared" si="5"/>
        <v>15.4</v>
      </c>
      <c r="G35" s="130">
        <f t="shared" si="1"/>
        <v>83.390023006458534</v>
      </c>
      <c r="H35" s="128"/>
      <c r="I35" s="130">
        <f t="shared" si="2"/>
        <v>83.390023006458534</v>
      </c>
      <c r="J35" s="130">
        <f t="shared" si="3"/>
        <v>235.56</v>
      </c>
      <c r="K35" s="128">
        <f t="shared" si="4"/>
        <v>235.56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5"/>
        <v>169.77</v>
      </c>
      <c r="E36" s="128">
        <f t="shared" si="5"/>
        <v>55.13</v>
      </c>
      <c r="F36" s="128">
        <f t="shared" si="5"/>
        <v>15.73</v>
      </c>
      <c r="G36" s="130">
        <f t="shared" si="1"/>
        <v>85.184841382425347</v>
      </c>
      <c r="H36" s="128"/>
      <c r="I36" s="130">
        <f t="shared" si="2"/>
        <v>85.184841382425347</v>
      </c>
      <c r="J36" s="130">
        <f t="shared" si="3"/>
        <v>240.63</v>
      </c>
      <c r="K36" s="128">
        <f t="shared" si="4"/>
        <v>240.63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5"/>
        <v>173.43</v>
      </c>
      <c r="E37" s="128">
        <f t="shared" si="5"/>
        <v>56.32</v>
      </c>
      <c r="F37" s="128">
        <f t="shared" si="5"/>
        <v>16.07</v>
      </c>
      <c r="G37" s="130">
        <f t="shared" si="1"/>
        <v>87.022140666699087</v>
      </c>
      <c r="H37" s="128"/>
      <c r="I37" s="130">
        <f t="shared" si="2"/>
        <v>87.022140666699087</v>
      </c>
      <c r="J37" s="130">
        <f t="shared" si="3"/>
        <v>245.82</v>
      </c>
      <c r="K37" s="128">
        <f t="shared" si="4"/>
        <v>245.82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32.2%)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UTN Solar with Storage - 32%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2031</v>
      </c>
    </row>
    <row r="55" spans="2:25">
      <c r="B55" s="85" t="s">
        <v>160</v>
      </c>
      <c r="C55" s="411"/>
      <c r="D55" s="117" t="s">
        <v>65</v>
      </c>
      <c r="O55" s="263">
        <v>820</v>
      </c>
      <c r="P55" s="117" t="s">
        <v>32</v>
      </c>
    </row>
    <row r="56" spans="2:25">
      <c r="B56" s="85" t="s">
        <v>160</v>
      </c>
      <c r="C56" s="147"/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2031$</v>
      </c>
      <c r="C60" s="152">
        <f>INDEX('Table 3 TransCost'!$39:$39,1,MATCH(F60,'Table 3 TransCost'!$4:$4,0)+2)</f>
        <v>12.45513744317196</v>
      </c>
      <c r="D60" s="117" t="s">
        <v>153</v>
      </c>
      <c r="F60" s="117" t="s">
        <v>146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0.32246556589655162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F37" sqref="F37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220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32%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UTS Solar with Storage - 32%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 hidden="1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 hidden="1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 hidden="1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 hidden="1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 hidden="1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/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/>
      <c r="E24" s="128"/>
      <c r="F24" s="128"/>
      <c r="G24" s="130"/>
      <c r="H24" s="128"/>
      <c r="I24" s="130"/>
      <c r="J24" s="130"/>
      <c r="K24" s="128"/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/>
      <c r="E25" s="128"/>
      <c r="F25" s="128"/>
      <c r="G25" s="130"/>
      <c r="H25" s="128"/>
      <c r="I25" s="130"/>
      <c r="J25" s="130"/>
      <c r="K25" s="128"/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/>
      <c r="E26" s="128"/>
      <c r="F26" s="128"/>
      <c r="G26" s="130"/>
      <c r="H26" s="128"/>
      <c r="I26" s="130"/>
      <c r="J26" s="130"/>
      <c r="K26" s="128"/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>
        <f>2711129.3/1100</f>
        <v>2464.663</v>
      </c>
      <c r="D27" s="128">
        <f>C27*$C$62</f>
        <v>133.55467965543409</v>
      </c>
      <c r="E27" s="128">
        <f>49817.8999999988/1100</f>
        <v>45.288999999998907</v>
      </c>
      <c r="F27" s="183">
        <f>$C$60</f>
        <v>13.460972789327549</v>
      </c>
      <c r="G27" s="130">
        <f t="shared" ref="G27:G37" si="1">(D27+E27+F27)/(8.76*$C$63)</f>
        <v>68.077302562479161</v>
      </c>
      <c r="H27" s="128"/>
      <c r="I27" s="130">
        <f t="shared" ref="I27:I37" si="2">(G27+H27)</f>
        <v>68.077302562479161</v>
      </c>
      <c r="J27" s="130">
        <f t="shared" ref="J27:J37" si="3">ROUND(I27*$C$63*8.76,2)</f>
        <v>192.3</v>
      </c>
      <c r="K27" s="128">
        <f t="shared" ref="K27:K37" si="4">(D27+E27+F27)</f>
        <v>192.30465244476053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ref="D28:F37" si="5">ROUND(D27*(1+IRP21_Infl_Rate),2)</f>
        <v>136.43</v>
      </c>
      <c r="E28" s="128">
        <f t="shared" si="5"/>
        <v>46.26</v>
      </c>
      <c r="F28" s="128">
        <f t="shared" si="5"/>
        <v>13.75</v>
      </c>
      <c r="G28" s="130">
        <f t="shared" si="1"/>
        <v>69.54124689840684</v>
      </c>
      <c r="H28" s="128"/>
      <c r="I28" s="130">
        <f t="shared" si="2"/>
        <v>69.54124689840684</v>
      </c>
      <c r="J28" s="130">
        <f t="shared" si="3"/>
        <v>196.44</v>
      </c>
      <c r="K28" s="128">
        <f t="shared" si="4"/>
        <v>196.44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139.37</v>
      </c>
      <c r="E29" s="128">
        <f t="shared" si="5"/>
        <v>47.26</v>
      </c>
      <c r="F29" s="128">
        <f t="shared" si="5"/>
        <v>14.05</v>
      </c>
      <c r="G29" s="130">
        <f t="shared" si="1"/>
        <v>71.042238991917557</v>
      </c>
      <c r="H29" s="128"/>
      <c r="I29" s="130">
        <f t="shared" si="2"/>
        <v>71.042238991917557</v>
      </c>
      <c r="J29" s="130">
        <f t="shared" si="3"/>
        <v>200.68</v>
      </c>
      <c r="K29" s="128">
        <f t="shared" si="4"/>
        <v>200.68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142.37</v>
      </c>
      <c r="E30" s="128">
        <f t="shared" si="5"/>
        <v>48.28</v>
      </c>
      <c r="F30" s="128">
        <f t="shared" si="5"/>
        <v>14.35</v>
      </c>
      <c r="G30" s="130">
        <f t="shared" si="1"/>
        <v>72.571551690966203</v>
      </c>
      <c r="H30" s="128"/>
      <c r="I30" s="130">
        <f t="shared" si="2"/>
        <v>72.571551690966203</v>
      </c>
      <c r="J30" s="130">
        <f t="shared" si="3"/>
        <v>205</v>
      </c>
      <c r="K30" s="128">
        <f t="shared" si="4"/>
        <v>205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145.44</v>
      </c>
      <c r="E31" s="128">
        <f t="shared" si="5"/>
        <v>49.32</v>
      </c>
      <c r="F31" s="128">
        <f t="shared" si="5"/>
        <v>14.66</v>
      </c>
      <c r="G31" s="130">
        <f t="shared" si="1"/>
        <v>74.136265146937276</v>
      </c>
      <c r="H31" s="128"/>
      <c r="I31" s="130">
        <f t="shared" si="2"/>
        <v>74.136265146937276</v>
      </c>
      <c r="J31" s="130">
        <f t="shared" si="3"/>
        <v>209.42</v>
      </c>
      <c r="K31" s="128">
        <f t="shared" si="4"/>
        <v>209.42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148.57</v>
      </c>
      <c r="E32" s="128">
        <f t="shared" si="5"/>
        <v>50.38</v>
      </c>
      <c r="F32" s="128">
        <f t="shared" si="5"/>
        <v>14.98</v>
      </c>
      <c r="G32" s="130">
        <f t="shared" si="1"/>
        <v>75.732839284138535</v>
      </c>
      <c r="H32" s="128"/>
      <c r="I32" s="130">
        <f t="shared" si="2"/>
        <v>75.732839284138535</v>
      </c>
      <c r="J32" s="130">
        <f t="shared" si="3"/>
        <v>213.93</v>
      </c>
      <c r="K32" s="128">
        <f t="shared" si="4"/>
        <v>213.92999999999998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151.77000000000001</v>
      </c>
      <c r="E33" s="128">
        <f t="shared" si="5"/>
        <v>51.47</v>
      </c>
      <c r="F33" s="128">
        <f t="shared" si="5"/>
        <v>15.3</v>
      </c>
      <c r="G33" s="130">
        <f t="shared" si="1"/>
        <v>77.364814178262222</v>
      </c>
      <c r="H33" s="128"/>
      <c r="I33" s="130">
        <f t="shared" si="2"/>
        <v>77.364814178262222</v>
      </c>
      <c r="J33" s="130">
        <f t="shared" si="3"/>
        <v>218.54</v>
      </c>
      <c r="K33" s="128">
        <f t="shared" si="4"/>
        <v>218.54000000000002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155.04</v>
      </c>
      <c r="E34" s="128">
        <f t="shared" si="5"/>
        <v>52.58</v>
      </c>
      <c r="F34" s="128">
        <f t="shared" si="5"/>
        <v>15.63</v>
      </c>
      <c r="G34" s="130">
        <f t="shared" si="1"/>
        <v>79.032189829308322</v>
      </c>
      <c r="H34" s="128"/>
      <c r="I34" s="130">
        <f t="shared" si="2"/>
        <v>79.032189829308322</v>
      </c>
      <c r="J34" s="130">
        <f t="shared" si="3"/>
        <v>223.25</v>
      </c>
      <c r="K34" s="128">
        <f t="shared" si="4"/>
        <v>223.25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158.38</v>
      </c>
      <c r="E35" s="128">
        <f t="shared" si="5"/>
        <v>53.71</v>
      </c>
      <c r="F35" s="128">
        <f t="shared" si="5"/>
        <v>15.97</v>
      </c>
      <c r="G35" s="130">
        <f t="shared" si="1"/>
        <v>80.734966237276836</v>
      </c>
      <c r="H35" s="128"/>
      <c r="I35" s="130">
        <f t="shared" si="2"/>
        <v>80.734966237276836</v>
      </c>
      <c r="J35" s="130">
        <f t="shared" si="3"/>
        <v>228.06</v>
      </c>
      <c r="K35" s="128">
        <f t="shared" si="4"/>
        <v>228.06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5"/>
        <v>161.79</v>
      </c>
      <c r="E36" s="128">
        <f t="shared" si="5"/>
        <v>54.87</v>
      </c>
      <c r="F36" s="128">
        <f t="shared" si="5"/>
        <v>16.309999999999999</v>
      </c>
      <c r="G36" s="130">
        <f t="shared" si="1"/>
        <v>82.473143402167793</v>
      </c>
      <c r="H36" s="128"/>
      <c r="I36" s="130">
        <f t="shared" si="2"/>
        <v>82.473143402167793</v>
      </c>
      <c r="J36" s="130">
        <f t="shared" si="3"/>
        <v>232.97</v>
      </c>
      <c r="K36" s="128">
        <f t="shared" si="4"/>
        <v>232.97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5"/>
        <v>165.28</v>
      </c>
      <c r="E37" s="128">
        <f t="shared" si="5"/>
        <v>56.05</v>
      </c>
      <c r="F37" s="128">
        <f t="shared" si="5"/>
        <v>16.66</v>
      </c>
      <c r="G37" s="130">
        <f t="shared" si="1"/>
        <v>84.250261399673391</v>
      </c>
      <c r="H37" s="128"/>
      <c r="I37" s="130">
        <f t="shared" si="2"/>
        <v>84.250261399673391</v>
      </c>
      <c r="J37" s="130">
        <f t="shared" si="3"/>
        <v>237.99</v>
      </c>
      <c r="K37" s="128">
        <f t="shared" si="4"/>
        <v>237.98999999999998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32.2%)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UTS Solar with Storage - 32%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2033</v>
      </c>
    </row>
    <row r="55" spans="2:25">
      <c r="B55" s="85" t="s">
        <v>160</v>
      </c>
      <c r="C55" s="411"/>
      <c r="D55" s="117" t="s">
        <v>65</v>
      </c>
      <c r="O55" s="263">
        <v>820</v>
      </c>
      <c r="P55" s="117" t="s">
        <v>32</v>
      </c>
    </row>
    <row r="56" spans="2:25">
      <c r="B56" s="85" t="s">
        <v>160</v>
      </c>
      <c r="C56" s="147"/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2033$</v>
      </c>
      <c r="C60" s="152">
        <f>INDEX('Table 3 TransCost'!$39:$39,1,MATCH(F60,'Table 3 TransCost'!$4:$4,0)+2)</f>
        <v>13.460972789327549</v>
      </c>
      <c r="D60" s="117" t="s">
        <v>153</v>
      </c>
      <c r="F60" s="117" t="s">
        <v>163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0.32246556589655162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A42" zoomScale="80" zoomScaleNormal="70" zoomScaleSheetLayoutView="80" workbookViewId="0">
      <selection activeCell="D26" sqref="D26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5'!$B$12:$B$240,FALSE)+ROW('Table 5'!B11)</f>
        <v>13</v>
      </c>
      <c r="DB3" s="179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6" t="s">
        <v>58</v>
      </c>
      <c r="Q4" s="166"/>
      <c r="R4" s="166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2021.Q3 - 100.0 MW and 100.0% CF</v>
      </c>
      <c r="C5" s="4"/>
      <c r="D5" s="4"/>
      <c r="E5" s="4"/>
      <c r="F5" s="4"/>
      <c r="G5" s="1"/>
      <c r="H5" s="36"/>
      <c r="I5" s="5"/>
      <c r="P5" s="167">
        <v>0.41156195349570163</v>
      </c>
      <c r="Q5" s="167">
        <v>0.41156195349570163</v>
      </c>
      <c r="R5" s="167">
        <v>0.41156195349570163</v>
      </c>
      <c r="S5" s="167">
        <v>0.30601336826237258</v>
      </c>
      <c r="T5" s="167">
        <v>0.30601336826237258</v>
      </c>
      <c r="U5" s="167">
        <v>0.42792879720636467</v>
      </c>
      <c r="V5" s="167">
        <v>0.82755792378807014</v>
      </c>
      <c r="W5" s="167">
        <v>0.83616598140283749</v>
      </c>
      <c r="X5" s="167">
        <v>0.83616598140283749</v>
      </c>
      <c r="Y5" s="167">
        <v>0.80898596435506986</v>
      </c>
      <c r="Z5" s="167">
        <v>0.82752951363946159</v>
      </c>
      <c r="AA5" s="167">
        <v>0.82752951363946159</v>
      </c>
      <c r="AB5" s="167">
        <v>0.80898596435506986</v>
      </c>
      <c r="AC5" s="167">
        <v>0.80898596435506986</v>
      </c>
      <c r="AD5" s="167">
        <v>0.76684191964285697</v>
      </c>
      <c r="AE5" s="167">
        <v>0.93399999999999994</v>
      </c>
      <c r="AF5" s="167">
        <v>0.9345</v>
      </c>
      <c r="AG5" s="167">
        <v>0.80898596435506986</v>
      </c>
      <c r="AH5" s="167"/>
      <c r="AI5" s="167"/>
      <c r="AJ5" s="167"/>
      <c r="AK5" s="167"/>
      <c r="DB5" s="172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197" t="s">
        <v>74</v>
      </c>
      <c r="AM7" s="197"/>
    </row>
    <row r="8" spans="2:107" s="194" customFormat="1" ht="40.700000000000003" customHeight="1">
      <c r="B8" s="185"/>
      <c r="C8" s="185"/>
      <c r="D8" s="185"/>
      <c r="E8" s="187"/>
      <c r="F8" s="188"/>
      <c r="G8" s="186" t="s">
        <v>14</v>
      </c>
      <c r="H8" s="190"/>
      <c r="I8" s="196"/>
      <c r="K8"/>
      <c r="L8"/>
      <c r="M8"/>
      <c r="P8" s="202"/>
      <c r="Q8" s="202"/>
      <c r="R8" s="202"/>
      <c r="T8" s="202"/>
      <c r="U8" s="199"/>
      <c r="V8" s="202"/>
      <c r="W8" s="202"/>
      <c r="X8" s="202"/>
      <c r="Y8" s="202"/>
      <c r="Z8" s="199"/>
      <c r="AB8" s="202"/>
      <c r="AC8" s="202"/>
      <c r="AE8" s="202"/>
      <c r="AF8" s="202"/>
      <c r="AG8" s="202"/>
      <c r="AL8" s="202">
        <f>P8</f>
        <v>0</v>
      </c>
      <c r="AM8" s="202"/>
      <c r="AN8" s="202">
        <f t="shared" ref="AN8" si="0">R8</f>
        <v>0</v>
      </c>
      <c r="AO8" s="202">
        <f t="shared" ref="AO8" si="1">S8</f>
        <v>0</v>
      </c>
      <c r="AP8" s="202">
        <f t="shared" ref="AP8" si="2">T8</f>
        <v>0</v>
      </c>
      <c r="AQ8" s="202">
        <f t="shared" ref="AQ8" si="3">U8</f>
        <v>0</v>
      </c>
      <c r="AR8" s="202">
        <f t="shared" ref="AR8" si="4">V8</f>
        <v>0</v>
      </c>
      <c r="AS8" s="202">
        <f t="shared" ref="AS8" si="5">W8</f>
        <v>0</v>
      </c>
      <c r="AT8" s="202">
        <f t="shared" ref="AT8" si="6">X8</f>
        <v>0</v>
      </c>
      <c r="AU8" s="202">
        <f t="shared" ref="AU8" si="7">Y8</f>
        <v>0</v>
      </c>
      <c r="AV8" s="202">
        <f t="shared" ref="AV8" si="8">Z8</f>
        <v>0</v>
      </c>
      <c r="AW8" s="202">
        <f t="shared" ref="AW8" si="9">AA8</f>
        <v>0</v>
      </c>
      <c r="AX8" s="202">
        <f t="shared" ref="AX8" si="10">AB8</f>
        <v>0</v>
      </c>
      <c r="AY8" s="202">
        <f t="shared" ref="AY8" si="11">AC8</f>
        <v>0</v>
      </c>
      <c r="AZ8" s="202">
        <f t="shared" ref="AZ8" si="12">AD8</f>
        <v>0</v>
      </c>
      <c r="BA8" s="202">
        <f t="shared" ref="BA8" si="13">AE8</f>
        <v>0</v>
      </c>
      <c r="BB8" s="202">
        <f>AF8</f>
        <v>0</v>
      </c>
      <c r="BC8" s="202">
        <f>AG8</f>
        <v>0</v>
      </c>
      <c r="BD8" s="202"/>
      <c r="BE8" s="202"/>
      <c r="BF8" s="202"/>
      <c r="BH8" s="197" t="s">
        <v>75</v>
      </c>
      <c r="BI8" s="197"/>
      <c r="BJ8" s="197"/>
      <c r="BK8" s="202"/>
      <c r="BL8" s="202"/>
      <c r="BM8" s="202">
        <f t="shared" ref="BL8:BY9" si="14">U8</f>
        <v>0</v>
      </c>
      <c r="BN8" s="202">
        <f t="shared" si="14"/>
        <v>0</v>
      </c>
      <c r="BO8" s="202">
        <f t="shared" si="14"/>
        <v>0</v>
      </c>
      <c r="BP8" s="202">
        <f t="shared" si="14"/>
        <v>0</v>
      </c>
      <c r="BQ8" s="202">
        <f t="shared" si="14"/>
        <v>0</v>
      </c>
      <c r="BR8" s="202">
        <f t="shared" si="14"/>
        <v>0</v>
      </c>
      <c r="BS8" s="202">
        <f t="shared" si="14"/>
        <v>0</v>
      </c>
      <c r="BT8" s="202">
        <f t="shared" si="14"/>
        <v>0</v>
      </c>
      <c r="BU8" s="202">
        <f t="shared" si="14"/>
        <v>0</v>
      </c>
      <c r="BV8" s="202">
        <f t="shared" si="14"/>
        <v>0</v>
      </c>
      <c r="BW8" s="202">
        <f t="shared" si="14"/>
        <v>0</v>
      </c>
      <c r="BX8" s="202">
        <f t="shared" si="14"/>
        <v>0</v>
      </c>
      <c r="BY8" s="202">
        <f t="shared" si="14"/>
        <v>0</v>
      </c>
      <c r="BZ8" s="202"/>
      <c r="CA8" s="202"/>
      <c r="CB8" s="202"/>
      <c r="CD8" s="197" t="s">
        <v>76</v>
      </c>
      <c r="CE8" s="197"/>
      <c r="CF8" s="197"/>
      <c r="CI8" s="202"/>
      <c r="CN8" s="202"/>
      <c r="DB8" s="175" t="s">
        <v>75</v>
      </c>
      <c r="DC8" s="176" t="s">
        <v>76</v>
      </c>
    </row>
    <row r="9" spans="2:107" s="181" customFormat="1" ht="76.7" customHeight="1">
      <c r="B9" s="185"/>
      <c r="C9" s="186" t="s">
        <v>6</v>
      </c>
      <c r="D9" s="186"/>
      <c r="E9" s="187" t="s">
        <v>18</v>
      </c>
      <c r="F9" s="188"/>
      <c r="G9" s="189">
        <f ca="1">Study_CF</f>
        <v>1</v>
      </c>
      <c r="H9" s="190"/>
      <c r="I9" s="191"/>
      <c r="K9"/>
      <c r="L9"/>
      <c r="M9"/>
      <c r="P9" s="181" t="s">
        <v>201</v>
      </c>
      <c r="Q9" s="202" t="s">
        <v>202</v>
      </c>
      <c r="R9" s="181" t="s">
        <v>203</v>
      </c>
      <c r="S9" s="202" t="s">
        <v>204</v>
      </c>
      <c r="T9" s="202" t="s">
        <v>205</v>
      </c>
      <c r="U9" s="199" t="s">
        <v>206</v>
      </c>
      <c r="V9" s="181" t="s">
        <v>207</v>
      </c>
      <c r="W9" s="202" t="s">
        <v>208</v>
      </c>
      <c r="X9" s="181" t="s">
        <v>209</v>
      </c>
      <c r="Y9" s="202" t="s">
        <v>210</v>
      </c>
      <c r="Z9" s="199" t="s">
        <v>211</v>
      </c>
      <c r="AA9" s="181" t="s">
        <v>212</v>
      </c>
      <c r="AB9" s="202"/>
      <c r="AC9" s="202"/>
      <c r="AD9" s="202" t="s">
        <v>216</v>
      </c>
      <c r="AE9" s="202" t="s">
        <v>215</v>
      </c>
      <c r="AF9" s="202" t="s">
        <v>217</v>
      </c>
      <c r="AG9" s="194"/>
      <c r="AH9" s="194"/>
      <c r="AI9" s="194"/>
      <c r="AK9" s="193"/>
      <c r="AL9" s="181" t="str">
        <f>P9</f>
        <v>IRP21_WD_PX_PNC_006_WD_T</v>
      </c>
      <c r="AM9" s="202" t="str">
        <f t="shared" ref="AM9:BA9" si="15">Q9</f>
        <v>IRP21_WD_PX_PNC_WD_T</v>
      </c>
      <c r="AN9" s="181" t="str">
        <f t="shared" si="15"/>
        <v>IRP21_WD_PX_WMV_006_WD_T</v>
      </c>
      <c r="AO9" s="181" t="str">
        <f t="shared" si="15"/>
        <v>IRP21_WD_PX_WYE_WD_T</v>
      </c>
      <c r="AP9" s="181" t="str">
        <f t="shared" si="15"/>
        <v>IRP21_WD_PX_WYE_Djohns_WD_T</v>
      </c>
      <c r="AQ9" s="199" t="str">
        <f t="shared" si="15"/>
        <v>IRP21_PWS_PX_YAK_WD_T</v>
      </c>
      <c r="AR9" s="181" t="str">
        <f t="shared" si="15"/>
        <v>IRP21_PVS_PX_BOR_002_PV_T</v>
      </c>
      <c r="AS9" s="181" t="str">
        <f t="shared" si="15"/>
        <v>IRP21_PVS_PX_SOR_C_PV_ 2028_T</v>
      </c>
      <c r="AT9" s="181" t="str">
        <f t="shared" si="15"/>
        <v>IRP21_PVS_PX_SOR_PV_T</v>
      </c>
      <c r="AU9" s="181" t="str">
        <f t="shared" si="15"/>
        <v>IRP21_PVS_PX_YAK_PV_T</v>
      </c>
      <c r="AV9" s="199" t="str">
        <f t="shared" si="15"/>
        <v>IRP21_PVS_PX_UTN_PV_T</v>
      </c>
      <c r="AW9" s="181" t="str">
        <f t="shared" si="15"/>
        <v>IRP21_PVS_PX_UTS_PV_T</v>
      </c>
      <c r="AX9" s="194">
        <f t="shared" si="15"/>
        <v>0</v>
      </c>
      <c r="AY9" s="194">
        <f t="shared" si="15"/>
        <v>0</v>
      </c>
      <c r="AZ9" s="194" t="str">
        <f t="shared" si="15"/>
        <v>IRP21_BAT_WYE_DJ_Wyodak</v>
      </c>
      <c r="BA9" s="194" t="str">
        <f t="shared" si="15"/>
        <v>IRP21_UTN_Non_Emitting_2033_T</v>
      </c>
      <c r="BB9" s="194" t="str">
        <f>AF9</f>
        <v>IRP21_NTN_Non_Emitting_2033_T</v>
      </c>
      <c r="BC9" s="202">
        <f>AG9</f>
        <v>0</v>
      </c>
      <c r="BD9" s="194"/>
      <c r="BE9" s="194"/>
      <c r="BF9" s="194"/>
      <c r="BH9" s="202" t="str">
        <f t="shared" ref="BH9" si="16">P9</f>
        <v>IRP21_WD_PX_PNC_006_WD_T</v>
      </c>
      <c r="BI9" s="202" t="str">
        <f t="shared" ref="BI9" si="17">Q9</f>
        <v>IRP21_WD_PX_PNC_WD_T</v>
      </c>
      <c r="BJ9" s="202" t="str">
        <f t="shared" ref="BJ9" si="18">R9</f>
        <v>IRP21_WD_PX_WMV_006_WD_T</v>
      </c>
      <c r="BK9" s="202" t="str">
        <f t="shared" ref="BK9" si="19">S9</f>
        <v>IRP21_WD_PX_WYE_WD_T</v>
      </c>
      <c r="BL9" s="202" t="str">
        <f t="shared" si="14"/>
        <v>IRP21_WD_PX_WYE_Djohns_WD_T</v>
      </c>
      <c r="BM9" s="202" t="str">
        <f t="shared" si="14"/>
        <v>IRP21_PWS_PX_YAK_WD_T</v>
      </c>
      <c r="BN9" s="202" t="str">
        <f t="shared" si="14"/>
        <v>IRP21_PVS_PX_BOR_002_PV_T</v>
      </c>
      <c r="BO9" s="202" t="str">
        <f t="shared" si="14"/>
        <v>IRP21_PVS_PX_SOR_C_PV_ 2028_T</v>
      </c>
      <c r="BP9" s="202" t="str">
        <f t="shared" si="14"/>
        <v>IRP21_PVS_PX_SOR_PV_T</v>
      </c>
      <c r="BQ9" s="202" t="str">
        <f t="shared" si="14"/>
        <v>IRP21_PVS_PX_YAK_PV_T</v>
      </c>
      <c r="BR9" s="202" t="str">
        <f t="shared" si="14"/>
        <v>IRP21_PVS_PX_UTN_PV_T</v>
      </c>
      <c r="BS9" s="202" t="str">
        <f t="shared" si="14"/>
        <v>IRP21_PVS_PX_UTS_PV_T</v>
      </c>
      <c r="BT9" s="202">
        <f t="shared" si="14"/>
        <v>0</v>
      </c>
      <c r="BU9" s="202">
        <f t="shared" si="14"/>
        <v>0</v>
      </c>
      <c r="BV9" s="202" t="str">
        <f t="shared" si="14"/>
        <v>IRP21_BAT_WYE_DJ_Wyodak</v>
      </c>
      <c r="BW9" s="202" t="str">
        <f t="shared" si="14"/>
        <v>IRP21_UTN_Non_Emitting_2033_T</v>
      </c>
      <c r="BX9" s="202" t="str">
        <f t="shared" si="14"/>
        <v>IRP21_NTN_Non_Emitting_2033_T</v>
      </c>
      <c r="BY9" s="202">
        <f t="shared" si="14"/>
        <v>0</v>
      </c>
      <c r="BZ9" s="202"/>
      <c r="CA9" s="202"/>
      <c r="CB9" s="202"/>
      <c r="CD9" s="181" t="str">
        <f t="shared" ref="CD9:CX9" si="20">BH9</f>
        <v>IRP21_WD_PX_PNC_006_WD_T</v>
      </c>
      <c r="CE9" s="202" t="str">
        <f t="shared" si="20"/>
        <v>IRP21_WD_PX_PNC_WD_T</v>
      </c>
      <c r="CF9" s="194" t="str">
        <f t="shared" si="20"/>
        <v>IRP21_WD_PX_WMV_006_WD_T</v>
      </c>
      <c r="CG9" s="194" t="str">
        <f t="shared" si="20"/>
        <v>IRP21_WD_PX_WYE_WD_T</v>
      </c>
      <c r="CH9" s="194" t="str">
        <f t="shared" si="20"/>
        <v>IRP21_WD_PX_WYE_Djohns_WD_T</v>
      </c>
      <c r="CI9" s="200" t="str">
        <f t="shared" si="20"/>
        <v>IRP21_PWS_PX_YAK_WD_T</v>
      </c>
      <c r="CJ9" s="194" t="str">
        <f t="shared" si="20"/>
        <v>IRP21_PVS_PX_BOR_002_PV_T</v>
      </c>
      <c r="CK9" s="194" t="str">
        <f t="shared" si="20"/>
        <v>IRP21_PVS_PX_SOR_C_PV_ 2028_T</v>
      </c>
      <c r="CL9" s="194" t="str">
        <f t="shared" si="20"/>
        <v>IRP21_PVS_PX_SOR_PV_T</v>
      </c>
      <c r="CM9" s="194" t="str">
        <f t="shared" si="20"/>
        <v>IRP21_PVS_PX_YAK_PV_T</v>
      </c>
      <c r="CN9" s="200" t="str">
        <f t="shared" si="20"/>
        <v>IRP21_PVS_PX_UTN_PV_T</v>
      </c>
      <c r="CO9" s="194" t="str">
        <f t="shared" si="20"/>
        <v>IRP21_PVS_PX_UTS_PV_T</v>
      </c>
      <c r="CP9" s="194">
        <f t="shared" si="20"/>
        <v>0</v>
      </c>
      <c r="CQ9" s="194">
        <f t="shared" si="20"/>
        <v>0</v>
      </c>
      <c r="CR9" s="194" t="str">
        <f t="shared" si="20"/>
        <v>IRP21_BAT_WYE_DJ_Wyodak</v>
      </c>
      <c r="CS9" s="194" t="str">
        <f t="shared" si="20"/>
        <v>IRP21_UTN_Non_Emitting_2033_T</v>
      </c>
      <c r="CT9" s="194" t="str">
        <f t="shared" si="20"/>
        <v>IRP21_NTN_Non_Emitting_2033_T</v>
      </c>
      <c r="CU9" s="194">
        <f t="shared" si="20"/>
        <v>0</v>
      </c>
      <c r="CV9" s="194">
        <f t="shared" si="20"/>
        <v>0</v>
      </c>
      <c r="CW9" s="194">
        <f t="shared" si="20"/>
        <v>0</v>
      </c>
      <c r="CX9" s="194">
        <f t="shared" si="20"/>
        <v>0</v>
      </c>
      <c r="CY9" s="181" t="s">
        <v>77</v>
      </c>
      <c r="DB9" s="181" t="s">
        <v>168</v>
      </c>
      <c r="DC9" s="202" t="s">
        <v>168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9"/>
      <c r="C12" s="170"/>
      <c r="D12" s="169"/>
      <c r="E12" s="12"/>
      <c r="F12" s="12"/>
      <c r="G12" s="3"/>
      <c r="H12" s="36"/>
      <c r="I12" s="89"/>
      <c r="BU12" s="342"/>
    </row>
    <row r="13" spans="2:107" customFormat="1">
      <c r="B13" s="15">
        <f>'Table 5'!J13</f>
        <v>2022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33.349716426529604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33.349716426529604</v>
      </c>
      <c r="H13" s="36"/>
      <c r="I13" s="172"/>
      <c r="J13" s="172"/>
      <c r="O13">
        <f t="shared" ref="O13:O32" si="22">B13</f>
        <v>2022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C13">
        <f t="shared" ref="BC13:BC30" si="39">AG13/AG$5</f>
        <v>0</v>
      </c>
      <c r="BG13">
        <f>O13</f>
        <v>2022</v>
      </c>
      <c r="BH13" s="130">
        <f>IFERROR(VLOOKUP($O13,'Table 3 PNC Wind_2026'!$B$10:$L$37,11,FALSE),0)</f>
        <v>0</v>
      </c>
      <c r="BI13" s="130">
        <f>IFERROR(VLOOKUP($O13,'Table 3 PNC Wind_2032'!$B$10:$L$37,11,FALSE),0)</f>
        <v>0</v>
      </c>
      <c r="BJ13" s="130">
        <f>IFERROR(VLOOKUP($O13,'Table 3 WV Wind_2026'!$B$10:$L$37,11,FALSE),0)</f>
        <v>0</v>
      </c>
      <c r="BK13" s="130">
        <f>IFERROR(VLOOKUP($O13,'Table 3 WYE Wind_2030'!$B$10:$L$37,11,FALSE),0)</f>
        <v>0</v>
      </c>
      <c r="BL13" s="130">
        <f>IFERROR(VLOOKUP($O13,'Table 3 WYE_DJ Wind_2030'!$B$10:$L$37,11,FALSE),0)</f>
        <v>0</v>
      </c>
      <c r="BM13" s="130">
        <f>IFERROR(VLOOKUP($O13,'Table 3 YK WindwS_2030'!$B$10:$L$37,11,FALSE),0)</f>
        <v>0</v>
      </c>
      <c r="BN13" s="130">
        <f>IFERROR(VLOOKUP($O13,'Table 3 PV wS Borah_2026'!$B$10:$K$37,10,FALSE),0)</f>
        <v>0</v>
      </c>
      <c r="BO13" s="373"/>
      <c r="BP13" s="130">
        <f>IFERROR(VLOOKUP($O13,'Table 3 PV wS SOR_2030'!$B$10:$K$37,10,FALSE),0)</f>
        <v>0</v>
      </c>
      <c r="BQ13" s="130">
        <f>IFERROR(VLOOKUP($O13,'Table 3 PV wS YK_2030'!$B$10:$K$37,10,FALSE),0)</f>
        <v>0</v>
      </c>
      <c r="BR13" s="130">
        <f>IFERROR(VLOOKUP($O13,'Table 3 PV wS UTN_2031'!$B$15:$K$37,10,FALSE),0)</f>
        <v>0</v>
      </c>
      <c r="BS13" s="130">
        <f>IFERROR(VLOOKUP($O13,'Table 3 PV wS UTS_2033'!B15:K37,10,FALSE),0)</f>
        <v>0</v>
      </c>
      <c r="BT13" s="130"/>
      <c r="BU13" s="373"/>
      <c r="BV13" s="130">
        <f>IFERROR(VLOOKUP($O13,'Table 3 StdBat  DJ_2029'!$B$15:$K$37,10,FALSE),0)</f>
        <v>0</v>
      </c>
      <c r="BW13" s="130">
        <f>IFERROR(VLOOKUP($O13,'Table 3 NonE 206MW (UTN) 2033'!$B$14:$M$36,12,FALSE),0)</f>
        <v>0</v>
      </c>
      <c r="BX13" s="130">
        <f>IFERROR(VLOOKUP($O13,'Table 3 NonE 196MW (NTN)'!$B$14:$M$36,12,FALSE),0)</f>
        <v>0</v>
      </c>
      <c r="BY13" s="372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40">SUM(CD13:CX13)</f>
        <v>0</v>
      </c>
      <c r="DA13">
        <f t="shared" ref="DA13:DA30" si="41">O13</f>
        <v>2022</v>
      </c>
      <c r="DB13" s="89">
        <f>IFERROR(VLOOKUP($DA13,'Table 3 TransCost'!$AA$10:$AD$32,4,FALSE),0)</f>
        <v>0</v>
      </c>
      <c r="DC13" s="172">
        <f>$DB$5*DB13/1000</f>
        <v>0</v>
      </c>
    </row>
    <row r="14" spans="2:107" customFormat="1">
      <c r="B14" s="15">
        <f t="shared" ref="B14:B34" si="42">B13+1</f>
        <v>2023</v>
      </c>
      <c r="C14" s="9">
        <f t="shared" si="21"/>
        <v>0</v>
      </c>
      <c r="D14" s="45"/>
      <c r="E14" s="9">
        <f t="shared" ref="E14:E32" ca="1" si="43">SUMIF(INDIRECT("'Table 5'!$J$"&amp;$K$3&amp;":$J$"&amp;$K$4),B14,INDIRECT("'Table 5'!$c$"&amp;$K$3&amp;":$c$"&amp;$K$4))/SUMIF(INDIRECT("'Table 5'!$J$"&amp;$K$3&amp;":$J$"&amp;$K$4),B14,INDIRECT("'Table 5'!$f$"&amp;$K$3&amp;":$f$"&amp;$K$4))</f>
        <v>30.355139843151193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30.355139843151193</v>
      </c>
      <c r="H14" s="36"/>
      <c r="I14" s="172"/>
      <c r="J14" s="172"/>
      <c r="O14">
        <f t="shared" si="22"/>
        <v>2023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C14">
        <f t="shared" si="39"/>
        <v>0</v>
      </c>
      <c r="BG14">
        <f t="shared" ref="BG14:BG30" si="44">O14</f>
        <v>2023</v>
      </c>
      <c r="BH14" s="130">
        <f>IFERROR(VLOOKUP($O14,'Table 3 PNC Wind_2026'!$B$10:$L$37,11,FALSE),0)</f>
        <v>0</v>
      </c>
      <c r="BI14" s="130">
        <f>IFERROR(VLOOKUP($O14,'Table 3 PNC Wind_2032'!$B$10:$L$37,11,FALSE),0)</f>
        <v>0</v>
      </c>
      <c r="BJ14" s="130">
        <f>IFERROR(VLOOKUP($O14,'Table 3 WV Wind_2026'!$B$10:$L$37,11,FALSE),0)</f>
        <v>0</v>
      </c>
      <c r="BK14" s="130">
        <f>IFERROR(VLOOKUP($O14,'Table 3 WYE Wind_2030'!$B$10:$L$37,11,FALSE),0)</f>
        <v>0</v>
      </c>
      <c r="BL14" s="130">
        <f>IFERROR(VLOOKUP($O14,'Table 3 WYE_DJ Wind_2030'!$B$10:$L$37,11,FALSE),0)</f>
        <v>0</v>
      </c>
      <c r="BM14" s="130">
        <f>IFERROR(VLOOKUP($O14,'Table 3 YK WindwS_2030'!$B$10:$L$37,11,FALSE),0)</f>
        <v>0</v>
      </c>
      <c r="BN14" s="130">
        <f>IFERROR(VLOOKUP($O14,'Table 3 PV wS Borah_2026'!$B$10:$K$37,10,FALSE),0)</f>
        <v>0</v>
      </c>
      <c r="BO14" s="373"/>
      <c r="BP14" s="130">
        <f>IFERROR(VLOOKUP($O14,'Table 3 PV wS SOR_2030'!$B$10:$K$37,10,FALSE),0)</f>
        <v>0</v>
      </c>
      <c r="BQ14" s="130">
        <f>IFERROR(VLOOKUP($O14,'Table 3 PV wS YK_2030'!$B$10:$K$37,10,FALSE),0)</f>
        <v>0</v>
      </c>
      <c r="BR14" s="130">
        <f>IFERROR(VLOOKUP($O14,'Table 3 PV wS UTN_2031'!$B$15:$K$37,10,FALSE),0)</f>
        <v>0</v>
      </c>
      <c r="BS14" s="130">
        <f>IFERROR(VLOOKUP($O14,'Table 3 PV wS UTS_2033'!B16:K38,10,FALSE),0)</f>
        <v>0</v>
      </c>
      <c r="BT14" s="372"/>
      <c r="BU14" s="373"/>
      <c r="BV14" s="130">
        <f>IFERROR(VLOOKUP($O14,'Table 3 StdBat  DJ_2029'!$B$15:$K$37,10,FALSE),0)</f>
        <v>0</v>
      </c>
      <c r="BW14" s="130">
        <f>IFERROR(VLOOKUP($O14,'Table 3 NonE 206MW (UTN) 2033'!$B$14:$M$36,12,FALSE),0)</f>
        <v>0</v>
      </c>
      <c r="BX14" s="130">
        <f>IFERROR(VLOOKUP($O14,'Table 3 NonE 196MW (NTN)'!$B$14:$M$36,12,FALSE),0)</f>
        <v>0</v>
      </c>
      <c r="BY14" s="372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40"/>
        <v>0</v>
      </c>
      <c r="DA14">
        <f t="shared" si="41"/>
        <v>2023</v>
      </c>
      <c r="DB14" s="89">
        <f>IFERROR(VLOOKUP($DA14,'Table 3 TransCost'!$AA$10:$AD$32,4,FALSE),0)</f>
        <v>0</v>
      </c>
      <c r="DC14" s="172">
        <f t="shared" ref="DC14:DC30" si="45">$DB$5*DB14/1000</f>
        <v>0</v>
      </c>
    </row>
    <row r="15" spans="2:107" customFormat="1">
      <c r="B15" s="15">
        <f t="shared" si="42"/>
        <v>2024</v>
      </c>
      <c r="C15" s="9">
        <f t="shared" si="21"/>
        <v>0</v>
      </c>
      <c r="D15" s="45"/>
      <c r="E15" s="9">
        <f t="shared" ca="1" si="43"/>
        <v>31.57773718322953</v>
      </c>
      <c r="F15" s="37"/>
      <c r="G15" s="14">
        <f t="shared" ref="G15:G34" ca="1" si="46">SUMIF(INDIRECT("'Table 5'!$J$"&amp;$K$3&amp;":$J$"&amp;$K$4),B15,INDIRECT("'Table 5'!$e$"&amp;$K$3&amp;":$e$"&amp;$K$4))/SUMIF(INDIRECT("'Table 5'!$J$"&amp;$K$3&amp;":$J$"&amp;$K$4),B15,INDIRECT("'Table 5'!$f$"&amp;$K$3&amp;":$f$"&amp;$K$4))</f>
        <v>31.57773718322953</v>
      </c>
      <c r="H15" s="36"/>
      <c r="I15" s="172"/>
      <c r="J15" s="172"/>
      <c r="N15" s="89"/>
      <c r="O15">
        <f t="shared" si="22"/>
        <v>2024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C15">
        <f t="shared" si="39"/>
        <v>0</v>
      </c>
      <c r="BG15">
        <f t="shared" si="44"/>
        <v>2024</v>
      </c>
      <c r="BH15" s="130">
        <f>IFERROR(VLOOKUP($O15,'Table 3 PNC Wind_2026'!$B$10:$L$37,11,FALSE),0)</f>
        <v>0</v>
      </c>
      <c r="BI15" s="130">
        <f>IFERROR(VLOOKUP($O15,'Table 3 PNC Wind_2032'!$B$10:$L$37,11,FALSE),0)</f>
        <v>0</v>
      </c>
      <c r="BJ15" s="130">
        <f>IFERROR(VLOOKUP($O15,'Table 3 WV Wind_2026'!$B$10:$L$37,11,FALSE),0)</f>
        <v>0</v>
      </c>
      <c r="BK15" s="130">
        <f>IFERROR(VLOOKUP($O15,'Table 3 WYE Wind_2030'!$B$10:$L$37,11,FALSE),0)</f>
        <v>0</v>
      </c>
      <c r="BL15" s="130">
        <f>IFERROR(VLOOKUP($O15,'Table 3 WYE_DJ Wind_2030'!$B$10:$L$37,11,FALSE),0)</f>
        <v>0</v>
      </c>
      <c r="BM15" s="130">
        <f>IFERROR(VLOOKUP($O15,'Table 3 YK WindwS_2030'!$B$10:$L$37,11,FALSE),0)</f>
        <v>0</v>
      </c>
      <c r="BN15" s="130">
        <f>IFERROR(VLOOKUP($O15,'Table 3 PV wS Borah_2026'!$B$10:$K$37,10,FALSE),0)</f>
        <v>0</v>
      </c>
      <c r="BO15" s="373"/>
      <c r="BP15" s="130">
        <f>IFERROR(VLOOKUP($O15,'Table 3 PV wS SOR_2030'!$B$10:$K$37,10,FALSE),0)</f>
        <v>0</v>
      </c>
      <c r="BQ15" s="130">
        <f>IFERROR(VLOOKUP($O15,'Table 3 PV wS YK_2030'!$B$10:$K$37,10,FALSE),0)</f>
        <v>0</v>
      </c>
      <c r="BR15" s="130">
        <f>IFERROR(VLOOKUP($O15,'Table 3 PV wS UTN_2031'!$B$15:$K$37,10,FALSE),0)</f>
        <v>0</v>
      </c>
      <c r="BS15" s="130">
        <f>IFERROR(VLOOKUP($O15,'Table 3 PV wS UTS_2033'!B17:K39,10,FALSE),0)</f>
        <v>0</v>
      </c>
      <c r="BT15" s="372"/>
      <c r="BU15" s="373"/>
      <c r="BV15" s="130">
        <f>IFERROR(VLOOKUP($O15,'Table 3 StdBat  DJ_2029'!$B$15:$K$37,10,FALSE),0)</f>
        <v>0</v>
      </c>
      <c r="BW15" s="130">
        <f>IFERROR(VLOOKUP($O15,'Table 3 NonE 206MW (UTN) 2033'!$B$14:$M$36,12,FALSE),0)</f>
        <v>0</v>
      </c>
      <c r="BX15" s="130">
        <f>IFERROR(VLOOKUP($O15,'Table 3 NonE 196MW (NTN)'!$B$14:$M$36,12,FALSE),0)</f>
        <v>0</v>
      </c>
      <c r="BY15" s="372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1"/>
        <v>2024</v>
      </c>
      <c r="DB15" s="89">
        <f>IFERROR(VLOOKUP($DA15,'Table 3 TransCost'!$AA$10:$AD$32,4,FALSE),0)</f>
        <v>0</v>
      </c>
      <c r="DC15" s="172">
        <f t="shared" si="45"/>
        <v>0</v>
      </c>
    </row>
    <row r="16" spans="2:107" customFormat="1">
      <c r="B16" s="15">
        <f t="shared" si="42"/>
        <v>2025</v>
      </c>
      <c r="C16" s="9">
        <f t="shared" si="21"/>
        <v>0</v>
      </c>
      <c r="D16" s="45"/>
      <c r="E16" s="9">
        <f t="shared" ca="1" si="43"/>
        <v>21.206969499166682</v>
      </c>
      <c r="F16" s="37"/>
      <c r="G16" s="14">
        <f t="shared" ca="1" si="46"/>
        <v>21.206969499166682</v>
      </c>
      <c r="H16" s="36"/>
      <c r="I16" s="172"/>
      <c r="J16" s="172"/>
      <c r="M16" s="111"/>
      <c r="O16">
        <f t="shared" si="22"/>
        <v>2025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C16">
        <f t="shared" si="39"/>
        <v>0</v>
      </c>
      <c r="BG16">
        <f t="shared" si="44"/>
        <v>2025</v>
      </c>
      <c r="BH16" s="130">
        <f>IFERROR(VLOOKUP($O16,'Table 3 PNC Wind_2026'!$B$10:$L$37,11,FALSE),0)</f>
        <v>0</v>
      </c>
      <c r="BI16" s="130">
        <f>IFERROR(VLOOKUP($O16,'Table 3 PNC Wind_2032'!$B$10:$L$37,11,FALSE),0)</f>
        <v>0</v>
      </c>
      <c r="BJ16" s="130">
        <f>IFERROR(VLOOKUP($O16,'Table 3 WV Wind_2026'!$B$10:$L$37,11,FALSE),0)</f>
        <v>0</v>
      </c>
      <c r="BK16" s="130">
        <f>IFERROR(VLOOKUP($O16,'Table 3 WYE Wind_2030'!$B$10:$L$37,11,FALSE),0)</f>
        <v>0</v>
      </c>
      <c r="BL16" s="130">
        <f>IFERROR(VLOOKUP($O16,'Table 3 WYE_DJ Wind_2030'!$B$10:$L$37,11,FALSE),0)</f>
        <v>0</v>
      </c>
      <c r="BM16" s="130">
        <f>IFERROR(VLOOKUP($O16,'Table 3 YK WindwS_2030'!$B$10:$L$37,11,FALSE),0)</f>
        <v>0</v>
      </c>
      <c r="BN16" s="130">
        <f>IFERROR(VLOOKUP($O16,'Table 3 PV wS Borah_2026'!$B$10:$K$37,10,FALSE),0)</f>
        <v>0</v>
      </c>
      <c r="BO16" s="373"/>
      <c r="BP16" s="130">
        <f>IFERROR(VLOOKUP($O16,'Table 3 PV wS SOR_2030'!$B$10:$K$37,10,FALSE),0)</f>
        <v>0</v>
      </c>
      <c r="BQ16" s="130">
        <f>IFERROR(VLOOKUP($O16,'Table 3 PV wS YK_2030'!$B$10:$K$37,10,FALSE),0)</f>
        <v>0</v>
      </c>
      <c r="BR16" s="130">
        <f>IFERROR(VLOOKUP($O16,'Table 3 PV wS UTN_2031'!$B$15:$K$37,10,FALSE),0)</f>
        <v>0</v>
      </c>
      <c r="BS16" s="130">
        <f>IFERROR(VLOOKUP($O16,'Table 3 PV wS UTS_2033'!B18:K40,10,FALSE),0)</f>
        <v>0</v>
      </c>
      <c r="BT16" s="372"/>
      <c r="BU16" s="373"/>
      <c r="BV16" s="130">
        <f>IFERROR(VLOOKUP($O16,'Table 3 StdBat  DJ_2029'!$B$15:$K$37,10,FALSE),0)</f>
        <v>0</v>
      </c>
      <c r="BW16" s="130">
        <f>IFERROR(VLOOKUP($O16,'Table 3 NonE 206MW (UTN) 2033'!$B$14:$M$36,12,FALSE),0)</f>
        <v>0</v>
      </c>
      <c r="BX16" s="130">
        <f>IFERROR(VLOOKUP($O16,'Table 3 NonE 196MW (NTN)'!$B$14:$M$36,12,FALSE),0)</f>
        <v>0</v>
      </c>
      <c r="BY16" s="372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7">SUM(CD16:CX16)</f>
        <v>0</v>
      </c>
      <c r="DA16">
        <f t="shared" si="41"/>
        <v>2025</v>
      </c>
      <c r="DB16" s="89">
        <f>IFERROR(VLOOKUP($DA16,'Table 3 TransCost'!$AA$10:$AD$32,4,FALSE),0)</f>
        <v>0</v>
      </c>
      <c r="DC16" s="172">
        <f t="shared" si="45"/>
        <v>0</v>
      </c>
    </row>
    <row r="17" spans="2:107">
      <c r="B17" s="15">
        <f t="shared" si="42"/>
        <v>2026</v>
      </c>
      <c r="C17" s="9">
        <f t="shared" si="21"/>
        <v>0</v>
      </c>
      <c r="D17" s="45"/>
      <c r="E17" s="9">
        <f t="shared" ca="1" si="43"/>
        <v>19.411552154771829</v>
      </c>
      <c r="F17" s="37"/>
      <c r="G17" s="14">
        <f t="shared" ca="1" si="46"/>
        <v>19.411552154771829</v>
      </c>
      <c r="H17" s="36"/>
      <c r="I17" s="172"/>
      <c r="J17" s="172"/>
      <c r="M17" s="112"/>
      <c r="O17">
        <f t="shared" si="22"/>
        <v>2026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2">
        <f t="shared" si="39"/>
        <v>0</v>
      </c>
      <c r="BG17">
        <f t="shared" si="44"/>
        <v>2026</v>
      </c>
      <c r="BH17" s="130">
        <f>IFERROR(VLOOKUP($O17,'Table 3 PNC Wind_2026'!$B$10:$L$37,11,FALSE),0)</f>
        <v>191.59144468071452</v>
      </c>
      <c r="BI17" s="130">
        <f>IFERROR(VLOOKUP($O17,'Table 3 PNC Wind_2032'!$B$10:$L$37,11,FALSE),0)</f>
        <v>0</v>
      </c>
      <c r="BJ17" s="130">
        <f>IFERROR(VLOOKUP($O17,'Table 3 WV Wind_2026'!$B$10:$L$37,11,FALSE),0)</f>
        <v>175.02113373468126</v>
      </c>
      <c r="BK17" s="130">
        <f>IFERROR(VLOOKUP($O17,'Table 3 WYE Wind_2030'!$B$10:$L$37,11,FALSE),0)</f>
        <v>0</v>
      </c>
      <c r="BL17" s="130">
        <f>IFERROR(VLOOKUP($O17,'Table 3 WYE_DJ Wind_2030'!$B$10:$L$37,11,FALSE),0)</f>
        <v>0</v>
      </c>
      <c r="BM17" s="130">
        <f>IFERROR(VLOOKUP($O17,'Table 3 YK WindwS_2030'!$B$10:$L$37,11,FALSE),0)</f>
        <v>0</v>
      </c>
      <c r="BN17" s="130">
        <f>IFERROR(VLOOKUP($O17,'Table 3 PV wS Borah_2026'!$B$10:$K$37,10,FALSE),0)</f>
        <v>238.0840552096771</v>
      </c>
      <c r="BO17" s="373"/>
      <c r="BP17" s="130">
        <f>IFERROR(VLOOKUP($O17,'Table 3 PV wS SOR_2030'!$B$10:$K$37,10,FALSE),0)</f>
        <v>0</v>
      </c>
      <c r="BQ17" s="130">
        <f>IFERROR(VLOOKUP($O17,'Table 3 PV wS YK_2030'!$B$10:$K$37,10,FALSE),0)</f>
        <v>0</v>
      </c>
      <c r="BR17" s="130">
        <f>IFERROR(VLOOKUP($O17,'Table 3 PV wS UTN_2031'!$B$15:$K$37,10,FALSE),0)</f>
        <v>0</v>
      </c>
      <c r="BS17" s="130">
        <f>IFERROR(VLOOKUP($O17,'Table 3 PV wS UTS_2033'!B19:K41,10,FALSE),0)</f>
        <v>0</v>
      </c>
      <c r="BT17" s="372"/>
      <c r="BU17" s="373"/>
      <c r="BV17" s="130">
        <f>IFERROR(VLOOKUP($O17,'Table 3 StdBat  DJ_2029'!$B$15:$K$37,10,FALSE),0)</f>
        <v>0</v>
      </c>
      <c r="BW17" s="130">
        <f>IFERROR(VLOOKUP($O17,'Table 3 NonE 206MW (UTN) 2033'!$B$14:$M$36,12,FALSE),0)</f>
        <v>0</v>
      </c>
      <c r="BX17" s="130">
        <f>IFERROR(VLOOKUP($O17,'Table 3 NonE 196MW (NTN)'!$B$14:$M$36,12,FALSE),0)</f>
        <v>0</v>
      </c>
      <c r="BY17" s="372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7"/>
        <v>0</v>
      </c>
      <c r="DA17">
        <f t="shared" si="41"/>
        <v>2026</v>
      </c>
      <c r="DB17" s="89">
        <f>IFERROR(VLOOKUP($DA17,'Table 3 TransCost'!$AA$10:$AD$32,4,FALSE),0)</f>
        <v>54.441007169221002</v>
      </c>
      <c r="DC17" s="172">
        <f t="shared" si="45"/>
        <v>0</v>
      </c>
    </row>
    <row r="18" spans="2:107">
      <c r="B18" s="15">
        <f t="shared" si="42"/>
        <v>2027</v>
      </c>
      <c r="C18" s="9">
        <f t="shared" si="21"/>
        <v>0</v>
      </c>
      <c r="D18" s="45"/>
      <c r="E18" s="9">
        <f t="shared" ca="1" si="43"/>
        <v>20.041330467526958</v>
      </c>
      <c r="F18" s="37"/>
      <c r="G18" s="14">
        <f t="shared" ca="1" si="46"/>
        <v>20.041330467526958</v>
      </c>
      <c r="H18" s="36"/>
      <c r="I18" s="172"/>
      <c r="J18" s="172"/>
      <c r="M18" s="112"/>
      <c r="O18">
        <f t="shared" si="22"/>
        <v>2027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C18">
        <f t="shared" si="39"/>
        <v>0</v>
      </c>
      <c r="BG18">
        <f t="shared" si="44"/>
        <v>2027</v>
      </c>
      <c r="BH18" s="130">
        <f>IFERROR(VLOOKUP($O18,'Table 3 PNC Wind_2026'!$B$10:$L$37,11,FALSE),0)</f>
        <v>195.72</v>
      </c>
      <c r="BI18" s="130">
        <f>IFERROR(VLOOKUP($O18,'Table 3 PNC Wind_2032'!$B$10:$L$37,11,FALSE),0)</f>
        <v>0</v>
      </c>
      <c r="BJ18" s="130">
        <f>IFERROR(VLOOKUP($O18,'Table 3 WV Wind_2026'!$B$10:$L$37,11,FALSE),0)</f>
        <v>178.79</v>
      </c>
      <c r="BK18" s="130">
        <f>IFERROR(VLOOKUP($O18,'Table 3 WYE Wind_2030'!$B$10:$L$37,11,FALSE),0)</f>
        <v>0</v>
      </c>
      <c r="BL18" s="130">
        <f>IFERROR(VLOOKUP($O18,'Table 3 WYE_DJ Wind_2030'!$B$10:$L$37,11,FALSE),0)</f>
        <v>0</v>
      </c>
      <c r="BM18" s="130">
        <f>IFERROR(VLOOKUP($O18,'Table 3 YK WindwS_2030'!$B$10:$L$37,11,FALSE),0)</f>
        <v>0</v>
      </c>
      <c r="BN18" s="130">
        <f>IFERROR(VLOOKUP($O18,'Table 3 PV wS Borah_2026'!$B$10:$K$37,10,FALSE),0)</f>
        <v>243.21999999999997</v>
      </c>
      <c r="BO18" s="373"/>
      <c r="BP18" s="130">
        <f>IFERROR(VLOOKUP($O18,'Table 3 PV wS SOR_2030'!$B$10:$K$37,10,FALSE),0)</f>
        <v>0</v>
      </c>
      <c r="BQ18" s="130">
        <f>IFERROR(VLOOKUP($O18,'Table 3 PV wS YK_2030'!$B$10:$K$37,10,FALSE),0)</f>
        <v>0</v>
      </c>
      <c r="BR18" s="130">
        <f>IFERROR(VLOOKUP($O18,'Table 3 PV wS UTN_2031'!$B$15:$K$37,10,FALSE),0)</f>
        <v>0</v>
      </c>
      <c r="BS18" s="130">
        <f>IFERROR(VLOOKUP($O18,'Table 3 PV wS UTS_2033'!B20:K42,10,FALSE),0)</f>
        <v>0</v>
      </c>
      <c r="BT18" s="372"/>
      <c r="BU18" s="373"/>
      <c r="BV18" s="130">
        <f>IFERROR(VLOOKUP($O18,'Table 3 StdBat  DJ_2029'!$B$15:$K$37,10,FALSE),0)</f>
        <v>0</v>
      </c>
      <c r="BW18" s="130">
        <f>IFERROR(VLOOKUP($O18,'Table 3 NonE 206MW (UTN) 2033'!$B$14:$M$36,12,FALSE),0)</f>
        <v>0</v>
      </c>
      <c r="BX18" s="130">
        <f>IFERROR(VLOOKUP($O18,'Table 3 NonE 196MW (NTN)'!$B$14:$M$36,12,FALSE),0)</f>
        <v>0</v>
      </c>
      <c r="BY18" s="372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7"/>
        <v>0</v>
      </c>
      <c r="DA18">
        <f t="shared" si="41"/>
        <v>2027</v>
      </c>
      <c r="DB18" s="89">
        <f>IFERROR(VLOOKUP($DA18,'Table 3 TransCost'!$AA$10:$AD$32,4,FALSE),0)</f>
        <v>55.79999999999999</v>
      </c>
      <c r="DC18" s="172">
        <f t="shared" si="45"/>
        <v>0</v>
      </c>
    </row>
    <row r="19" spans="2:107">
      <c r="B19" s="15">
        <f t="shared" si="42"/>
        <v>2028</v>
      </c>
      <c r="C19" s="9">
        <f t="shared" si="21"/>
        <v>0</v>
      </c>
      <c r="D19" s="45"/>
      <c r="E19" s="9">
        <f t="shared" ca="1" si="43"/>
        <v>21.081157889160139</v>
      </c>
      <c r="F19" s="37"/>
      <c r="G19" s="14">
        <f t="shared" ca="1" si="46"/>
        <v>21.081157889160139</v>
      </c>
      <c r="H19" s="36"/>
      <c r="I19" s="172"/>
      <c r="J19" s="172"/>
      <c r="M19" s="112"/>
      <c r="O19">
        <f t="shared" si="22"/>
        <v>2028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C19">
        <f t="shared" si="39"/>
        <v>0</v>
      </c>
      <c r="BG19">
        <f t="shared" si="44"/>
        <v>2028</v>
      </c>
      <c r="BH19" s="130">
        <f>IFERROR(VLOOKUP($O19,'Table 3 PNC Wind_2026'!$B$10:$L$37,11,FALSE),0)</f>
        <v>199.93</v>
      </c>
      <c r="BI19" s="130">
        <f>IFERROR(VLOOKUP($O19,'Table 3 PNC Wind_2032'!$B$10:$L$37,11,FALSE),0)</f>
        <v>0</v>
      </c>
      <c r="BJ19" s="130">
        <f>IFERROR(VLOOKUP($O19,'Table 3 WV Wind_2026'!$B$10:$L$37,11,FALSE),0)</f>
        <v>182.64000000000001</v>
      </c>
      <c r="BK19" s="130">
        <f>IFERROR(VLOOKUP($O19,'Table 3 WYE Wind_2030'!$B$10:$L$37,11,FALSE),0)</f>
        <v>0</v>
      </c>
      <c r="BL19" s="130">
        <f>IFERROR(VLOOKUP($O19,'Table 3 WYE_DJ Wind_2030'!$B$10:$L$37,11,FALSE),0)</f>
        <v>0</v>
      </c>
      <c r="BM19" s="130">
        <f>IFERROR(VLOOKUP($O19,'Table 3 YK WindwS_2030'!$B$10:$L$37,11,FALSE),0)</f>
        <v>0</v>
      </c>
      <c r="BN19" s="130">
        <f>IFERROR(VLOOKUP($O19,'Table 3 PV wS Borah_2026'!$B$10:$K$37,10,FALSE),0)</f>
        <v>248.47</v>
      </c>
      <c r="BO19" s="373"/>
      <c r="BP19" s="130">
        <f>IFERROR(VLOOKUP($O19,'Table 3 PV wS SOR_2030'!$B$10:$K$37,10,FALSE),0)</f>
        <v>0</v>
      </c>
      <c r="BQ19" s="130">
        <f>IFERROR(VLOOKUP($O19,'Table 3 PV wS YK_2030'!$B$10:$K$37,10,FALSE),0)</f>
        <v>0</v>
      </c>
      <c r="BR19" s="130">
        <f>IFERROR(VLOOKUP($O19,'Table 3 PV wS UTN_2031'!$B$15:$K$37,10,FALSE),0)</f>
        <v>0</v>
      </c>
      <c r="BS19" s="130">
        <f>IFERROR(VLOOKUP($O19,'Table 3 PV wS UTS_2033'!B21:K43,10,FALSE),0)</f>
        <v>0</v>
      </c>
      <c r="BT19" s="372"/>
      <c r="BU19" s="373"/>
      <c r="BV19" s="130">
        <f>IFERROR(VLOOKUP($O19,'Table 3 StdBat  DJ_2029'!$B$15:$K$37,10,FALSE),0)</f>
        <v>0</v>
      </c>
      <c r="BW19" s="130">
        <f>IFERROR(VLOOKUP($O19,'Table 3 NonE 206MW (UTN) 2033'!$B$14:$M$36,12,FALSE),0)</f>
        <v>0</v>
      </c>
      <c r="BX19" s="130">
        <f>IFERROR(VLOOKUP($O19,'Table 3 NonE 196MW (NTN)'!$B$14:$M$36,12,FALSE),0)</f>
        <v>0</v>
      </c>
      <c r="BY19" s="372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7"/>
        <v>0</v>
      </c>
      <c r="DA19">
        <f t="shared" si="41"/>
        <v>2028</v>
      </c>
      <c r="DB19" s="89">
        <f>IFERROR(VLOOKUP($DA19,'Table 3 TransCost'!$AA$10:$AD$32,4,FALSE),0)</f>
        <v>57.20000000000001</v>
      </c>
      <c r="DC19" s="172">
        <f t="shared" si="45"/>
        <v>0</v>
      </c>
    </row>
    <row r="20" spans="2:107">
      <c r="B20" s="15">
        <f t="shared" si="42"/>
        <v>2029</v>
      </c>
      <c r="C20" s="9">
        <f t="shared" si="21"/>
        <v>0</v>
      </c>
      <c r="D20" s="45"/>
      <c r="E20" s="9">
        <f t="shared" ca="1" si="43"/>
        <v>22.173265278043559</v>
      </c>
      <c r="F20" s="37"/>
      <c r="G20" s="14">
        <f t="shared" ca="1" si="46"/>
        <v>22.173265278043559</v>
      </c>
      <c r="H20" s="36"/>
      <c r="I20" s="172"/>
      <c r="J20" s="172"/>
      <c r="M20" s="112"/>
      <c r="O20">
        <f t="shared" si="22"/>
        <v>2029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C20">
        <f t="shared" si="39"/>
        <v>0</v>
      </c>
      <c r="BG20">
        <f t="shared" si="44"/>
        <v>2029</v>
      </c>
      <c r="BH20" s="130">
        <f>IFERROR(VLOOKUP($O20,'Table 3 PNC Wind_2026'!$B$10:$L$37,11,FALSE),0)</f>
        <v>204.25</v>
      </c>
      <c r="BI20" s="130">
        <f>IFERROR(VLOOKUP($O20,'Table 3 PNC Wind_2032'!$B$10:$L$37,11,FALSE),0)</f>
        <v>0</v>
      </c>
      <c r="BJ20" s="130">
        <f>IFERROR(VLOOKUP($O20,'Table 3 WV Wind_2026'!$B$10:$L$37,11,FALSE),0)</f>
        <v>186.58</v>
      </c>
      <c r="BK20" s="130">
        <f>IFERROR(VLOOKUP($O20,'Table 3 WYE Wind_2030'!$B$10:$L$37,11,FALSE),0)</f>
        <v>0</v>
      </c>
      <c r="BL20" s="130">
        <f>IFERROR(VLOOKUP($O20,'Table 3 WYE_DJ Wind_2030'!$B$10:$L$37,11,FALSE),0)</f>
        <v>0</v>
      </c>
      <c r="BM20" s="130">
        <f>IFERROR(VLOOKUP($O20,'Table 3 YK WindwS_2030'!$B$10:$L$37,11,FALSE),0)</f>
        <v>0</v>
      </c>
      <c r="BN20" s="130">
        <f>IFERROR(VLOOKUP($O20,'Table 3 PV wS Borah_2026'!$B$10:$K$37,10,FALSE),0)</f>
        <v>253.82000000000002</v>
      </c>
      <c r="BO20" s="373"/>
      <c r="BP20" s="130">
        <f>IFERROR(VLOOKUP($O20,'Table 3 PV wS SOR_2030'!$B$10:$K$37,10,FALSE),0)</f>
        <v>0</v>
      </c>
      <c r="BQ20" s="130">
        <f>IFERROR(VLOOKUP($O20,'Table 3 PV wS YK_2030'!$B$10:$K$37,10,FALSE),0)</f>
        <v>0</v>
      </c>
      <c r="BR20" s="130">
        <f>IFERROR(VLOOKUP($O20,'Table 3 PV wS UTN_2031'!$B$15:$K$37,10,FALSE),0)</f>
        <v>0</v>
      </c>
      <c r="BS20" s="130">
        <f>IFERROR(VLOOKUP($O20,'Table 3 PV wS UTS_2033'!B22:K44,10,FALSE),0)</f>
        <v>0</v>
      </c>
      <c r="BT20" s="372"/>
      <c r="BU20" s="373"/>
      <c r="BV20" s="130">
        <f>IFERROR(VLOOKUP($O20,'Table 3 StdBat  DJ_2029'!$B$15:$K$37,10,FALSE),0)</f>
        <v>109.2203161335344</v>
      </c>
      <c r="BW20" s="130">
        <f>IFERROR(VLOOKUP($O20,'Table 3 NonE 206MW (UTN) 2033'!$B$14:$M$36,12,FALSE),0)</f>
        <v>0</v>
      </c>
      <c r="BX20" s="130">
        <f>IFERROR(VLOOKUP($O20,'Table 3 NonE 196MW (NTN)'!$B$14:$M$36,12,FALSE),0)</f>
        <v>0</v>
      </c>
      <c r="BY20" s="372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7"/>
        <v>0</v>
      </c>
      <c r="DA20">
        <f t="shared" si="41"/>
        <v>2029</v>
      </c>
      <c r="DB20" s="89">
        <f>IFERROR(VLOOKUP($DA20,'Table 3 TransCost'!$AA$10:$AD$32,4,FALSE),0)</f>
        <v>58.57</v>
      </c>
      <c r="DC20" s="172">
        <f t="shared" si="45"/>
        <v>0</v>
      </c>
    </row>
    <row r="21" spans="2:107">
      <c r="B21" s="15">
        <f t="shared" si="42"/>
        <v>2030</v>
      </c>
      <c r="C21" s="9">
        <f t="shared" si="21"/>
        <v>0</v>
      </c>
      <c r="D21" s="45"/>
      <c r="E21" s="9">
        <f t="shared" ca="1" si="43"/>
        <v>22.329548208730881</v>
      </c>
      <c r="F21" s="37"/>
      <c r="G21" s="14">
        <f t="shared" ca="1" si="46"/>
        <v>22.329548208730881</v>
      </c>
      <c r="H21" s="36"/>
      <c r="I21" s="172"/>
      <c r="J21" s="172"/>
      <c r="M21" s="112"/>
      <c r="O21">
        <f t="shared" si="22"/>
        <v>2030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C21">
        <f t="shared" si="39"/>
        <v>0</v>
      </c>
      <c r="BG21">
        <f t="shared" si="44"/>
        <v>2030</v>
      </c>
      <c r="BH21" s="130">
        <f>IFERROR(VLOOKUP($O21,'Table 3 PNC Wind_2026'!$B$10:$L$37,11,FALSE),0)</f>
        <v>208.65</v>
      </c>
      <c r="BI21" s="130">
        <f>IFERROR(VLOOKUP($O21,'Table 3 PNC Wind_2032'!$B$10:$L$37,11,FALSE),0)</f>
        <v>0</v>
      </c>
      <c r="BJ21" s="130">
        <f>IFERROR(VLOOKUP($O21,'Table 3 WV Wind_2026'!$B$10:$L$37,11,FALSE),0)</f>
        <v>190.60000000000002</v>
      </c>
      <c r="BK21" s="130">
        <f>IFERROR(VLOOKUP($O21,'Table 3 WYE Wind_2030'!$B$10:$L$37,11,FALSE),0)</f>
        <v>205.46583054542094</v>
      </c>
      <c r="BL21" s="130">
        <f>IFERROR(VLOOKUP($O21,'Table 3 WYE_DJ Wind_2030'!$B$10:$L$37,11,FALSE),0)</f>
        <v>140.32583054543261</v>
      </c>
      <c r="BM21" s="130">
        <f>IFERROR(VLOOKUP($O21,'Table 3 YK WindwS_2030'!$B$10:$L$37,11,FALSE),0)</f>
        <v>178.28256570150677</v>
      </c>
      <c r="BN21" s="130">
        <f>IFERROR(VLOOKUP($O21,'Table 3 PV wS Borah_2026'!$B$10:$K$37,10,FALSE),0)</f>
        <v>259.28999999999996</v>
      </c>
      <c r="BO21" s="373"/>
      <c r="BP21" s="130">
        <f>IFERROR(VLOOKUP($O21,'Table 3 PV wS SOR_2030'!$B$10:$K$37,10,FALSE),0)</f>
        <v>219.45386985142773</v>
      </c>
      <c r="BQ21" s="130">
        <f>IFERROR(VLOOKUP($O21,'Table 3 PV wS YK_2030'!$B$10:$K$37,10,FALSE),0)</f>
        <v>190.37864865102028</v>
      </c>
      <c r="BR21" s="130">
        <f>IFERROR(VLOOKUP($O21,'Table 3 PV wS UTN_2031'!$B$15:$K$37,10,FALSE),0)</f>
        <v>0</v>
      </c>
      <c r="BS21" s="130">
        <f>IFERROR(VLOOKUP($O21,'Table 3 PV wS UTS_2033'!B23:K45,10,FALSE),0)</f>
        <v>0</v>
      </c>
      <c r="BT21" s="372"/>
      <c r="BU21" s="373"/>
      <c r="BV21" s="130">
        <f>IFERROR(VLOOKUP($O21,'Table 3 StdBat  DJ_2029'!$B$15:$K$37,10,FALSE),0)</f>
        <v>111.57</v>
      </c>
      <c r="BW21" s="130">
        <f>IFERROR(VLOOKUP($O21,'Table 3 NonE 206MW (UTN) 2033'!$B$14:$M$36,12,FALSE),0)</f>
        <v>0</v>
      </c>
      <c r="BX21" s="130">
        <f>IFERROR(VLOOKUP($O21,'Table 3 NonE 196MW (NTN)'!$B$14:$M$36,12,FALSE),0)</f>
        <v>0</v>
      </c>
      <c r="BY21" s="372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7"/>
        <v>0</v>
      </c>
      <c r="DA21">
        <f t="shared" si="41"/>
        <v>2030</v>
      </c>
      <c r="DB21" s="89">
        <f>IFERROR(VLOOKUP($DA21,'Table 3 TransCost'!$AA$10:$AD$32,4,FALSE),0)</f>
        <v>59.919999999999995</v>
      </c>
      <c r="DC21" s="172">
        <f t="shared" si="45"/>
        <v>0</v>
      </c>
    </row>
    <row r="22" spans="2:107">
      <c r="B22" s="15">
        <f t="shared" si="42"/>
        <v>2031</v>
      </c>
      <c r="C22" s="9">
        <f t="shared" si="21"/>
        <v>0</v>
      </c>
      <c r="D22" s="45"/>
      <c r="E22" s="9">
        <f t="shared" ca="1" si="43"/>
        <v>21.678981552067377</v>
      </c>
      <c r="F22" s="37"/>
      <c r="G22" s="14">
        <f t="shared" ca="1" si="46"/>
        <v>21.678981552067377</v>
      </c>
      <c r="H22" s="36"/>
      <c r="I22" s="172"/>
      <c r="J22" s="172"/>
      <c r="M22" s="112"/>
      <c r="O22">
        <f t="shared" si="22"/>
        <v>2031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C22">
        <f t="shared" si="39"/>
        <v>0</v>
      </c>
      <c r="BG22">
        <f t="shared" si="44"/>
        <v>2031</v>
      </c>
      <c r="BH22" s="130">
        <f>IFERROR(VLOOKUP($O22,'Table 3 PNC Wind_2026'!$B$10:$L$37,11,FALSE),0)</f>
        <v>213.14000000000001</v>
      </c>
      <c r="BI22" s="130">
        <f>IFERROR(VLOOKUP($O22,'Table 3 PNC Wind_2032'!$B$10:$L$37,11,FALSE),0)</f>
        <v>0</v>
      </c>
      <c r="BJ22" s="130">
        <f>IFERROR(VLOOKUP($O22,'Table 3 WV Wind_2026'!$B$10:$L$37,11,FALSE),0)</f>
        <v>194.70000000000002</v>
      </c>
      <c r="BK22" s="130">
        <f>IFERROR(VLOOKUP($O22,'Table 3 WYE Wind_2030'!$B$10:$L$37,11,FALSE),0)</f>
        <v>209.89</v>
      </c>
      <c r="BL22" s="130">
        <f>IFERROR(VLOOKUP($O22,'Table 3 WYE_DJ Wind_2030'!$B$10:$L$37,11,FALSE),0)</f>
        <v>143.35</v>
      </c>
      <c r="BM22" s="130">
        <f>IFERROR(VLOOKUP($O22,'Table 3 YK WindwS_2030'!$B$10:$L$37,11,FALSE),0)</f>
        <v>182.11999999999998</v>
      </c>
      <c r="BN22" s="130">
        <f>IFERROR(VLOOKUP($O22,'Table 3 PV wS Borah_2026'!$B$10:$K$37,10,FALSE),0)</f>
        <v>264.88</v>
      </c>
      <c r="BO22" s="373"/>
      <c r="BP22" s="130">
        <f>IFERROR(VLOOKUP($O22,'Table 3 PV wS SOR_2030'!$B$10:$K$37,10,FALSE),0)</f>
        <v>224.18</v>
      </c>
      <c r="BQ22" s="130">
        <f>IFERROR(VLOOKUP($O22,'Table 3 PV wS YK_2030'!$B$10:$K$37,10,FALSE),0)</f>
        <v>194.48</v>
      </c>
      <c r="BR22" s="130">
        <f>IFERROR(VLOOKUP($O22,'Table 3 PV wS UTN_2031'!$B$15:$K$37,10,FALSE),0)</f>
        <v>190.34566275538873</v>
      </c>
      <c r="BS22" s="130">
        <f>IFERROR(VLOOKUP($O22,'Table 3 PV wS UTS_2033'!B24:K46,10,FALSE),0)</f>
        <v>0</v>
      </c>
      <c r="BT22" s="372"/>
      <c r="BU22" s="373"/>
      <c r="BV22" s="130">
        <f>IFERROR(VLOOKUP($O22,'Table 3 StdBat  DJ_2029'!$B$15:$K$37,10,FALSE),0)</f>
        <v>113.97</v>
      </c>
      <c r="BW22" s="130">
        <f>IFERROR(VLOOKUP($O22,'Table 3 NonE 206MW (UTN) 2033'!$B$14:$M$36,12,FALSE),0)</f>
        <v>0</v>
      </c>
      <c r="BX22" s="130">
        <f>IFERROR(VLOOKUP($O22,'Table 3 NonE 196MW (NTN)'!$B$14:$M$36,12,FALSE),0)</f>
        <v>0</v>
      </c>
      <c r="BY22" s="372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7"/>
        <v>0</v>
      </c>
      <c r="DA22">
        <f t="shared" si="41"/>
        <v>2031</v>
      </c>
      <c r="DB22" s="89">
        <f>IFERROR(VLOOKUP($DA22,'Table 3 TransCost'!$AA$10:$AD$32,4,FALSE),0)</f>
        <v>61.29999999999999</v>
      </c>
      <c r="DC22" s="172">
        <f t="shared" si="45"/>
        <v>0</v>
      </c>
    </row>
    <row r="23" spans="2:107">
      <c r="B23" s="15">
        <f t="shared" si="42"/>
        <v>2032</v>
      </c>
      <c r="C23" s="9">
        <f t="shared" si="21"/>
        <v>0</v>
      </c>
      <c r="D23" s="45"/>
      <c r="E23" s="9">
        <f t="shared" ca="1" si="43"/>
        <v>21.902060166408795</v>
      </c>
      <c r="F23" s="37"/>
      <c r="G23" s="14">
        <f t="shared" ca="1" si="46"/>
        <v>21.902060166408795</v>
      </c>
      <c r="H23" s="36"/>
      <c r="I23" s="172"/>
      <c r="J23" s="172"/>
      <c r="M23" s="112"/>
      <c r="O23">
        <f t="shared" si="22"/>
        <v>2032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C23">
        <f t="shared" si="39"/>
        <v>0</v>
      </c>
      <c r="BG23">
        <f t="shared" si="44"/>
        <v>2032</v>
      </c>
      <c r="BH23" s="130">
        <f>IFERROR(VLOOKUP($O23,'Table 3 PNC Wind_2026'!$B$10:$L$37,11,FALSE),0)</f>
        <v>217.73000000000002</v>
      </c>
      <c r="BI23" s="130">
        <f>IFERROR(VLOOKUP($O23,'Table 3 PNC Wind_2032'!$B$10:$L$37,11,FALSE),0)</f>
        <v>230.86496710562511</v>
      </c>
      <c r="BJ23" s="130">
        <f>IFERROR(VLOOKUP($O23,'Table 3 WV Wind_2026'!$B$10:$L$37,11,FALSE),0)</f>
        <v>198.89999999999998</v>
      </c>
      <c r="BK23" s="130">
        <f>IFERROR(VLOOKUP($O23,'Table 3 WYE Wind_2030'!$B$10:$L$37,11,FALSE),0)</f>
        <v>214.41</v>
      </c>
      <c r="BL23" s="130">
        <f>IFERROR(VLOOKUP($O23,'Table 3 WYE_DJ Wind_2030'!$B$10:$L$37,11,FALSE),0)</f>
        <v>146.44</v>
      </c>
      <c r="BM23" s="130">
        <f>IFERROR(VLOOKUP($O23,'Table 3 YK WindwS_2030'!$B$10:$L$37,11,FALSE),0)</f>
        <v>186.04000000000002</v>
      </c>
      <c r="BN23" s="130">
        <f>IFERROR(VLOOKUP($O23,'Table 3 PV wS Borah_2026'!$B$10:$K$37,10,FALSE),0)</f>
        <v>270.58999999999997</v>
      </c>
      <c r="BO23" s="373"/>
      <c r="BP23" s="130">
        <f>IFERROR(VLOOKUP($O23,'Table 3 PV wS SOR_2030'!$B$10:$K$37,10,FALSE),0)</f>
        <v>229.01000000000002</v>
      </c>
      <c r="BQ23" s="130">
        <f>IFERROR(VLOOKUP($O23,'Table 3 PV wS YK_2030'!$B$10:$K$37,10,FALSE),0)</f>
        <v>198.67000000000002</v>
      </c>
      <c r="BR23" s="130">
        <f>IFERROR(VLOOKUP($O23,'Table 3 PV wS UTN_2031'!$B$15:$K$37,10,FALSE),0)</f>
        <v>194.43999999999997</v>
      </c>
      <c r="BS23" s="130">
        <f>IFERROR(VLOOKUP($O23,'Table 3 PV wS UTS_2033'!B25:K47,10,FALSE),0)</f>
        <v>0</v>
      </c>
      <c r="BT23" s="372"/>
      <c r="BU23" s="373"/>
      <c r="BV23" s="130">
        <f>IFERROR(VLOOKUP($O23,'Table 3 StdBat  DJ_2029'!$B$15:$K$37,10,FALSE),0)</f>
        <v>116.42</v>
      </c>
      <c r="BW23" s="130">
        <f>IFERROR(VLOOKUP($O23,'Table 3 NonE 206MW (UTN) 2033'!$B$14:$M$36,12,FALSE),0)</f>
        <v>0</v>
      </c>
      <c r="BX23" s="130">
        <f>IFERROR(VLOOKUP($O23,'Table 3 NonE 196MW (NTN)'!$B$14:$M$36,12,FALSE),0)</f>
        <v>0</v>
      </c>
      <c r="BY23" s="372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7"/>
        <v>0</v>
      </c>
      <c r="DA23">
        <f t="shared" si="41"/>
        <v>2032</v>
      </c>
      <c r="DB23" s="89">
        <f>IFERROR(VLOOKUP($DA23,'Table 3 TransCost'!$AA$10:$AD$32,4,FALSE),0)</f>
        <v>62.71</v>
      </c>
      <c r="DC23" s="172">
        <f t="shared" si="45"/>
        <v>0</v>
      </c>
    </row>
    <row r="24" spans="2:107">
      <c r="B24" s="15">
        <f t="shared" si="42"/>
        <v>2033</v>
      </c>
      <c r="C24" s="9">
        <f t="shared" si="21"/>
        <v>119.86081370449678</v>
      </c>
      <c r="D24" s="45"/>
      <c r="E24" s="9">
        <f t="shared" ca="1" si="43"/>
        <v>21.077929260772795</v>
      </c>
      <c r="F24" s="37"/>
      <c r="G24" s="14">
        <f t="shared" ca="1" si="46"/>
        <v>34.760670551240459</v>
      </c>
      <c r="H24" s="36"/>
      <c r="I24" s="172"/>
      <c r="J24" s="172"/>
      <c r="M24" s="112"/>
      <c r="O24">
        <f t="shared" si="22"/>
        <v>2033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100</v>
      </c>
      <c r="AF24">
        <v>0</v>
      </c>
      <c r="AG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107.06638115631692</v>
      </c>
      <c r="BB24">
        <f t="shared" si="38"/>
        <v>0</v>
      </c>
      <c r="BC24">
        <f t="shared" si="39"/>
        <v>0</v>
      </c>
      <c r="BG24">
        <f t="shared" si="44"/>
        <v>2033</v>
      </c>
      <c r="BH24" s="130">
        <f>IFERROR(VLOOKUP($O24,'Table 3 PNC Wind_2026'!$B$10:$L$37,11,FALSE),0)</f>
        <v>222.42</v>
      </c>
      <c r="BI24" s="130">
        <f>IFERROR(VLOOKUP($O24,'Table 3 PNC Wind_2032'!$B$10:$L$37,11,FALSE),0)</f>
        <v>235.84</v>
      </c>
      <c r="BJ24" s="130">
        <f>IFERROR(VLOOKUP($O24,'Table 3 WV Wind_2026'!$B$10:$L$37,11,FALSE),0)</f>
        <v>203.18</v>
      </c>
      <c r="BK24" s="130">
        <f>IFERROR(VLOOKUP($O24,'Table 3 WYE Wind_2030'!$B$10:$L$37,11,FALSE),0)</f>
        <v>219.03000000000003</v>
      </c>
      <c r="BL24" s="130">
        <f>IFERROR(VLOOKUP($O24,'Table 3 WYE_DJ Wind_2030'!$B$10:$L$37,11,FALSE),0)</f>
        <v>149.60000000000002</v>
      </c>
      <c r="BM24" s="130">
        <f>IFERROR(VLOOKUP($O24,'Table 3 YK WindwS_2030'!$B$10:$L$37,11,FALSE),0)</f>
        <v>190.05</v>
      </c>
      <c r="BN24" s="130">
        <f>IFERROR(VLOOKUP($O24,'Table 3 PV wS Borah_2026'!$B$10:$K$37,10,FALSE),0)</f>
        <v>276.42</v>
      </c>
      <c r="BO24" s="373"/>
      <c r="BP24" s="130">
        <f>IFERROR(VLOOKUP($O24,'Table 3 PV wS SOR_2030'!$B$10:$K$37,10,FALSE),0)</f>
        <v>233.94</v>
      </c>
      <c r="BQ24" s="130">
        <f>IFERROR(VLOOKUP($O24,'Table 3 PV wS YK_2030'!$B$10:$K$37,10,FALSE),0)</f>
        <v>202.95</v>
      </c>
      <c r="BR24" s="130">
        <f>IFERROR(VLOOKUP($O24,'Table 3 PV wS UTN_2031'!$B$15:$K$37,10,FALSE),0)</f>
        <v>198.63</v>
      </c>
      <c r="BS24" s="130">
        <f>IFERROR(VLOOKUP($O24,'Table 3 PV wS UTS_2033'!B26:K48,10,FALSE),0)</f>
        <v>192.30465244476053</v>
      </c>
      <c r="BT24" s="372"/>
      <c r="BU24" s="373"/>
      <c r="BV24" s="130">
        <f>IFERROR(VLOOKUP($O24,'Table 3 StdBat  DJ_2029'!$B$15:$K$37,10,FALSE),0)</f>
        <v>118.92999999999999</v>
      </c>
      <c r="BW24" s="130">
        <f>IFERROR(VLOOKUP($O24,'Table 3 NonE 206MW (UTN) 2033'!$B$14:$M$36,12,FALSE),0)</f>
        <v>111.94999999999999</v>
      </c>
      <c r="BX24" s="130">
        <f>IFERROR(VLOOKUP($O24,'Table 3 NonE 196MW (NTN)'!$B$14:$M$36,12,FALSE),0)</f>
        <v>113.52</v>
      </c>
      <c r="BY24" s="372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11.986081370449678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7"/>
        <v>11.986081370449678</v>
      </c>
      <c r="DA24">
        <f t="shared" si="41"/>
        <v>2033</v>
      </c>
      <c r="DB24" s="89">
        <f>IFERROR(VLOOKUP($DA24,'Table 3 TransCost'!$AA$10:$AD$32,4,FALSE),0)</f>
        <v>64.150000000000006</v>
      </c>
      <c r="DC24" s="172">
        <f t="shared" si="45"/>
        <v>0</v>
      </c>
    </row>
    <row r="25" spans="2:107">
      <c r="B25" s="15">
        <f t="shared" si="42"/>
        <v>2034</v>
      </c>
      <c r="C25" s="9">
        <f t="shared" si="21"/>
        <v>122.44111349036402</v>
      </c>
      <c r="D25" s="45"/>
      <c r="E25" s="9">
        <f t="shared" ca="1" si="43"/>
        <v>21.86055264315322</v>
      </c>
      <c r="F25" s="37"/>
      <c r="G25" s="14">
        <f t="shared" ca="1" si="46"/>
        <v>35.83784870369707</v>
      </c>
      <c r="H25" s="36"/>
      <c r="I25" s="172"/>
      <c r="J25" s="172"/>
      <c r="M25" s="112"/>
      <c r="O25">
        <f t="shared" si="22"/>
        <v>2034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C25">
        <f t="shared" si="39"/>
        <v>0</v>
      </c>
      <c r="BG25">
        <f t="shared" si="44"/>
        <v>2034</v>
      </c>
      <c r="BH25" s="130">
        <f>IFERROR(VLOOKUP($O25,'Table 3 PNC Wind_2026'!$B$10:$L$37,11,FALSE),0)</f>
        <v>227.22</v>
      </c>
      <c r="BI25" s="130">
        <f>IFERROR(VLOOKUP($O25,'Table 3 PNC Wind_2032'!$B$10:$L$37,11,FALSE),0)</f>
        <v>240.93</v>
      </c>
      <c r="BJ25" s="130">
        <f>IFERROR(VLOOKUP($O25,'Table 3 WV Wind_2026'!$B$10:$L$37,11,FALSE),0)</f>
        <v>207.56</v>
      </c>
      <c r="BK25" s="130">
        <f>IFERROR(VLOOKUP($O25,'Table 3 WYE Wind_2030'!$B$10:$L$37,11,FALSE),0)</f>
        <v>223.75</v>
      </c>
      <c r="BL25" s="130">
        <f>IFERROR(VLOOKUP($O25,'Table 3 WYE_DJ Wind_2030'!$B$10:$L$37,11,FALSE),0)</f>
        <v>152.82</v>
      </c>
      <c r="BM25" s="130">
        <f>IFERROR(VLOOKUP($O25,'Table 3 YK WindwS_2030'!$B$10:$L$37,11,FALSE),0)</f>
        <v>194.14000000000001</v>
      </c>
      <c r="BN25" s="130">
        <f>IFERROR(VLOOKUP($O25,'Table 3 PV wS Borah_2026'!$B$10:$K$37,10,FALSE),0)</f>
        <v>282.38</v>
      </c>
      <c r="BO25" s="373"/>
      <c r="BP25" s="130">
        <f>IFERROR(VLOOKUP($O25,'Table 3 PV wS SOR_2030'!$B$10:$K$37,10,FALSE),0)</f>
        <v>238.98</v>
      </c>
      <c r="BQ25" s="130">
        <f>IFERROR(VLOOKUP($O25,'Table 3 PV wS YK_2030'!$B$10:$K$37,10,FALSE),0)</f>
        <v>207.32</v>
      </c>
      <c r="BR25" s="130">
        <f>IFERROR(VLOOKUP($O25,'Table 3 PV wS UTN_2031'!$B$15:$K$37,10,FALSE),0)</f>
        <v>202.91000000000003</v>
      </c>
      <c r="BS25" s="130">
        <f>IFERROR(VLOOKUP($O25,'Table 3 PV wS UTS_2033'!B27:K49,10,FALSE),0)</f>
        <v>196.44</v>
      </c>
      <c r="BT25" s="372"/>
      <c r="BU25" s="373"/>
      <c r="BV25" s="130">
        <f>IFERROR(VLOOKUP($O25,'Table 3 StdBat  DJ_2029'!$B$15:$K$37,10,FALSE),0)</f>
        <v>121.49000000000001</v>
      </c>
      <c r="BW25" s="130">
        <f>IFERROR(VLOOKUP($O25,'Table 3 NonE 206MW (UTN) 2033'!$B$14:$M$36,12,FALSE),0)</f>
        <v>114.36</v>
      </c>
      <c r="BX25" s="130">
        <f>IFERROR(VLOOKUP($O25,'Table 3 NonE 196MW (NTN)'!$B$14:$M$36,12,FALSE),0)</f>
        <v>115.97</v>
      </c>
      <c r="BY25" s="372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12.244111349036402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7"/>
        <v>12.244111349036402</v>
      </c>
      <c r="DA25">
        <f t="shared" si="41"/>
        <v>2034</v>
      </c>
      <c r="DB25" s="89">
        <f>IFERROR(VLOOKUP($DA25,'Table 3 TransCost'!$AA$10:$AD$32,4,FALSE),0)</f>
        <v>65.63</v>
      </c>
      <c r="DC25" s="172">
        <f t="shared" si="45"/>
        <v>0</v>
      </c>
    </row>
    <row r="26" spans="2:107">
      <c r="B26" s="15">
        <f t="shared" si="42"/>
        <v>2035</v>
      </c>
      <c r="C26" s="9">
        <f t="shared" si="21"/>
        <v>125.08565310492506</v>
      </c>
      <c r="D26" s="45"/>
      <c r="E26" s="9">
        <f t="shared" ca="1" si="43"/>
        <v>22.478048679411138</v>
      </c>
      <c r="F26" s="37"/>
      <c r="G26" s="14">
        <f t="shared" ca="1" si="46"/>
        <v>36.75723282380897</v>
      </c>
      <c r="H26" s="36"/>
      <c r="I26" s="172"/>
      <c r="J26" s="172"/>
      <c r="M26" s="112"/>
      <c r="O26">
        <f t="shared" si="22"/>
        <v>2035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C26">
        <f t="shared" si="39"/>
        <v>0</v>
      </c>
      <c r="BG26">
        <f t="shared" si="44"/>
        <v>2035</v>
      </c>
      <c r="BH26" s="130">
        <f>IFERROR(VLOOKUP($O26,'Table 3 PNC Wind_2026'!$B$10:$L$37,11,FALSE),0)</f>
        <v>232.10999999999999</v>
      </c>
      <c r="BI26" s="130">
        <f>IFERROR(VLOOKUP($O26,'Table 3 PNC Wind_2032'!$B$10:$L$37,11,FALSE),0)</f>
        <v>246.11999999999998</v>
      </c>
      <c r="BJ26" s="130">
        <f>IFERROR(VLOOKUP($O26,'Table 3 WV Wind_2026'!$B$10:$L$37,11,FALSE),0)</f>
        <v>212.01999999999998</v>
      </c>
      <c r="BK26" s="130">
        <f>IFERROR(VLOOKUP($O26,'Table 3 WYE Wind_2030'!$B$10:$L$37,11,FALSE),0)</f>
        <v>228.57</v>
      </c>
      <c r="BL26" s="130">
        <f>IFERROR(VLOOKUP($O26,'Table 3 WYE_DJ Wind_2030'!$B$10:$L$37,11,FALSE),0)</f>
        <v>156.10999999999999</v>
      </c>
      <c r="BM26" s="130">
        <f>IFERROR(VLOOKUP($O26,'Table 3 YK WindwS_2030'!$B$10:$L$37,11,FALSE),0)</f>
        <v>198.32</v>
      </c>
      <c r="BN26" s="130">
        <f>IFERROR(VLOOKUP($O26,'Table 3 PV wS Borah_2026'!$B$10:$K$37,10,FALSE),0)</f>
        <v>288.45999999999998</v>
      </c>
      <c r="BO26" s="373"/>
      <c r="BP26" s="130">
        <f>IFERROR(VLOOKUP($O26,'Table 3 PV wS SOR_2030'!$B$10:$K$37,10,FALSE),0)</f>
        <v>244.12</v>
      </c>
      <c r="BQ26" s="130">
        <f>IFERROR(VLOOKUP($O26,'Table 3 PV wS YK_2030'!$B$10:$K$37,10,FALSE),0)</f>
        <v>211.79</v>
      </c>
      <c r="BR26" s="130">
        <f>IFERROR(VLOOKUP($O26,'Table 3 PV wS UTN_2031'!$B$15:$K$37,10,FALSE),0)</f>
        <v>207.28</v>
      </c>
      <c r="BS26" s="130">
        <f>IFERROR(VLOOKUP($O26,'Table 3 PV wS UTS_2033'!B28:K50,10,FALSE),0)</f>
        <v>200.68</v>
      </c>
      <c r="BT26" s="372"/>
      <c r="BU26" s="373"/>
      <c r="BV26" s="130">
        <f>IFERROR(VLOOKUP($O26,'Table 3 StdBat  DJ_2029'!$B$15:$K$37,10,FALSE),0)</f>
        <v>124.1</v>
      </c>
      <c r="BW26" s="130">
        <f>IFERROR(VLOOKUP($O26,'Table 3 NonE 206MW (UTN) 2033'!$B$14:$M$36,12,FALSE),0)</f>
        <v>116.83</v>
      </c>
      <c r="BX26" s="130">
        <f>IFERROR(VLOOKUP($O26,'Table 3 NonE 196MW (NTN)'!$B$14:$M$36,12,FALSE),0)</f>
        <v>118.47</v>
      </c>
      <c r="BY26" s="372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12.508565310492505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7"/>
        <v>12.508565310492505</v>
      </c>
      <c r="DA26">
        <f t="shared" si="41"/>
        <v>2035</v>
      </c>
      <c r="DB26" s="89">
        <f>IFERROR(VLOOKUP($DA26,'Table 3 TransCost'!$AA$10:$AD$32,4,FALSE),0)</f>
        <v>67.14</v>
      </c>
      <c r="DC26" s="172">
        <f t="shared" si="45"/>
        <v>0</v>
      </c>
    </row>
    <row r="27" spans="2:107">
      <c r="B27" s="15">
        <f t="shared" si="42"/>
        <v>2036</v>
      </c>
      <c r="C27" s="9">
        <f t="shared" si="21"/>
        <v>127.78372591006423</v>
      </c>
      <c r="D27" s="45"/>
      <c r="E27" s="9">
        <f t="shared" ca="1" si="43"/>
        <v>23.6795257147188</v>
      </c>
      <c r="F27" s="37"/>
      <c r="G27" s="14">
        <f t="shared" ca="1" si="46"/>
        <v>38.226853345645964</v>
      </c>
      <c r="H27" s="36"/>
      <c r="I27" s="172"/>
      <c r="J27" s="172"/>
      <c r="M27" s="112"/>
      <c r="O27">
        <f t="shared" si="22"/>
        <v>2036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C27">
        <f t="shared" si="39"/>
        <v>0</v>
      </c>
      <c r="BG27">
        <f t="shared" si="44"/>
        <v>2036</v>
      </c>
      <c r="BH27" s="130">
        <f>IFERROR(VLOOKUP($O27,'Table 3 PNC Wind_2026'!$B$10:$L$37,11,FALSE),0)</f>
        <v>237.11</v>
      </c>
      <c r="BI27" s="130">
        <f>IFERROR(VLOOKUP($O27,'Table 3 PNC Wind_2032'!$B$10:$L$37,11,FALSE),0)</f>
        <v>251.43</v>
      </c>
      <c r="BJ27" s="130">
        <f>IFERROR(VLOOKUP($O27,'Table 3 WV Wind_2026'!$B$10:$L$37,11,FALSE),0)</f>
        <v>216.58999999999997</v>
      </c>
      <c r="BK27" s="130">
        <f>IFERROR(VLOOKUP($O27,'Table 3 WYE Wind_2030'!$B$10:$L$37,11,FALSE),0)</f>
        <v>233.5</v>
      </c>
      <c r="BL27" s="130">
        <f>IFERROR(VLOOKUP($O27,'Table 3 WYE_DJ Wind_2030'!$B$10:$L$37,11,FALSE),0)</f>
        <v>159.48000000000002</v>
      </c>
      <c r="BM27" s="130">
        <f>IFERROR(VLOOKUP($O27,'Table 3 YK WindwS_2030'!$B$10:$L$37,11,FALSE),0)</f>
        <v>202.6</v>
      </c>
      <c r="BN27" s="130">
        <f>IFERROR(VLOOKUP($O27,'Table 3 PV wS Borah_2026'!$B$10:$K$37,10,FALSE),0)</f>
        <v>294.67</v>
      </c>
      <c r="BO27" s="373"/>
      <c r="BP27" s="130">
        <f>IFERROR(VLOOKUP($O27,'Table 3 PV wS SOR_2030'!$B$10:$K$37,10,FALSE),0)</f>
        <v>249.38</v>
      </c>
      <c r="BQ27" s="130">
        <f>IFERROR(VLOOKUP($O27,'Table 3 PV wS YK_2030'!$B$10:$K$37,10,FALSE),0)</f>
        <v>216.35</v>
      </c>
      <c r="BR27" s="130">
        <f>IFERROR(VLOOKUP($O27,'Table 3 PV wS UTN_2031'!$B$15:$K$37,10,FALSE),0)</f>
        <v>211.73999999999998</v>
      </c>
      <c r="BS27" s="130">
        <f>IFERROR(VLOOKUP($O27,'Table 3 PV wS UTS_2033'!B29:K51,10,FALSE),0)</f>
        <v>205</v>
      </c>
      <c r="BT27" s="372"/>
      <c r="BU27" s="373"/>
      <c r="BV27" s="130">
        <f>IFERROR(VLOOKUP($O27,'Table 3 StdBat  DJ_2029'!$B$15:$K$37,10,FALSE),0)</f>
        <v>126.78</v>
      </c>
      <c r="BW27" s="130">
        <f>IFERROR(VLOOKUP($O27,'Table 3 NonE 206MW (UTN) 2033'!$B$14:$M$36,12,FALSE),0)</f>
        <v>119.35</v>
      </c>
      <c r="BX27" s="130">
        <f>IFERROR(VLOOKUP($O27,'Table 3 NonE 196MW (NTN)'!$B$14:$M$36,12,FALSE),0)</f>
        <v>121.02</v>
      </c>
      <c r="BY27" s="372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12.778372591006423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7"/>
        <v>12.778372591006423</v>
      </c>
      <c r="DA27">
        <f t="shared" si="41"/>
        <v>2036</v>
      </c>
      <c r="DB27" s="89">
        <f>IFERROR(VLOOKUP($DA27,'Table 3 TransCost'!$AA$10:$AD$32,4,FALSE),0)</f>
        <v>68.680000000000007</v>
      </c>
      <c r="DC27" s="172">
        <f t="shared" si="45"/>
        <v>0</v>
      </c>
    </row>
    <row r="28" spans="2:107">
      <c r="B28" s="15">
        <f t="shared" si="42"/>
        <v>2037</v>
      </c>
      <c r="C28" s="9">
        <f t="shared" si="21"/>
        <v>130.53533190578159</v>
      </c>
      <c r="D28" s="45"/>
      <c r="E28" s="9">
        <f t="shared" ca="1" si="43"/>
        <v>25.731553782708893</v>
      </c>
      <c r="F28" s="37"/>
      <c r="G28" s="14">
        <f t="shared" ca="1" si="46"/>
        <v>40.632847379259303</v>
      </c>
      <c r="H28" s="36"/>
      <c r="I28" s="172"/>
      <c r="J28" s="172"/>
      <c r="M28" s="112"/>
      <c r="O28">
        <f t="shared" si="22"/>
        <v>2037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C28">
        <f t="shared" si="39"/>
        <v>0</v>
      </c>
      <c r="BG28">
        <f t="shared" si="44"/>
        <v>2037</v>
      </c>
      <c r="BH28" s="130">
        <f>IFERROR(VLOOKUP($O28,'Table 3 PNC Wind_2026'!$B$10:$L$37,11,FALSE),0)</f>
        <v>242.22</v>
      </c>
      <c r="BI28" s="130">
        <f>IFERROR(VLOOKUP($O28,'Table 3 PNC Wind_2032'!$B$10:$L$37,11,FALSE),0)</f>
        <v>256.85000000000002</v>
      </c>
      <c r="BJ28" s="130">
        <f>IFERROR(VLOOKUP($O28,'Table 3 WV Wind_2026'!$B$10:$L$37,11,FALSE),0)</f>
        <v>221.26</v>
      </c>
      <c r="BK28" s="130">
        <f>IFERROR(VLOOKUP($O28,'Table 3 WYE Wind_2030'!$B$10:$L$37,11,FALSE),0)</f>
        <v>238.53</v>
      </c>
      <c r="BL28" s="130">
        <f>IFERROR(VLOOKUP($O28,'Table 3 WYE_DJ Wind_2030'!$B$10:$L$37,11,FALSE),0)</f>
        <v>162.91</v>
      </c>
      <c r="BM28" s="130">
        <f>IFERROR(VLOOKUP($O28,'Table 3 YK WindwS_2030'!$B$10:$L$37,11,FALSE),0)</f>
        <v>206.96</v>
      </c>
      <c r="BN28" s="130">
        <f>IFERROR(VLOOKUP($O28,'Table 3 PV wS Borah_2026'!$B$10:$K$37,10,FALSE),0)</f>
        <v>301.02</v>
      </c>
      <c r="BO28" s="373"/>
      <c r="BP28" s="130">
        <f>IFERROR(VLOOKUP($O28,'Table 3 PV wS SOR_2030'!$B$10:$K$37,10,FALSE),0)</f>
        <v>254.76</v>
      </c>
      <c r="BQ28" s="130">
        <f>IFERROR(VLOOKUP($O28,'Table 3 PV wS YK_2030'!$B$10:$K$37,10,FALSE),0)</f>
        <v>221.01</v>
      </c>
      <c r="BR28" s="130">
        <f>IFERROR(VLOOKUP($O28,'Table 3 PV wS UTN_2031'!$B$15:$K$37,10,FALSE),0)</f>
        <v>216.31</v>
      </c>
      <c r="BS28" s="130">
        <f>IFERROR(VLOOKUP($O28,'Table 3 PV wS UTS_2033'!B30:K52,10,FALSE),0)</f>
        <v>209.42</v>
      </c>
      <c r="BT28" s="372"/>
      <c r="BU28" s="373"/>
      <c r="BV28" s="130">
        <f>IFERROR(VLOOKUP($O28,'Table 3 StdBat  DJ_2029'!$B$15:$K$37,10,FALSE),0)</f>
        <v>129.51</v>
      </c>
      <c r="BW28" s="130">
        <f>IFERROR(VLOOKUP($O28,'Table 3 NonE 206MW (UTN) 2033'!$B$14:$M$36,12,FALSE),0)</f>
        <v>121.92</v>
      </c>
      <c r="BX28" s="130">
        <f>IFERROR(VLOOKUP($O28,'Table 3 NonE 196MW (NTN)'!$B$14:$M$36,12,FALSE),0)</f>
        <v>123.63000000000001</v>
      </c>
      <c r="BY28" s="372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13.053533190578159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7"/>
        <v>13.053533190578159</v>
      </c>
      <c r="DA28">
        <f t="shared" si="41"/>
        <v>2037</v>
      </c>
      <c r="DB28" s="89">
        <f>IFERROR(VLOOKUP($DA28,'Table 3 TransCost'!$AA$10:$AD$32,4,FALSE),0)</f>
        <v>70.260000000000005</v>
      </c>
      <c r="DC28" s="172">
        <f t="shared" si="45"/>
        <v>0</v>
      </c>
    </row>
    <row r="29" spans="2:107">
      <c r="B29" s="15">
        <f t="shared" si="42"/>
        <v>2038</v>
      </c>
      <c r="C29" s="9">
        <f t="shared" si="21"/>
        <v>133.34047109207711</v>
      </c>
      <c r="D29" s="45"/>
      <c r="E29" s="9">
        <f t="shared" ca="1" si="43"/>
        <v>24.619564776265374</v>
      </c>
      <c r="F29" s="37"/>
      <c r="G29" s="14">
        <f t="shared" ca="1" si="46"/>
        <v>39.841079741114349</v>
      </c>
      <c r="H29" s="36"/>
      <c r="I29" s="172"/>
      <c r="J29" s="172"/>
      <c r="M29" s="112"/>
      <c r="O29">
        <f t="shared" si="22"/>
        <v>2038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C29">
        <f t="shared" si="39"/>
        <v>0</v>
      </c>
      <c r="BG29">
        <f t="shared" si="44"/>
        <v>2038</v>
      </c>
      <c r="BH29" s="130">
        <f>IFERROR(VLOOKUP($O29,'Table 3 PNC Wind_2026'!$B$10:$L$37,11,FALSE),0)</f>
        <v>247.44</v>
      </c>
      <c r="BI29" s="130">
        <f>IFERROR(VLOOKUP($O29,'Table 3 PNC Wind_2032'!$B$10:$L$37,11,FALSE),0)</f>
        <v>262.38</v>
      </c>
      <c r="BJ29" s="130">
        <f>IFERROR(VLOOKUP($O29,'Table 3 WV Wind_2026'!$B$10:$L$37,11,FALSE),0)</f>
        <v>226.03</v>
      </c>
      <c r="BK29" s="130">
        <f>IFERROR(VLOOKUP($O29,'Table 3 WYE Wind_2030'!$B$10:$L$37,11,FALSE),0)</f>
        <v>243.67000000000002</v>
      </c>
      <c r="BL29" s="130">
        <f>IFERROR(VLOOKUP($O29,'Table 3 WYE_DJ Wind_2030'!$B$10:$L$37,11,FALSE),0)</f>
        <v>166.42000000000002</v>
      </c>
      <c r="BM29" s="130">
        <f>IFERROR(VLOOKUP($O29,'Table 3 YK WindwS_2030'!$B$10:$L$37,11,FALSE),0)</f>
        <v>211.43</v>
      </c>
      <c r="BN29" s="130">
        <f>IFERROR(VLOOKUP($O29,'Table 3 PV wS Borah_2026'!$B$10:$K$37,10,FALSE),0)</f>
        <v>307.5</v>
      </c>
      <c r="BO29" s="373"/>
      <c r="BP29" s="130">
        <f>IFERROR(VLOOKUP($O29,'Table 3 PV wS SOR_2030'!$B$10:$K$37,10,FALSE),0)</f>
        <v>260.25</v>
      </c>
      <c r="BQ29" s="130">
        <f>IFERROR(VLOOKUP($O29,'Table 3 PV wS YK_2030'!$B$10:$K$37,10,FALSE),0)</f>
        <v>225.76999999999998</v>
      </c>
      <c r="BR29" s="130">
        <f>IFERROR(VLOOKUP($O29,'Table 3 PV wS UTN_2031'!$B$15:$K$37,10,FALSE),0)</f>
        <v>220.96999999999997</v>
      </c>
      <c r="BS29" s="130">
        <f>IFERROR(VLOOKUP($O29,'Table 3 PV wS UTS_2033'!B31:K53,10,FALSE),0)</f>
        <v>213.92999999999998</v>
      </c>
      <c r="BT29" s="372"/>
      <c r="BU29" s="373"/>
      <c r="BV29" s="130">
        <f>IFERROR(VLOOKUP($O29,'Table 3 StdBat  DJ_2029'!$B$15:$K$37,10,FALSE),0)</f>
        <v>132.30000000000001</v>
      </c>
      <c r="BW29" s="130">
        <f>IFERROR(VLOOKUP($O29,'Table 3 NonE 206MW (UTN) 2033'!$B$14:$M$36,12,FALSE),0)</f>
        <v>124.54</v>
      </c>
      <c r="BX29" s="130">
        <f>IFERROR(VLOOKUP($O29,'Table 3 NonE 196MW (NTN)'!$B$14:$M$36,12,FALSE),0)</f>
        <v>126.29</v>
      </c>
      <c r="BY29" s="372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13.33404710920771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7"/>
        <v>13.33404710920771</v>
      </c>
      <c r="DA29">
        <f t="shared" si="41"/>
        <v>2038</v>
      </c>
      <c r="DB29" s="89">
        <f>IFERROR(VLOOKUP($DA29,'Table 3 TransCost'!$AA$10:$AD$32,4,FALSE),0)</f>
        <v>71.88</v>
      </c>
      <c r="DC29" s="172">
        <f t="shared" si="45"/>
        <v>0</v>
      </c>
    </row>
    <row r="30" spans="2:107">
      <c r="B30" s="15">
        <f t="shared" si="42"/>
        <v>2039</v>
      </c>
      <c r="C30" s="9">
        <f t="shared" si="21"/>
        <v>136.20985010706639</v>
      </c>
      <c r="D30" s="45"/>
      <c r="E30" s="9">
        <f t="shared" ca="1" si="43"/>
        <v>25.725234350245803</v>
      </c>
      <c r="F30" s="37"/>
      <c r="G30" s="14">
        <f t="shared" ca="1" si="46"/>
        <v>41.274303997171195</v>
      </c>
      <c r="H30" s="36"/>
      <c r="I30" s="172"/>
      <c r="J30" s="172"/>
      <c r="M30" s="112"/>
      <c r="O30">
        <f t="shared" si="22"/>
        <v>2039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C30">
        <f t="shared" si="39"/>
        <v>0</v>
      </c>
      <c r="BG30">
        <f t="shared" si="44"/>
        <v>2039</v>
      </c>
      <c r="BH30" s="130">
        <f>IFERROR(VLOOKUP($O30,'Table 3 PNC Wind_2026'!$B$10:$L$37,11,FALSE),0)</f>
        <v>252.76999999999998</v>
      </c>
      <c r="BI30" s="130">
        <f>IFERROR(VLOOKUP($O30,'Table 3 PNC Wind_2032'!$B$10:$L$37,11,FALSE),0)</f>
        <v>268.04000000000002</v>
      </c>
      <c r="BJ30" s="130">
        <f>IFERROR(VLOOKUP($O30,'Table 3 WV Wind_2026'!$B$10:$L$37,11,FALSE),0)</f>
        <v>230.9</v>
      </c>
      <c r="BK30" s="130">
        <f>IFERROR(VLOOKUP($O30,'Table 3 WYE Wind_2030'!$B$10:$L$37,11,FALSE),0)</f>
        <v>248.92000000000002</v>
      </c>
      <c r="BL30" s="130">
        <f>IFERROR(VLOOKUP($O30,'Table 3 WYE_DJ Wind_2030'!$B$10:$L$37,11,FALSE),0)</f>
        <v>170.01000000000002</v>
      </c>
      <c r="BM30" s="130">
        <f>IFERROR(VLOOKUP($O30,'Table 3 YK WindwS_2030'!$B$10:$L$37,11,FALSE),0)</f>
        <v>215.98</v>
      </c>
      <c r="BN30" s="130">
        <f>IFERROR(VLOOKUP($O30,'Table 3 PV wS Borah_2026'!$B$10:$K$37,10,FALSE),0)</f>
        <v>314.13</v>
      </c>
      <c r="BO30" s="373"/>
      <c r="BP30" s="130">
        <f>IFERROR(VLOOKUP($O30,'Table 3 PV wS SOR_2030'!$B$10:$K$37,10,FALSE),0)</f>
        <v>265.84999999999997</v>
      </c>
      <c r="BQ30" s="130">
        <f>IFERROR(VLOOKUP($O30,'Table 3 PV wS YK_2030'!$B$10:$K$37,10,FALSE),0)</f>
        <v>230.64000000000001</v>
      </c>
      <c r="BR30" s="130">
        <f>IFERROR(VLOOKUP($O30,'Table 3 PV wS UTN_2031'!$B$15:$K$37,10,FALSE),0)</f>
        <v>225.73</v>
      </c>
      <c r="BS30" s="130">
        <f>IFERROR(VLOOKUP($O30,'Table 3 PV wS UTS_2033'!B32:K54,10,FALSE),0)</f>
        <v>218.54000000000002</v>
      </c>
      <c r="BT30" s="372"/>
      <c r="BU30" s="373"/>
      <c r="BV30" s="130">
        <f>IFERROR(VLOOKUP($O30,'Table 3 StdBat  DJ_2029'!$B$15:$K$37,10,FALSE),0)</f>
        <v>135.14999999999998</v>
      </c>
      <c r="BW30" s="130">
        <f>IFERROR(VLOOKUP($O30,'Table 3 NonE 206MW (UTN) 2033'!$B$14:$M$36,12,FALSE),0)</f>
        <v>127.22</v>
      </c>
      <c r="BX30" s="130">
        <f>IFERROR(VLOOKUP($O30,'Table 3 NonE 196MW (NTN)'!$B$14:$M$36,12,FALSE),0)</f>
        <v>129.01</v>
      </c>
      <c r="BY30" s="372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13.62098501070664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7"/>
        <v>13.62098501070664</v>
      </c>
      <c r="DA30">
        <f t="shared" si="41"/>
        <v>2039</v>
      </c>
      <c r="DB30" s="89">
        <f>IFERROR(VLOOKUP($DA30,'Table 3 TransCost'!$AA$10:$AD$32,4,FALSE),0)</f>
        <v>73.53</v>
      </c>
      <c r="DC30" s="172">
        <f t="shared" si="45"/>
        <v>0</v>
      </c>
    </row>
    <row r="31" spans="2:107">
      <c r="B31" s="15">
        <f t="shared" si="42"/>
        <v>2040</v>
      </c>
      <c r="C31" s="9">
        <f t="shared" si="21"/>
        <v>139.14346895074948</v>
      </c>
      <c r="D31" s="45"/>
      <c r="E31" s="9">
        <f t="shared" ca="1" si="43"/>
        <v>27.272352537253639</v>
      </c>
      <c r="F31" s="37"/>
      <c r="G31" s="14">
        <f t="shared" ca="1" si="46"/>
        <v>43.112911388659548</v>
      </c>
      <c r="H31" s="36"/>
      <c r="I31" s="172"/>
      <c r="J31" s="172"/>
      <c r="M31" s="112"/>
      <c r="O31">
        <f t="shared" si="22"/>
        <v>2040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L31">
        <f t="shared" ref="AL31:AL32" si="48">P31/P$5</f>
        <v>0</v>
      </c>
      <c r="AM31">
        <f t="shared" ref="AM31:AM34" si="49">Q31/Q$5</f>
        <v>0</v>
      </c>
      <c r="AN31">
        <f t="shared" ref="AN31:AN34" si="50">R31/R$5</f>
        <v>0</v>
      </c>
      <c r="AO31">
        <f t="shared" ref="AO31:AO34" si="51">S31/S$5</f>
        <v>0</v>
      </c>
      <c r="AP31">
        <f t="shared" ref="AP31:AP34" si="52">T31/T$5</f>
        <v>0</v>
      </c>
      <c r="AQ31">
        <f t="shared" ref="AQ31:AQ34" si="53">U31/U$5</f>
        <v>0</v>
      </c>
      <c r="AR31">
        <f t="shared" ref="AR31:AR34" si="54">V31/V$5</f>
        <v>0</v>
      </c>
      <c r="AS31">
        <f t="shared" ref="AS31:AS34" si="55">W31/W$5</f>
        <v>0</v>
      </c>
      <c r="AT31">
        <f t="shared" ref="AT31:AT34" si="56">X31/X$5</f>
        <v>0</v>
      </c>
      <c r="AU31">
        <f t="shared" ref="AU31:AU34" si="57">Y31/Y$5</f>
        <v>0</v>
      </c>
      <c r="AV31">
        <f t="shared" ref="AV31:AV34" si="58">Z31/Z$5</f>
        <v>0</v>
      </c>
      <c r="AW31">
        <f t="shared" ref="AW31:AW34" si="59">AA31/AA$5</f>
        <v>0</v>
      </c>
      <c r="AX31">
        <f t="shared" ref="AX31:AX34" si="60">AB31/AB$5</f>
        <v>0</v>
      </c>
      <c r="AY31">
        <f t="shared" ref="AY31:AY34" si="61">AC31/AC$5</f>
        <v>0</v>
      </c>
      <c r="AZ31">
        <f t="shared" ref="AZ31:AZ34" si="62">AD31/AD$5</f>
        <v>0</v>
      </c>
      <c r="BA31">
        <f t="shared" ref="BA31:BA34" si="63">AE31/AE$5</f>
        <v>0</v>
      </c>
      <c r="BB31">
        <f t="shared" ref="BB31:BB34" si="64">AF31/AF$5</f>
        <v>0</v>
      </c>
      <c r="BC31">
        <f t="shared" ref="BC31:BC34" si="65">AG31/AG$5</f>
        <v>0</v>
      </c>
      <c r="BG31">
        <f t="shared" ref="BG31:BG32" si="66">O31</f>
        <v>2040</v>
      </c>
      <c r="BH31" s="130">
        <f>IFERROR(VLOOKUP($O31,'Table 3 PNC Wind_2026'!$B$10:$L$37,11,FALSE),0)</f>
        <v>258.21000000000004</v>
      </c>
      <c r="BI31" s="130">
        <f>IFERROR(VLOOKUP($O31,'Table 3 PNC Wind_2032'!$B$10:$L$37,11,FALSE),0)</f>
        <v>273.81</v>
      </c>
      <c r="BJ31" s="130">
        <f>IFERROR(VLOOKUP($O31,'Table 3 WV Wind_2026'!$B$10:$L$37,11,FALSE),0)</f>
        <v>235.86999999999998</v>
      </c>
      <c r="BK31" s="130">
        <f>IFERROR(VLOOKUP($O31,'Table 3 WYE Wind_2030'!$B$10:$L$37,11,FALSE),0)</f>
        <v>254.27999999999997</v>
      </c>
      <c r="BL31" s="130">
        <f>IFERROR(VLOOKUP($O31,'Table 3 WYE_DJ Wind_2030'!$B$10:$L$37,11,FALSE),0)</f>
        <v>173.67</v>
      </c>
      <c r="BM31" s="130">
        <f>IFERROR(VLOOKUP($O31,'Table 3 YK WindwS_2030'!$B$10:$L$37,11,FALSE),0)</f>
        <v>220.63</v>
      </c>
      <c r="BN31" s="130">
        <f>IFERROR(VLOOKUP($O31,'Table 3 PV wS Borah_2026'!$B$10:$K$37,10,FALSE),0)</f>
        <v>320.89999999999998</v>
      </c>
      <c r="BO31" s="373"/>
      <c r="BP31" s="130">
        <f>IFERROR(VLOOKUP($O31,'Table 3 PV wS SOR_2030'!$B$10:$K$37,10,FALSE),0)</f>
        <v>271.58000000000004</v>
      </c>
      <c r="BQ31" s="130">
        <f>IFERROR(VLOOKUP($O31,'Table 3 PV wS YK_2030'!$B$10:$K$37,10,FALSE),0)</f>
        <v>235.61</v>
      </c>
      <c r="BR31" s="130">
        <f>IFERROR(VLOOKUP($O31,'Table 3 PV wS UTN_2031'!$B$15:$K$37,10,FALSE),0)</f>
        <v>230.59</v>
      </c>
      <c r="BS31" s="130">
        <f>IFERROR(VLOOKUP($O31,'Table 3 PV wS UTS_2033'!B33:K55,10,FALSE),0)</f>
        <v>223.25</v>
      </c>
      <c r="BT31" s="372"/>
      <c r="BU31" s="373"/>
      <c r="BV31" s="130">
        <f>IFERROR(VLOOKUP($O31,'Table 3 StdBat  DJ_2029'!$B$15:$K$37,10,FALSE),0)</f>
        <v>138.06</v>
      </c>
      <c r="BW31" s="130">
        <f>IFERROR(VLOOKUP($O31,'Table 3 NonE 206MW (UTN) 2033'!$B$14:$M$36,12,FALSE),0)</f>
        <v>129.96</v>
      </c>
      <c r="BX31" s="130">
        <f>IFERROR(VLOOKUP($O31,'Table 3 NonE 196MW (NTN)'!$B$14:$M$36,12,FALSE),0)</f>
        <v>131.79</v>
      </c>
      <c r="BY31" s="372"/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13.914346895074948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7">SUM(CD31:CX31)</f>
        <v>13.914346895074948</v>
      </c>
      <c r="DA31">
        <f t="shared" ref="DA31:DA32" si="68">O31</f>
        <v>2040</v>
      </c>
      <c r="DB31" s="89">
        <f>IFERROR(VLOOKUP($DA31,'Table 3 TransCost'!$AA$10:$AD$32,4,FALSE),0)</f>
        <v>75.22</v>
      </c>
      <c r="DC31" s="172">
        <f t="shared" ref="DC31:DC32" si="69">$DB$5*DB31/1000</f>
        <v>0</v>
      </c>
    </row>
    <row r="32" spans="2:107" hidden="1">
      <c r="B32" s="15">
        <f t="shared" si="42"/>
        <v>2041</v>
      </c>
      <c r="C32" s="9">
        <f t="shared" si="21"/>
        <v>142.14132762312636</v>
      </c>
      <c r="D32" s="45"/>
      <c r="E32" s="9" t="e">
        <f t="shared" ca="1" si="43"/>
        <v>#DIV/0!</v>
      </c>
      <c r="F32" s="37"/>
      <c r="G32" s="14" t="e">
        <f t="shared" ca="1" si="46"/>
        <v>#DIV/0!</v>
      </c>
      <c r="H32" s="36"/>
      <c r="I32" s="172"/>
      <c r="J32" s="172"/>
      <c r="M32" s="112"/>
      <c r="O32">
        <f t="shared" si="22"/>
        <v>2041</v>
      </c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>
        <v>0</v>
      </c>
      <c r="AE32" s="345">
        <v>0</v>
      </c>
      <c r="AF32" s="345">
        <v>0</v>
      </c>
      <c r="AG32" s="345">
        <v>0</v>
      </c>
      <c r="AL32">
        <f t="shared" si="48"/>
        <v>0</v>
      </c>
      <c r="AM32">
        <f t="shared" si="49"/>
        <v>0</v>
      </c>
      <c r="AN32">
        <f t="shared" si="50"/>
        <v>0</v>
      </c>
      <c r="AO32">
        <f t="shared" si="51"/>
        <v>0</v>
      </c>
      <c r="AP32">
        <f t="shared" si="52"/>
        <v>0</v>
      </c>
      <c r="AQ32">
        <f t="shared" si="53"/>
        <v>0</v>
      </c>
      <c r="AR32">
        <f t="shared" si="54"/>
        <v>0</v>
      </c>
      <c r="AS32">
        <f t="shared" si="55"/>
        <v>0</v>
      </c>
      <c r="AT32">
        <f t="shared" si="56"/>
        <v>0</v>
      </c>
      <c r="AU32">
        <f t="shared" si="57"/>
        <v>0</v>
      </c>
      <c r="AV32">
        <f t="shared" si="58"/>
        <v>0</v>
      </c>
      <c r="AW32">
        <f t="shared" si="59"/>
        <v>0</v>
      </c>
      <c r="AX32">
        <f t="shared" si="60"/>
        <v>0</v>
      </c>
      <c r="AY32">
        <f t="shared" si="61"/>
        <v>0</v>
      </c>
      <c r="AZ32">
        <f t="shared" si="62"/>
        <v>0</v>
      </c>
      <c r="BA32">
        <f t="shared" si="63"/>
        <v>0</v>
      </c>
      <c r="BB32">
        <f t="shared" si="64"/>
        <v>0</v>
      </c>
      <c r="BC32">
        <f t="shared" si="65"/>
        <v>0</v>
      </c>
      <c r="BG32">
        <f t="shared" si="66"/>
        <v>2041</v>
      </c>
      <c r="BH32" s="130">
        <f>IFERROR(VLOOKUP($O32,'Table 3 PNC Wind_2026'!$B$10:$L$37,11,FALSE),0)</f>
        <v>263.77</v>
      </c>
      <c r="BI32" s="130">
        <f>IFERROR(VLOOKUP($O32,'Table 3 PNC Wind_2032'!$B$10:$L$37,11,FALSE),0)</f>
        <v>279.70999999999998</v>
      </c>
      <c r="BJ32" s="130">
        <f>IFERROR(VLOOKUP($O32,'Table 3 WV Wind_2026'!$B$10:$L$37,11,FALSE),0)</f>
        <v>240.95</v>
      </c>
      <c r="BK32" s="130">
        <f>IFERROR(VLOOKUP($O32,'Table 3 WYE Wind_2030'!$B$10:$L$37,11,FALSE),0)</f>
        <v>259.76</v>
      </c>
      <c r="BL32" s="130">
        <f>IFERROR(VLOOKUP($O32,'Table 3 WYE_DJ Wind_2030'!$B$10:$L$37,11,FALSE),0)</f>
        <v>177.41000000000003</v>
      </c>
      <c r="BM32" s="130">
        <f>IFERROR(VLOOKUP($O32,'Table 3 YK WindwS_2030'!$B$10:$L$37,11,FALSE),0)</f>
        <v>225.38</v>
      </c>
      <c r="BN32" s="130">
        <f>IFERROR(VLOOKUP($O32,'Table 3 PV wS Borah_2026'!$B$10:$K$37,10,FALSE),0)</f>
        <v>327.81</v>
      </c>
      <c r="BO32" s="373"/>
      <c r="BP32" s="130">
        <f>IFERROR(VLOOKUP($O32,'Table 3 PV wS SOR_2030'!$B$10:$K$37,10,FALSE),0)</f>
        <v>277.43</v>
      </c>
      <c r="BQ32" s="130">
        <f>IFERROR(VLOOKUP($O32,'Table 3 PV wS YK_2030'!$B$10:$K$37,10,FALSE),0)</f>
        <v>240.68</v>
      </c>
      <c r="BR32" s="130">
        <f>IFERROR(VLOOKUP($O32,'Table 3 PV wS UTN_2031'!$B$15:$K$37,10,FALSE),0)</f>
        <v>235.56</v>
      </c>
      <c r="BS32" s="130">
        <f>IFERROR(VLOOKUP($O32,'Table 3 PV wS UTS_2033'!B34:K56,10,FALSE),0)</f>
        <v>228.06</v>
      </c>
      <c r="BT32" s="372"/>
      <c r="BU32" s="373"/>
      <c r="BV32" s="130">
        <f>IFERROR(VLOOKUP($O32,'Table 3 StdBat  DJ_2029'!$B$15:$K$37,10,FALSE),0)</f>
        <v>141.04</v>
      </c>
      <c r="BW32" s="130">
        <f>IFERROR(VLOOKUP($O32,'Table 3 NonE 206MW (UTN) 2033'!$B$14:$M$36,12,FALSE),0)</f>
        <v>132.76</v>
      </c>
      <c r="BX32" s="130">
        <f>IFERROR(VLOOKUP($O32,'Table 3 NonE 196MW (NTN)'!$B$14:$M$36,12,FALSE),0)</f>
        <v>134.63</v>
      </c>
      <c r="BY32" s="372"/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14.214132762312634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7"/>
        <v>14.214132762312634</v>
      </c>
      <c r="DA32">
        <f t="shared" si="68"/>
        <v>2041</v>
      </c>
      <c r="DB32" s="89">
        <f>IFERROR(VLOOKUP($DA32,'Table 3 TransCost'!$AA$10:$AD$32,4,FALSE),0)</f>
        <v>76.87</v>
      </c>
      <c r="DC32" s="172">
        <f t="shared" si="69"/>
        <v>0</v>
      </c>
    </row>
    <row r="33" spans="1:107" hidden="1">
      <c r="B33" s="15">
        <f t="shared" si="42"/>
        <v>2042</v>
      </c>
      <c r="C33" s="9">
        <f t="shared" si="21"/>
        <v>145.20342612419702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6"/>
        <v>#DIV/0!</v>
      </c>
      <c r="H33" s="36"/>
      <c r="I33" s="172"/>
      <c r="J33" s="172"/>
      <c r="M33" s="112"/>
      <c r="O33">
        <f t="shared" ref="O33" si="70">B33</f>
        <v>2042</v>
      </c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>
        <v>0</v>
      </c>
      <c r="AE33" s="345">
        <v>0</v>
      </c>
      <c r="AF33" s="345">
        <v>0</v>
      </c>
      <c r="AG33" s="345">
        <v>0</v>
      </c>
      <c r="AH33">
        <v>0</v>
      </c>
      <c r="AI33">
        <v>0</v>
      </c>
      <c r="AJ33">
        <v>0</v>
      </c>
      <c r="AL33">
        <f t="shared" si="23"/>
        <v>0</v>
      </c>
      <c r="AM33">
        <f t="shared" si="49"/>
        <v>0</v>
      </c>
      <c r="AN33">
        <f t="shared" si="50"/>
        <v>0</v>
      </c>
      <c r="AO33">
        <f t="shared" si="51"/>
        <v>0</v>
      </c>
      <c r="AP33">
        <f t="shared" si="52"/>
        <v>0</v>
      </c>
      <c r="AQ33">
        <f t="shared" si="53"/>
        <v>0</v>
      </c>
      <c r="AR33">
        <f t="shared" si="54"/>
        <v>0</v>
      </c>
      <c r="AS33">
        <f t="shared" si="55"/>
        <v>0</v>
      </c>
      <c r="AT33">
        <f t="shared" si="56"/>
        <v>0</v>
      </c>
      <c r="AU33">
        <f t="shared" si="57"/>
        <v>0</v>
      </c>
      <c r="AV33">
        <f t="shared" si="58"/>
        <v>0</v>
      </c>
      <c r="AW33">
        <f t="shared" si="59"/>
        <v>0</v>
      </c>
      <c r="AX33">
        <f t="shared" si="60"/>
        <v>0</v>
      </c>
      <c r="AY33">
        <f t="shared" si="61"/>
        <v>0</v>
      </c>
      <c r="AZ33">
        <f t="shared" si="62"/>
        <v>0</v>
      </c>
      <c r="BA33">
        <f t="shared" si="63"/>
        <v>0</v>
      </c>
      <c r="BB33">
        <f t="shared" si="64"/>
        <v>0</v>
      </c>
      <c r="BC33">
        <f t="shared" si="65"/>
        <v>0</v>
      </c>
      <c r="BG33">
        <f t="shared" ref="BG33:BG34" si="71">O33</f>
        <v>2042</v>
      </c>
      <c r="BH33" s="130">
        <f>IFERROR(VLOOKUP($O33,'Table 3 PNC Wind_2026'!$B$10:$L$37,11,FALSE),0)</f>
        <v>269.45</v>
      </c>
      <c r="BI33" s="130">
        <f>IFERROR(VLOOKUP($O33,'Table 3 PNC Wind_2032'!$B$10:$L$37,11,FALSE),0)</f>
        <v>285.73</v>
      </c>
      <c r="BJ33" s="130">
        <f>IFERROR(VLOOKUP($O33,'Table 3 WV Wind_2026'!$B$10:$L$37,11,FALSE),0)</f>
        <v>246.14</v>
      </c>
      <c r="BK33" s="130">
        <f>IFERROR(VLOOKUP($O33,'Table 3 WYE Wind_2030'!$B$10:$L$37,11,FALSE),0)</f>
        <v>265.35000000000002</v>
      </c>
      <c r="BL33" s="130">
        <f>IFERROR(VLOOKUP($O33,'Table 3 WYE_DJ Wind_2030'!$B$10:$L$37,11,FALSE),0)</f>
        <v>181.23</v>
      </c>
      <c r="BM33" s="130">
        <f>IFERROR(VLOOKUP($O33,'Table 3 YK WindwS_2030'!$B$10:$L$37,11,FALSE),0)</f>
        <v>230.24</v>
      </c>
      <c r="BN33" s="130">
        <f>IFERROR(VLOOKUP($O33,'Table 3 PV wS Borah_2026'!$B$10:$K$37,10,FALSE),0)</f>
        <v>334.86</v>
      </c>
      <c r="BO33" s="373"/>
      <c r="BP33" s="130">
        <f>IFERROR(VLOOKUP($O33,'Table 3 PV wS SOR_2030'!$B$10:$K$37,10,FALSE),0)</f>
        <v>283.41000000000003</v>
      </c>
      <c r="BQ33" s="130">
        <f>IFERROR(VLOOKUP($O33,'Table 3 PV wS YK_2030'!$B$10:$K$37,10,FALSE),0)</f>
        <v>245.86</v>
      </c>
      <c r="BR33" s="130">
        <f>IFERROR(VLOOKUP($O33,'Table 3 PV wS UTN_2031'!$B$15:$K$37,10,FALSE),0)</f>
        <v>240.63</v>
      </c>
      <c r="BS33" s="130">
        <f>IFERROR(VLOOKUP($O33,'Table 3 PV wS UTS_2033'!B35:K57,10,FALSE),0)</f>
        <v>232.97</v>
      </c>
      <c r="BT33" s="372"/>
      <c r="BU33" s="373"/>
      <c r="BV33" s="130">
        <f>IFERROR(VLOOKUP($O33,'Table 3 StdBat  DJ_2029'!$B$15:$K$37,10,FALSE),0)</f>
        <v>144.07999999999998</v>
      </c>
      <c r="BW33" s="130">
        <f>IFERROR(VLOOKUP($O33,'Table 3 NonE 206MW (UTN) 2033'!$B$14:$M$36,12,FALSE),0)</f>
        <v>135.62</v>
      </c>
      <c r="BX33" s="130">
        <f>IFERROR(VLOOKUP($O33,'Table 3 NonE 196MW (NTN)'!$B$14:$M$36,12,FALSE),0)</f>
        <v>137.53</v>
      </c>
      <c r="BY33" s="372"/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14.520342612419702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4" si="72">SUM(CD33:CX33)</f>
        <v>14.520342612419702</v>
      </c>
      <c r="DA33">
        <f t="shared" ref="DA33:DA34" si="73">O33</f>
        <v>2042</v>
      </c>
      <c r="DB33" s="89">
        <f>IFERROR(VLOOKUP($DA33,'Table 3 TransCost'!$AA$10:$AD$32,4,FALSE),0)</f>
        <v>78.56</v>
      </c>
      <c r="DC33" s="172">
        <f t="shared" ref="DC33:DC34" si="74">$DB$5*DB33/1000</f>
        <v>0</v>
      </c>
    </row>
    <row r="34" spans="1:107" hidden="1">
      <c r="B34" s="15">
        <f t="shared" si="42"/>
        <v>2043</v>
      </c>
      <c r="C34" s="9">
        <f t="shared" si="21"/>
        <v>0</v>
      </c>
      <c r="D34" s="45"/>
      <c r="E34" s="9" t="e">
        <f t="shared" ref="E34" ca="1" si="75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6"/>
        <v>#DIV/0!</v>
      </c>
      <c r="H34" s="36"/>
      <c r="I34" s="172"/>
      <c r="J34" s="172"/>
      <c r="M34" s="112"/>
      <c r="O34">
        <f t="shared" ref="O34" si="76">B34</f>
        <v>2043</v>
      </c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>
        <v>0</v>
      </c>
      <c r="AE34" s="345">
        <v>0</v>
      </c>
      <c r="AF34" s="345">
        <v>0</v>
      </c>
      <c r="AG34" s="345">
        <v>0</v>
      </c>
      <c r="AL34">
        <f t="shared" ref="AL34" si="77">P34/P$5</f>
        <v>0</v>
      </c>
      <c r="AM34">
        <f t="shared" si="49"/>
        <v>0</v>
      </c>
      <c r="AN34">
        <f t="shared" si="50"/>
        <v>0</v>
      </c>
      <c r="AO34">
        <f t="shared" si="51"/>
        <v>0</v>
      </c>
      <c r="AP34">
        <f t="shared" si="52"/>
        <v>0</v>
      </c>
      <c r="AQ34">
        <f t="shared" si="53"/>
        <v>0</v>
      </c>
      <c r="AR34">
        <f t="shared" si="54"/>
        <v>0</v>
      </c>
      <c r="AS34">
        <f t="shared" si="55"/>
        <v>0</v>
      </c>
      <c r="AT34">
        <f t="shared" si="56"/>
        <v>0</v>
      </c>
      <c r="AU34">
        <f t="shared" si="57"/>
        <v>0</v>
      </c>
      <c r="AV34">
        <f t="shared" si="58"/>
        <v>0</v>
      </c>
      <c r="AW34">
        <f t="shared" si="59"/>
        <v>0</v>
      </c>
      <c r="AX34">
        <f t="shared" si="60"/>
        <v>0</v>
      </c>
      <c r="AY34">
        <f t="shared" si="61"/>
        <v>0</v>
      </c>
      <c r="AZ34">
        <f t="shared" si="62"/>
        <v>0</v>
      </c>
      <c r="BA34">
        <f t="shared" si="63"/>
        <v>0</v>
      </c>
      <c r="BB34">
        <f t="shared" si="64"/>
        <v>0</v>
      </c>
      <c r="BC34">
        <f t="shared" si="65"/>
        <v>0</v>
      </c>
      <c r="BG34">
        <f t="shared" si="71"/>
        <v>2043</v>
      </c>
      <c r="BH34" s="130">
        <f>IFERROR(VLOOKUP($O34,'Table 3 PNC Wind_2026'!$B$10:$L$37,11,FALSE),0)</f>
        <v>275.26</v>
      </c>
      <c r="BI34" s="130">
        <f>IFERROR(VLOOKUP($O34,'Table 3 PNC Wind_2032'!$B$10:$L$37,11,FALSE),0)</f>
        <v>291.89000000000004</v>
      </c>
      <c r="BJ34" s="130">
        <f>IFERROR(VLOOKUP($O34,'Table 3 WV Wind_2026'!$B$10:$L$37,11,FALSE),0)</f>
        <v>251.45000000000002</v>
      </c>
      <c r="BK34" s="130">
        <f>IFERROR(VLOOKUP($O34,'Table 3 WYE Wind_2030'!$B$10:$L$37,11,FALSE),0)</f>
        <v>271.07000000000005</v>
      </c>
      <c r="BL34" s="130">
        <f>IFERROR(VLOOKUP($O34,'Table 3 WYE_DJ Wind_2030'!$B$10:$L$37,11,FALSE),0)</f>
        <v>185.14000000000001</v>
      </c>
      <c r="BM34" s="130">
        <f>IFERROR(VLOOKUP($O34,'Table 3 YK WindwS_2030'!$B$10:$L$37,11,FALSE),0)</f>
        <v>235.20000000000002</v>
      </c>
      <c r="BN34" s="130">
        <f>IFERROR(VLOOKUP($O34,'Table 3 PV wS Borah_2026'!$B$10:$K$37,10,FALSE),0)</f>
        <v>342.08</v>
      </c>
      <c r="BO34" s="373"/>
      <c r="BP34" s="130">
        <f>IFERROR(VLOOKUP($O34,'Table 3 PV wS SOR_2030'!$B$10:$K$37,10,FALSE),0)</f>
        <v>289.51</v>
      </c>
      <c r="BQ34" s="130">
        <f>IFERROR(VLOOKUP($O34,'Table 3 PV wS YK_2030'!$B$10:$K$37,10,FALSE),0)</f>
        <v>251.16000000000003</v>
      </c>
      <c r="BR34" s="130">
        <f>IFERROR(VLOOKUP($O34,'Table 3 PV wS UTN_2031'!$B$15:$K$37,10,FALSE),0)</f>
        <v>245.82</v>
      </c>
      <c r="BS34" s="130">
        <f>IFERROR(VLOOKUP($O34,'Table 3 PV wS UTS_2033'!B36:K58,10,FALSE),0)</f>
        <v>237.98999999999998</v>
      </c>
      <c r="BT34" s="372"/>
      <c r="BU34" s="373"/>
      <c r="BV34" s="130">
        <f>IFERROR(VLOOKUP($O34,'Table 3 StdBat  DJ_2029'!$B$15:$K$37,10,FALSE),0)</f>
        <v>147.18</v>
      </c>
      <c r="BW34" s="130">
        <f>IFERROR(VLOOKUP($O34,'Table 3 NonE 206MW (UTN) 2033'!$B$14:$M$36,12,FALSE),0)</f>
        <v>0</v>
      </c>
      <c r="BX34" s="130">
        <f>IFERROR(VLOOKUP($O34,'Table 3 NonE 196MW (NTN)'!$B$14:$M$36,12,FALSE),0)</f>
        <v>0</v>
      </c>
      <c r="BY34" s="372"/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72"/>
        <v>0</v>
      </c>
      <c r="DA34">
        <f t="shared" si="73"/>
        <v>2043</v>
      </c>
      <c r="DB34" s="89">
        <f>IFERROR(VLOOKUP($DA34,'Table 3 TransCost'!$AA$10:$AD$32,4,FALSE),0)</f>
        <v>80.37</v>
      </c>
      <c r="DC34" s="172">
        <f t="shared" si="74"/>
        <v>0</v>
      </c>
    </row>
    <row r="35" spans="1:107" hidden="1">
      <c r="B35" s="15"/>
      <c r="C35" s="9"/>
      <c r="D35" s="45"/>
      <c r="E35" s="9"/>
      <c r="F35" s="37"/>
      <c r="G35" s="14"/>
      <c r="H35" s="36"/>
      <c r="I35" s="172"/>
      <c r="J35" s="172"/>
      <c r="M35" s="112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BH35" s="130"/>
      <c r="BI35" s="130"/>
      <c r="BJ35" s="130"/>
      <c r="BK35" s="130"/>
      <c r="BL35" s="343"/>
      <c r="BM35" s="130"/>
      <c r="BN35" s="130"/>
      <c r="BO35" s="343"/>
      <c r="BP35" s="130"/>
      <c r="BQ35" s="343"/>
      <c r="BR35" s="130"/>
      <c r="BS35" s="130"/>
      <c r="BT35" s="130"/>
      <c r="BU35" s="343"/>
      <c r="BV35" s="130"/>
      <c r="BW35" s="130"/>
      <c r="BX35" s="342"/>
      <c r="BY35" s="130"/>
      <c r="DB35" s="89"/>
      <c r="DC35" s="172"/>
    </row>
    <row r="36" spans="1:107" hidden="1">
      <c r="B36" s="15"/>
      <c r="C36" s="9"/>
      <c r="D36" s="45"/>
      <c r="E36" s="9"/>
      <c r="F36" s="37"/>
      <c r="G36" s="14"/>
      <c r="H36" s="36"/>
      <c r="I36" s="172"/>
      <c r="J36" s="172"/>
      <c r="M36" s="112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BH36" s="130"/>
      <c r="BI36" s="130"/>
      <c r="BJ36" s="130"/>
      <c r="BK36" s="130"/>
      <c r="BL36" s="343"/>
      <c r="BM36" s="130"/>
      <c r="BN36" s="130"/>
      <c r="BO36" s="343"/>
      <c r="BP36" s="130"/>
      <c r="BQ36" s="343"/>
      <c r="BR36" s="130"/>
      <c r="BS36" s="130"/>
      <c r="BT36" s="130"/>
      <c r="BU36" s="343"/>
      <c r="BV36" s="130"/>
      <c r="BW36" s="130"/>
      <c r="BX36" s="342"/>
      <c r="BY36" s="130"/>
      <c r="DB36" s="89"/>
      <c r="DC36" s="172"/>
    </row>
    <row r="37" spans="1:107" hidden="1">
      <c r="B37" s="15"/>
      <c r="C37" s="9"/>
      <c r="D37" s="45"/>
      <c r="E37" s="9"/>
      <c r="F37" s="37"/>
      <c r="G37" s="14"/>
      <c r="H37" s="36"/>
      <c r="I37" s="172"/>
      <c r="J37" s="172"/>
      <c r="M37" s="112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BH37" s="130"/>
      <c r="BI37" s="130"/>
      <c r="BJ37" s="130"/>
      <c r="BK37" s="130"/>
      <c r="BL37" s="343"/>
      <c r="BM37" s="130"/>
      <c r="BN37" s="130"/>
      <c r="BO37" s="343"/>
      <c r="BP37" s="130"/>
      <c r="BQ37" s="343"/>
      <c r="BR37" s="130"/>
      <c r="BS37" s="130"/>
      <c r="BT37" s="130"/>
      <c r="BU37" s="343"/>
      <c r="BV37" s="130"/>
      <c r="BW37" s="130"/>
      <c r="BX37" s="342"/>
      <c r="BY37" s="130"/>
      <c r="DB37" s="89"/>
      <c r="DC37" s="172"/>
    </row>
    <row r="38" spans="1:107" hidden="1">
      <c r="B38" s="15"/>
      <c r="C38" s="9"/>
      <c r="D38" s="45"/>
      <c r="E38" s="9"/>
      <c r="F38" s="37"/>
      <c r="G38" s="14"/>
      <c r="H38" s="36"/>
      <c r="I38" s="172"/>
      <c r="J38" s="172"/>
      <c r="M38" s="112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BH38" s="130"/>
      <c r="BI38" s="130"/>
      <c r="BJ38" s="130"/>
      <c r="BK38" s="130"/>
      <c r="BL38" s="343"/>
      <c r="BM38" s="130"/>
      <c r="BN38" s="130"/>
      <c r="BO38" s="343"/>
      <c r="BP38" s="130"/>
      <c r="BQ38" s="343"/>
      <c r="BR38" s="130"/>
      <c r="BS38" s="130"/>
      <c r="BT38" s="130"/>
      <c r="BU38" s="343"/>
      <c r="BV38" s="130"/>
      <c r="BW38" s="130"/>
      <c r="BX38" s="342"/>
      <c r="BY38" s="130"/>
      <c r="DB38" s="89"/>
      <c r="DC38" s="172"/>
    </row>
    <row r="39" spans="1:107">
      <c r="B39" s="165"/>
      <c r="C39" s="9"/>
      <c r="D39" s="45"/>
      <c r="E39" s="9"/>
      <c r="F39" s="37"/>
      <c r="G39" s="9"/>
      <c r="H39" s="36"/>
      <c r="I39" s="49"/>
      <c r="M39" s="112"/>
      <c r="BL39" t="s">
        <v>155</v>
      </c>
      <c r="BO39" t="s">
        <v>155</v>
      </c>
      <c r="BU39" t="s">
        <v>155</v>
      </c>
      <c r="BX39" t="s">
        <v>155</v>
      </c>
      <c r="DB39" s="89"/>
      <c r="DC39" s="172"/>
    </row>
    <row r="40" spans="1:107" ht="12" customHeight="1">
      <c r="B40" s="165"/>
      <c r="C40" s="9"/>
      <c r="D40" s="45"/>
      <c r="E40" s="9"/>
      <c r="F40" s="37"/>
      <c r="G40" s="9"/>
      <c r="H40" s="36"/>
      <c r="I40" s="49"/>
      <c r="M40" s="112"/>
      <c r="N40" t="s">
        <v>92</v>
      </c>
      <c r="P40">
        <v>2026</v>
      </c>
      <c r="Q40">
        <v>2032</v>
      </c>
      <c r="R40">
        <v>2026</v>
      </c>
      <c r="S40">
        <v>2030</v>
      </c>
      <c r="T40">
        <v>2030</v>
      </c>
      <c r="U40">
        <v>2030</v>
      </c>
      <c r="V40">
        <v>2026</v>
      </c>
      <c r="W40">
        <v>2028</v>
      </c>
      <c r="X40">
        <v>2030</v>
      </c>
      <c r="Y40">
        <v>2030</v>
      </c>
      <c r="Z40">
        <v>2031</v>
      </c>
      <c r="AA40">
        <v>2033</v>
      </c>
      <c r="AD40">
        <v>2029</v>
      </c>
      <c r="AE40">
        <v>2033</v>
      </c>
      <c r="AF40">
        <v>2033</v>
      </c>
      <c r="AG40">
        <v>2026</v>
      </c>
    </row>
    <row r="41" spans="1:107">
      <c r="A41" s="424"/>
      <c r="B41" s="424"/>
      <c r="D41" s="9"/>
      <c r="F41" s="37"/>
      <c r="H41" s="36"/>
      <c r="I41"/>
      <c r="N41" t="s">
        <v>156</v>
      </c>
      <c r="P41" s="195">
        <v>0</v>
      </c>
      <c r="Q41" s="195">
        <v>0</v>
      </c>
      <c r="R41" s="195">
        <v>0</v>
      </c>
      <c r="S41" s="195">
        <v>0</v>
      </c>
      <c r="T41" s="195">
        <v>0</v>
      </c>
      <c r="U41" s="195">
        <v>0</v>
      </c>
      <c r="V41" s="195">
        <v>0</v>
      </c>
      <c r="W41" s="195">
        <v>0</v>
      </c>
      <c r="X41" s="195">
        <v>0</v>
      </c>
      <c r="Y41" s="195">
        <v>0</v>
      </c>
      <c r="Z41" s="195">
        <v>0</v>
      </c>
      <c r="AA41" s="195">
        <v>0</v>
      </c>
      <c r="AB41" s="195"/>
      <c r="AC41" s="195"/>
      <c r="AD41" s="195">
        <v>0</v>
      </c>
      <c r="AE41" s="195">
        <v>1</v>
      </c>
      <c r="AF41" s="195">
        <v>0</v>
      </c>
      <c r="AG41" s="195" t="e">
        <v>#N/A</v>
      </c>
      <c r="AH41" s="195"/>
      <c r="AI41" s="195"/>
      <c r="AJ41" s="195"/>
    </row>
    <row r="42" spans="1:107">
      <c r="A42" s="178"/>
      <c r="B42" s="55"/>
      <c r="E42" s="5"/>
      <c r="I42" s="49" t="s">
        <v>181</v>
      </c>
      <c r="P42" s="167"/>
      <c r="Q42" s="167"/>
      <c r="R42" s="167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80"/>
      <c r="H44" s="36"/>
    </row>
    <row r="45" spans="1:107">
      <c r="A45" s="425"/>
      <c r="B45" s="425"/>
      <c r="E45" s="9"/>
      <c r="G45" s="180"/>
      <c r="H45" s="36"/>
    </row>
    <row r="46" spans="1:107" ht="13.7" customHeight="1">
      <c r="A46" s="55"/>
      <c r="B46" s="55"/>
      <c r="E46" s="5"/>
      <c r="H46" s="36"/>
      <c r="I46" t="s">
        <v>180</v>
      </c>
    </row>
    <row r="47" spans="1:107" ht="21" customHeight="1">
      <c r="A47" s="425" t="str">
        <f>'Table 5'!A9</f>
        <v>15 Year Starting 2022</v>
      </c>
      <c r="B47" s="425"/>
      <c r="E47" s="9"/>
      <c r="G47" s="108"/>
      <c r="H47" s="36"/>
      <c r="I47" t="s">
        <v>100</v>
      </c>
      <c r="K47" s="360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21.984906700907</v>
      </c>
      <c r="D49" s="9"/>
      <c r="H49" s="36"/>
      <c r="I49"/>
    </row>
    <row r="50" spans="1:19">
      <c r="B50" s="48" t="s">
        <v>31</v>
      </c>
      <c r="E50" s="9">
        <f ca="1">'Table 5'!$C$9/'Table 5'!$F$9</f>
        <v>24.337951839178778</v>
      </c>
      <c r="G50" s="180">
        <f ca="1">'Table 5'!$G$9</f>
        <v>26.847644384944417</v>
      </c>
      <c r="H50" s="36"/>
      <c r="I50" s="201"/>
      <c r="S50" s="172"/>
    </row>
    <row r="51" spans="1:19" ht="8.25" customHeight="1">
      <c r="A51" s="425"/>
      <c r="B51" s="425"/>
      <c r="E51" s="9"/>
      <c r="G51" s="108"/>
      <c r="H51" s="36"/>
    </row>
    <row r="52" spans="1:19">
      <c r="A52" s="425" t="str">
        <f>'Table 5'!A7</f>
        <v>15 Year Starting 2023</v>
      </c>
      <c r="B52" s="425"/>
      <c r="E52" s="9"/>
      <c r="G52" s="108"/>
      <c r="H52" s="36"/>
      <c r="I52"/>
      <c r="M52" s="112"/>
    </row>
    <row r="53" spans="1:19">
      <c r="B53" s="47" t="s">
        <v>8</v>
      </c>
      <c r="C53" s="9">
        <f ca="1">'Table 5'!$D$7*(Study_CF*8.76)/'Table 5'!$F$7</f>
        <v>28.735965707882215</v>
      </c>
      <c r="E53" s="9">
        <f ca="1">'Table 5'!$C$7/'Table 5'!$F$7</f>
        <v>23.416735636190257</v>
      </c>
      <c r="G53" s="180">
        <f ca="1">'Table 5'!$G$7</f>
        <v>26.697097018368595</v>
      </c>
      <c r="H53" s="36"/>
      <c r="I53"/>
    </row>
    <row r="54" spans="1:19">
      <c r="B54" s="48" t="s">
        <v>31</v>
      </c>
      <c r="C54" s="9"/>
      <c r="D54" s="9"/>
      <c r="H54" s="36"/>
      <c r="I54"/>
      <c r="S54" s="172"/>
    </row>
    <row r="55" spans="1:19">
      <c r="B55" s="48"/>
      <c r="E55" s="9"/>
      <c r="G55" s="180"/>
      <c r="H55" s="36"/>
    </row>
    <row r="56" spans="1:19">
      <c r="A56" s="425" t="str">
        <f>'Table 5'!A10</f>
        <v>15 Year Starting 2024</v>
      </c>
      <c r="B56" s="425"/>
      <c r="E56" s="9"/>
      <c r="G56" s="108"/>
      <c r="H56" s="36"/>
    </row>
    <row r="57" spans="1:19">
      <c r="B57" s="47" t="s">
        <v>8</v>
      </c>
      <c r="C57" s="9">
        <f ca="1">'Table 5'!$D$10*(Study_CF*8.76)/'Table 5'!$F$10</f>
        <v>36.063367639373084</v>
      </c>
      <c r="E57" s="9">
        <f ca="1">'Table 5'!$C$10/'Table 5'!$F$10</f>
        <v>22.71571290341727</v>
      </c>
      <c r="G57" s="180">
        <f ca="1">'Table 5'!$G$10</f>
        <v>26.832535693300045</v>
      </c>
      <c r="H57" s="36"/>
    </row>
    <row r="58" spans="1:19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25"/>
      <c r="B61" s="425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80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15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#REF!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$26.89/MWH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scale="9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7"/>
    <col min="31" max="16384" width="9.33203125" style="85"/>
  </cols>
  <sheetData>
    <row r="1" spans="2:32" ht="15.75" hidden="1">
      <c r="B1" s="1" t="s">
        <v>35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32" ht="15.75">
      <c r="B2" s="1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2:32" ht="15.75">
      <c r="B3" s="1" t="s">
        <v>56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V3" s="117"/>
      <c r="W3" s="117"/>
      <c r="X3" s="117"/>
      <c r="Y3" s="117"/>
      <c r="Z3" s="117"/>
      <c r="AA3" s="117"/>
      <c r="AB3" s="117"/>
    </row>
    <row r="4" spans="2:32" ht="15.75">
      <c r="B4" s="1" t="s">
        <v>190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V4" s="117"/>
      <c r="W4" s="117"/>
      <c r="X4" s="117"/>
      <c r="Y4" s="117"/>
      <c r="Z4" s="117"/>
      <c r="AA4" s="117"/>
      <c r="AB4" s="117"/>
    </row>
    <row r="5" spans="2:32" ht="15.75">
      <c r="B5" s="1" t="str">
        <f>C48</f>
        <v>Sm Adv Nuclear - 196 MW- East Side Resource (5,050')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32" ht="15.75">
      <c r="B6" s="1"/>
      <c r="C6" s="267"/>
      <c r="D6" s="267"/>
      <c r="E6" s="267"/>
      <c r="F6" s="267"/>
      <c r="G6" s="267"/>
      <c r="H6" s="267"/>
      <c r="I6" s="267"/>
      <c r="J6" s="267"/>
      <c r="L6" s="268"/>
    </row>
    <row r="7" spans="2:32">
      <c r="B7" s="269"/>
      <c r="C7" s="269"/>
      <c r="D7" s="269"/>
      <c r="E7" s="269"/>
      <c r="F7" s="269"/>
      <c r="G7" s="269"/>
      <c r="H7" s="269"/>
      <c r="I7" s="269"/>
      <c r="J7" s="267"/>
      <c r="K7" s="86"/>
      <c r="L7" s="86"/>
      <c r="M7" s="86"/>
      <c r="N7" s="86"/>
      <c r="O7" s="86"/>
      <c r="V7" s="119"/>
      <c r="W7" s="119"/>
      <c r="X7" s="119"/>
      <c r="Y7" s="119"/>
      <c r="Z7" s="119"/>
      <c r="AA7" s="119"/>
      <c r="AB7" s="119"/>
      <c r="AC7" s="119"/>
      <c r="AD7" s="119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0" t="s">
        <v>21</v>
      </c>
      <c r="K8" s="270" t="s">
        <v>103</v>
      </c>
      <c r="L8" s="17" t="s">
        <v>52</v>
      </c>
      <c r="M8" s="121" t="s">
        <v>154</v>
      </c>
      <c r="V8" s="119"/>
      <c r="W8" s="119"/>
      <c r="X8" s="119"/>
      <c r="Y8" s="119"/>
      <c r="Z8" s="119"/>
      <c r="AA8" s="119"/>
      <c r="AB8" s="119"/>
      <c r="AC8" s="119"/>
      <c r="AD8" s="119"/>
      <c r="AE8" s="86"/>
      <c r="AF8" s="86"/>
    </row>
    <row r="9" spans="2:32" ht="48" customHeight="1">
      <c r="B9" s="271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4" t="s">
        <v>9</v>
      </c>
      <c r="V9" s="119"/>
      <c r="W9" s="119"/>
      <c r="X9" s="119"/>
      <c r="Y9" s="119"/>
      <c r="Z9" s="119"/>
      <c r="AA9" s="346"/>
      <c r="AB9" s="346"/>
      <c r="AC9" s="119"/>
      <c r="AD9" s="119"/>
      <c r="AE9" s="86"/>
      <c r="AF9" s="86"/>
    </row>
    <row r="10" spans="2:32">
      <c r="C10" s="272" t="s">
        <v>1</v>
      </c>
      <c r="D10" s="272" t="s">
        <v>2</v>
      </c>
      <c r="E10" s="272" t="s">
        <v>3</v>
      </c>
      <c r="F10" s="272" t="s">
        <v>4</v>
      </c>
      <c r="G10" s="272" t="s">
        <v>5</v>
      </c>
      <c r="H10" s="272" t="s">
        <v>7</v>
      </c>
      <c r="I10" s="272" t="s">
        <v>22</v>
      </c>
      <c r="J10" s="272" t="s">
        <v>23</v>
      </c>
      <c r="K10" s="272" t="s">
        <v>24</v>
      </c>
      <c r="L10" s="125" t="s">
        <v>24</v>
      </c>
      <c r="M10" s="125" t="s">
        <v>187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86"/>
      <c r="AF10" s="86"/>
    </row>
    <row r="11" spans="2:32" ht="6" customHeight="1">
      <c r="M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69"/>
      <c r="K12" s="269"/>
      <c r="L12" s="269"/>
      <c r="M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86"/>
      <c r="AF12" s="86"/>
    </row>
    <row r="13" spans="2:32" ht="18.95" customHeight="1">
      <c r="B13" s="273"/>
      <c r="C13" s="274"/>
      <c r="D13" s="275"/>
      <c r="E13" s="276"/>
      <c r="F13" s="276"/>
      <c r="G13" s="276"/>
      <c r="H13" s="277"/>
      <c r="I13" s="277"/>
      <c r="J13" s="277"/>
      <c r="K13" s="277"/>
      <c r="L13" s="277"/>
      <c r="M13" s="128"/>
      <c r="V13" s="162"/>
      <c r="W13" s="158"/>
      <c r="X13" s="158"/>
      <c r="Y13" s="158"/>
      <c r="Z13" s="119"/>
      <c r="AA13" s="158"/>
      <c r="AB13" s="158"/>
      <c r="AC13" s="119"/>
      <c r="AD13" s="119"/>
      <c r="AE13" s="86"/>
      <c r="AF13" s="86"/>
    </row>
    <row r="14" spans="2:32">
      <c r="B14" s="273">
        <v>2020</v>
      </c>
      <c r="C14" s="278"/>
      <c r="D14" s="128"/>
      <c r="E14" s="128"/>
      <c r="F14" s="128"/>
      <c r="G14" s="367">
        <f>$C$68</f>
        <v>6.7187999999999999</v>
      </c>
      <c r="H14" s="277"/>
      <c r="I14" s="277"/>
      <c r="J14" s="277"/>
      <c r="K14" s="277"/>
      <c r="L14" s="277"/>
      <c r="M14" s="128"/>
      <c r="N14" s="41"/>
      <c r="P14" s="361"/>
      <c r="V14" s="162"/>
      <c r="W14" s="119"/>
      <c r="X14" s="158"/>
      <c r="Y14" s="347"/>
      <c r="Z14" s="119"/>
      <c r="AA14" s="158"/>
      <c r="AB14" s="158"/>
      <c r="AC14" s="119"/>
      <c r="AD14" s="119"/>
      <c r="AE14" s="86"/>
      <c r="AF14" s="86"/>
    </row>
    <row r="15" spans="2:32">
      <c r="B15" s="273">
        <f t="shared" ref="B15:B36" si="0">B14+1</f>
        <v>2021</v>
      </c>
      <c r="C15" s="278"/>
      <c r="D15" s="128"/>
      <c r="E15" s="128"/>
      <c r="F15" s="128"/>
      <c r="G15" s="369">
        <f t="shared" ref="G15:G36" si="1">ROUND(G14*(1+IRP21_Infl_Rate),2)</f>
        <v>6.86</v>
      </c>
      <c r="H15" s="277"/>
      <c r="I15" s="277"/>
      <c r="J15" s="128"/>
      <c r="K15" s="277"/>
      <c r="L15" s="277"/>
      <c r="M15" s="128"/>
      <c r="N15" s="41"/>
      <c r="P15" s="361"/>
      <c r="Q15" s="361"/>
      <c r="V15" s="162"/>
      <c r="W15" s="158"/>
      <c r="X15" s="158"/>
      <c r="Y15" s="347"/>
      <c r="Z15" s="158"/>
      <c r="AA15" s="158"/>
      <c r="AB15" s="158"/>
      <c r="AC15" s="119"/>
      <c r="AD15" s="119"/>
      <c r="AE15" s="86"/>
      <c r="AF15" s="86"/>
    </row>
    <row r="16" spans="2:32">
      <c r="B16" s="273">
        <f t="shared" si="0"/>
        <v>2022</v>
      </c>
      <c r="C16" s="278"/>
      <c r="D16" s="128"/>
      <c r="E16" s="128"/>
      <c r="F16" s="128"/>
      <c r="G16" s="369">
        <f t="shared" si="1"/>
        <v>7.01</v>
      </c>
      <c r="H16" s="277"/>
      <c r="I16" s="277"/>
      <c r="J16" s="128"/>
      <c r="K16" s="277"/>
      <c r="L16" s="277"/>
      <c r="M16" s="128"/>
      <c r="N16" s="41"/>
      <c r="P16" s="361"/>
      <c r="Q16" s="361"/>
      <c r="V16" s="162"/>
      <c r="W16" s="158"/>
      <c r="X16" s="158"/>
      <c r="Y16" s="347"/>
      <c r="Z16" s="158"/>
      <c r="AA16" s="158"/>
      <c r="AB16" s="158"/>
      <c r="AC16" s="119"/>
      <c r="AD16" s="119"/>
      <c r="AE16" s="86"/>
      <c r="AF16" s="86"/>
    </row>
    <row r="17" spans="2:32">
      <c r="B17" s="273">
        <f t="shared" si="0"/>
        <v>2023</v>
      </c>
      <c r="C17" s="278"/>
      <c r="D17" s="128"/>
      <c r="E17" s="128"/>
      <c r="F17" s="128"/>
      <c r="G17" s="369">
        <f t="shared" si="1"/>
        <v>7.16</v>
      </c>
      <c r="H17" s="277"/>
      <c r="I17" s="277"/>
      <c r="J17" s="128"/>
      <c r="K17" s="277"/>
      <c r="L17" s="277"/>
      <c r="M17" s="128"/>
      <c r="N17" s="41"/>
      <c r="P17" s="361"/>
      <c r="Q17" s="361"/>
      <c r="V17" s="162"/>
      <c r="W17" s="158"/>
      <c r="X17" s="158"/>
      <c r="Y17" s="347"/>
      <c r="Z17" s="158"/>
      <c r="AA17" s="158"/>
      <c r="AB17" s="158"/>
      <c r="AC17" s="119"/>
      <c r="AD17" s="119"/>
      <c r="AE17" s="86"/>
      <c r="AF17" s="86"/>
    </row>
    <row r="18" spans="2:32">
      <c r="B18" s="273">
        <f t="shared" si="0"/>
        <v>2024</v>
      </c>
      <c r="C18" s="278"/>
      <c r="D18" s="128"/>
      <c r="E18" s="128"/>
      <c r="F18" s="128"/>
      <c r="G18" s="369">
        <f t="shared" si="1"/>
        <v>7.31</v>
      </c>
      <c r="H18" s="277"/>
      <c r="I18" s="277"/>
      <c r="J18" s="128"/>
      <c r="K18" s="277"/>
      <c r="L18" s="277"/>
      <c r="M18" s="128"/>
      <c r="N18" s="41"/>
      <c r="P18" s="361"/>
      <c r="Q18" s="361"/>
      <c r="V18" s="162"/>
      <c r="W18" s="158"/>
      <c r="X18" s="158"/>
      <c r="Y18" s="347"/>
      <c r="Z18" s="158"/>
      <c r="AA18" s="158"/>
      <c r="AB18" s="158"/>
      <c r="AC18" s="119"/>
      <c r="AD18" s="119"/>
      <c r="AE18" s="86"/>
      <c r="AF18" s="86"/>
    </row>
    <row r="19" spans="2:32">
      <c r="B19" s="273">
        <f t="shared" si="0"/>
        <v>2025</v>
      </c>
      <c r="C19" s="278"/>
      <c r="D19" s="128"/>
      <c r="E19" s="128"/>
      <c r="F19" s="128"/>
      <c r="G19" s="369">
        <f t="shared" si="1"/>
        <v>7.47</v>
      </c>
      <c r="H19" s="277"/>
      <c r="I19" s="277"/>
      <c r="J19" s="128"/>
      <c r="K19" s="277"/>
      <c r="L19" s="277"/>
      <c r="M19" s="128"/>
      <c r="N19" s="41"/>
      <c r="P19" s="361"/>
      <c r="Q19" s="361"/>
      <c r="V19" s="162"/>
      <c r="W19" s="158"/>
      <c r="X19" s="158"/>
      <c r="Y19" s="347"/>
      <c r="Z19" s="158"/>
      <c r="AA19" s="158"/>
      <c r="AB19" s="158"/>
      <c r="AC19" s="119"/>
      <c r="AD19" s="119"/>
      <c r="AE19" s="86"/>
      <c r="AF19" s="86"/>
    </row>
    <row r="20" spans="2:32">
      <c r="B20" s="273">
        <f t="shared" si="0"/>
        <v>2026</v>
      </c>
      <c r="C20" s="278"/>
      <c r="D20" s="275"/>
      <c r="E20" s="128"/>
      <c r="F20" s="128"/>
      <c r="G20" s="369">
        <f t="shared" si="1"/>
        <v>7.63</v>
      </c>
      <c r="H20" s="277"/>
      <c r="I20" s="277"/>
      <c r="J20" s="128"/>
      <c r="K20" s="277"/>
      <c r="L20" s="277"/>
      <c r="M20" s="128"/>
      <c r="N20" s="41"/>
      <c r="P20" s="361"/>
      <c r="Q20" s="361" t="s">
        <v>195</v>
      </c>
      <c r="V20" s="162"/>
      <c r="W20" s="158"/>
      <c r="X20" s="158"/>
      <c r="Y20" s="158"/>
      <c r="Z20" s="158"/>
      <c r="AA20" s="158"/>
      <c r="AB20" s="158"/>
      <c r="AC20" s="119"/>
      <c r="AD20" s="119"/>
      <c r="AE20" s="86"/>
      <c r="AF20" s="86"/>
    </row>
    <row r="21" spans="2:32">
      <c r="B21" s="273">
        <f t="shared" si="0"/>
        <v>2027</v>
      </c>
      <c r="C21" s="278"/>
      <c r="D21" s="128"/>
      <c r="E21" s="128"/>
      <c r="F21" s="128"/>
      <c r="G21" s="369">
        <f t="shared" si="1"/>
        <v>7.79</v>
      </c>
      <c r="H21" s="277"/>
      <c r="I21" s="277"/>
      <c r="J21" s="128"/>
      <c r="K21" s="277"/>
      <c r="L21" s="277"/>
      <c r="M21" s="128"/>
      <c r="N21" s="41"/>
      <c r="P21" s="361"/>
      <c r="Q21" s="85" t="s">
        <v>196</v>
      </c>
      <c r="V21" s="348"/>
      <c r="W21" s="158"/>
      <c r="X21" s="158"/>
      <c r="Y21" s="158"/>
      <c r="Z21" s="158"/>
      <c r="AA21" s="158"/>
      <c r="AB21" s="158"/>
      <c r="AC21" s="119"/>
      <c r="AD21" s="119"/>
      <c r="AE21" s="86"/>
      <c r="AF21" s="86"/>
    </row>
    <row r="22" spans="2:32">
      <c r="B22" s="273">
        <f t="shared" si="0"/>
        <v>2028</v>
      </c>
      <c r="C22" s="359">
        <f>$C$64</f>
        <v>3799.5717060566089</v>
      </c>
      <c r="D22" s="368">
        <f>ROUND(C22*$C$70,2)</f>
        <v>255.84</v>
      </c>
      <c r="E22" s="128"/>
      <c r="F22" s="354">
        <f>$C$67</f>
        <v>222.01</v>
      </c>
      <c r="G22" s="369">
        <f t="shared" si="1"/>
        <v>7.96</v>
      </c>
      <c r="H22" s="277">
        <f t="shared" ref="H22:H26" si="2">ROUND(G22*(8.76*$H$59)+F22,2)</f>
        <v>281.7</v>
      </c>
      <c r="I22" s="277">
        <f t="shared" ref="I22:I26" si="3">ROUND(D22+E22+H22,2)</f>
        <v>537.54</v>
      </c>
      <c r="J22" s="128"/>
      <c r="K22" s="277">
        <f t="shared" ref="K22:K26" si="4">ROUND($L$59*J22/1000,2)</f>
        <v>0</v>
      </c>
      <c r="L22" s="277">
        <f t="shared" ref="L22:L26" si="5">ROUND(I22*1000/8760/$H$59+K22,2)</f>
        <v>71.69</v>
      </c>
      <c r="M22" s="128">
        <f t="shared" ref="M22:M26" si="6">(D22+E22+F22)</f>
        <v>477.85</v>
      </c>
      <c r="N22" s="41"/>
      <c r="P22" s="361"/>
      <c r="Q22" s="361">
        <v>-13</v>
      </c>
      <c r="V22" s="162"/>
      <c r="W22" s="158"/>
      <c r="X22" s="158"/>
      <c r="Y22" s="158"/>
      <c r="Z22" s="158"/>
      <c r="AA22" s="158"/>
      <c r="AB22" s="158"/>
      <c r="AC22" s="119"/>
      <c r="AD22" s="119"/>
      <c r="AE22" s="86"/>
      <c r="AF22" s="86"/>
    </row>
    <row r="23" spans="2:32">
      <c r="B23" s="273">
        <f t="shared" si="0"/>
        <v>2029</v>
      </c>
      <c r="C23" s="278"/>
      <c r="D23" s="369">
        <f t="shared" ref="D23:D36" si="7">ROUND(D22*(1+IRP21_Infl_Rate),2)</f>
        <v>261.35000000000002</v>
      </c>
      <c r="E23" s="128"/>
      <c r="F23" s="369">
        <f t="shared" ref="F23:F36" si="8">ROUND(F22*(1+IRP21_Infl_Rate),2)</f>
        <v>226.79</v>
      </c>
      <c r="G23" s="369">
        <f t="shared" si="1"/>
        <v>8.1300000000000008</v>
      </c>
      <c r="H23" s="277">
        <f t="shared" si="2"/>
        <v>287.75</v>
      </c>
      <c r="I23" s="277">
        <f t="shared" si="3"/>
        <v>549.1</v>
      </c>
      <c r="J23" s="128"/>
      <c r="K23" s="277">
        <f t="shared" si="4"/>
        <v>0</v>
      </c>
      <c r="L23" s="277">
        <f t="shared" si="5"/>
        <v>73.23</v>
      </c>
      <c r="M23" s="128">
        <f t="shared" si="6"/>
        <v>488.14</v>
      </c>
      <c r="N23" s="41"/>
      <c r="P23" s="361"/>
      <c r="Q23" s="361">
        <v>-13</v>
      </c>
      <c r="V23" s="162"/>
      <c r="W23" s="158"/>
      <c r="X23" s="158"/>
      <c r="Y23" s="158"/>
      <c r="Z23" s="158"/>
      <c r="AA23" s="158"/>
      <c r="AB23" s="158"/>
      <c r="AC23" s="119"/>
      <c r="AD23" s="119"/>
      <c r="AE23" s="86"/>
      <c r="AF23" s="86"/>
    </row>
    <row r="24" spans="2:32" s="281" customFormat="1">
      <c r="B24" s="279">
        <f t="shared" si="0"/>
        <v>2030</v>
      </c>
      <c r="C24" s="278"/>
      <c r="D24" s="369">
        <f t="shared" si="7"/>
        <v>266.98</v>
      </c>
      <c r="E24" s="128"/>
      <c r="F24" s="369">
        <f t="shared" si="8"/>
        <v>231.68</v>
      </c>
      <c r="G24" s="369">
        <f t="shared" si="1"/>
        <v>8.31</v>
      </c>
      <c r="H24" s="277">
        <f t="shared" si="2"/>
        <v>293.99</v>
      </c>
      <c r="I24" s="277">
        <f t="shared" si="3"/>
        <v>560.97</v>
      </c>
      <c r="J24" s="128"/>
      <c r="K24" s="277">
        <f t="shared" si="4"/>
        <v>0</v>
      </c>
      <c r="L24" s="277">
        <f t="shared" si="5"/>
        <v>74.81</v>
      </c>
      <c r="M24" s="128">
        <f t="shared" si="6"/>
        <v>498.66</v>
      </c>
      <c r="N24" s="50"/>
      <c r="O24" s="85"/>
      <c r="P24" s="361"/>
      <c r="Q24" s="361">
        <v>-13</v>
      </c>
      <c r="V24" s="162"/>
      <c r="W24" s="158"/>
      <c r="X24" s="158"/>
      <c r="Y24" s="158"/>
      <c r="Z24" s="158"/>
      <c r="AA24" s="158"/>
      <c r="AB24" s="158"/>
      <c r="AC24" s="119"/>
      <c r="AD24" s="119"/>
      <c r="AE24" s="349"/>
      <c r="AF24" s="349"/>
    </row>
    <row r="25" spans="2:32" s="281" customFormat="1">
      <c r="B25" s="279">
        <f t="shared" si="0"/>
        <v>2031</v>
      </c>
      <c r="C25" s="278"/>
      <c r="D25" s="369">
        <f t="shared" si="7"/>
        <v>272.73</v>
      </c>
      <c r="E25" s="128"/>
      <c r="F25" s="369">
        <f t="shared" si="8"/>
        <v>236.67</v>
      </c>
      <c r="G25" s="369">
        <f t="shared" si="1"/>
        <v>8.49</v>
      </c>
      <c r="H25" s="277">
        <f t="shared" si="2"/>
        <v>300.33</v>
      </c>
      <c r="I25" s="277">
        <f t="shared" si="3"/>
        <v>573.05999999999995</v>
      </c>
      <c r="J25" s="128"/>
      <c r="K25" s="277">
        <f t="shared" si="4"/>
        <v>0</v>
      </c>
      <c r="L25" s="277">
        <f t="shared" si="5"/>
        <v>76.42</v>
      </c>
      <c r="M25" s="128">
        <f t="shared" si="6"/>
        <v>509.4</v>
      </c>
      <c r="N25" s="50"/>
      <c r="O25" s="85"/>
      <c r="P25" s="361"/>
      <c r="Q25" s="361">
        <v>-13</v>
      </c>
      <c r="V25" s="162"/>
      <c r="W25" s="158"/>
      <c r="X25" s="158"/>
      <c r="Y25" s="158"/>
      <c r="Z25" s="158"/>
      <c r="AA25" s="158"/>
      <c r="AB25" s="158"/>
      <c r="AC25" s="119"/>
      <c r="AD25" s="119"/>
      <c r="AE25" s="349"/>
      <c r="AF25" s="349"/>
    </row>
    <row r="26" spans="2:32" s="281" customFormat="1">
      <c r="B26" s="279">
        <f t="shared" si="0"/>
        <v>2032</v>
      </c>
      <c r="C26" s="278"/>
      <c r="D26" s="369">
        <f t="shared" si="7"/>
        <v>278.61</v>
      </c>
      <c r="E26" s="128"/>
      <c r="F26" s="369">
        <f t="shared" si="8"/>
        <v>241.77</v>
      </c>
      <c r="G26" s="369">
        <f t="shared" si="1"/>
        <v>8.67</v>
      </c>
      <c r="H26" s="277">
        <f t="shared" si="2"/>
        <v>306.77999999999997</v>
      </c>
      <c r="I26" s="277">
        <f t="shared" si="3"/>
        <v>585.39</v>
      </c>
      <c r="J26" s="128"/>
      <c r="K26" s="277">
        <f t="shared" si="4"/>
        <v>0</v>
      </c>
      <c r="L26" s="277">
        <f t="shared" si="5"/>
        <v>78.069999999999993</v>
      </c>
      <c r="M26" s="128">
        <f t="shared" si="6"/>
        <v>520.38</v>
      </c>
      <c r="N26" s="50"/>
      <c r="O26" s="85"/>
      <c r="P26" s="361"/>
      <c r="Q26" s="361">
        <v>-13</v>
      </c>
      <c r="V26" s="162"/>
      <c r="W26" s="158"/>
      <c r="X26" s="158"/>
      <c r="Y26" s="158"/>
      <c r="Z26" s="158"/>
      <c r="AA26" s="158"/>
      <c r="AB26" s="158"/>
      <c r="AC26" s="119"/>
      <c r="AD26" s="119"/>
      <c r="AE26" s="349"/>
      <c r="AF26" s="349"/>
    </row>
    <row r="27" spans="2:32" s="281" customFormat="1">
      <c r="B27" s="279">
        <f t="shared" si="0"/>
        <v>2033</v>
      </c>
      <c r="C27" s="280"/>
      <c r="D27" s="369">
        <f t="shared" si="7"/>
        <v>284.61</v>
      </c>
      <c r="E27" s="128"/>
      <c r="F27" s="369">
        <f t="shared" si="8"/>
        <v>246.98</v>
      </c>
      <c r="G27" s="369">
        <f t="shared" si="1"/>
        <v>8.86</v>
      </c>
      <c r="H27" s="277">
        <f t="shared" ref="H27:H36" si="9">ROUND(G27*(8.76*$H$59)+F27,2)</f>
        <v>313.42</v>
      </c>
      <c r="I27" s="277">
        <f>ROUND(D27+E27+H27,2)</f>
        <v>598.03</v>
      </c>
      <c r="J27" s="128"/>
      <c r="K27" s="277">
        <f t="shared" ref="K27:K36" si="10">ROUND($L$59*J27/1000,2)</f>
        <v>0</v>
      </c>
      <c r="L27" s="277">
        <f t="shared" ref="L27:L36" si="11">ROUND(I27*1000/8760/$H$59+K27,2)</f>
        <v>79.75</v>
      </c>
      <c r="M27" s="128">
        <f>(D27+E27+F27)</f>
        <v>531.59</v>
      </c>
      <c r="N27" s="50"/>
      <c r="O27" s="85"/>
      <c r="P27" s="361"/>
      <c r="Q27" s="361">
        <v>-13</v>
      </c>
      <c r="S27" s="366"/>
      <c r="V27" s="162"/>
      <c r="W27" s="158"/>
      <c r="X27" s="158"/>
      <c r="Y27" s="158"/>
      <c r="Z27" s="158"/>
      <c r="AA27" s="158"/>
      <c r="AB27" s="158"/>
      <c r="AC27" s="119"/>
      <c r="AD27" s="119"/>
      <c r="AE27" s="349"/>
      <c r="AF27" s="349"/>
    </row>
    <row r="28" spans="2:32" s="281" customFormat="1">
      <c r="B28" s="279">
        <f t="shared" si="0"/>
        <v>2034</v>
      </c>
      <c r="C28" s="280"/>
      <c r="D28" s="369">
        <f t="shared" si="7"/>
        <v>290.74</v>
      </c>
      <c r="E28" s="128"/>
      <c r="F28" s="369">
        <f t="shared" si="8"/>
        <v>252.3</v>
      </c>
      <c r="G28" s="369">
        <f t="shared" si="1"/>
        <v>9.0500000000000007</v>
      </c>
      <c r="H28" s="277">
        <f t="shared" si="9"/>
        <v>320.16000000000003</v>
      </c>
      <c r="I28" s="277">
        <f t="shared" ref="I28:I36" si="12">ROUND(D28+E28+H28,2)</f>
        <v>610.9</v>
      </c>
      <c r="J28" s="128"/>
      <c r="K28" s="277">
        <f t="shared" si="10"/>
        <v>0</v>
      </c>
      <c r="L28" s="277">
        <f t="shared" si="11"/>
        <v>81.47</v>
      </c>
      <c r="M28" s="128">
        <f t="shared" ref="M28:M36" si="13">(D28+E28+F28)</f>
        <v>543.04</v>
      </c>
      <c r="N28" s="50"/>
      <c r="O28" s="85"/>
      <c r="P28" s="85"/>
      <c r="Q28" s="361">
        <v>5</v>
      </c>
      <c r="V28" s="162"/>
      <c r="W28" s="158"/>
      <c r="X28" s="158"/>
      <c r="Y28" s="158"/>
      <c r="Z28" s="158"/>
      <c r="AA28" s="158"/>
      <c r="AB28" s="158"/>
      <c r="AC28" s="119"/>
      <c r="AD28" s="119"/>
      <c r="AE28" s="349"/>
      <c r="AF28" s="349"/>
    </row>
    <row r="29" spans="2:32">
      <c r="B29" s="273">
        <f t="shared" si="0"/>
        <v>2035</v>
      </c>
      <c r="C29" s="278"/>
      <c r="D29" s="369">
        <f t="shared" si="7"/>
        <v>297.01</v>
      </c>
      <c r="E29" s="128"/>
      <c r="F29" s="369">
        <f t="shared" si="8"/>
        <v>257.74</v>
      </c>
      <c r="G29" s="369">
        <f t="shared" si="1"/>
        <v>9.25</v>
      </c>
      <c r="H29" s="277">
        <f t="shared" si="9"/>
        <v>327.10000000000002</v>
      </c>
      <c r="I29" s="277">
        <f t="shared" si="12"/>
        <v>624.11</v>
      </c>
      <c r="J29" s="128"/>
      <c r="K29" s="277">
        <f t="shared" si="10"/>
        <v>0</v>
      </c>
      <c r="L29" s="277">
        <f t="shared" si="11"/>
        <v>83.23</v>
      </c>
      <c r="M29" s="128">
        <f t="shared" si="13"/>
        <v>554.75</v>
      </c>
      <c r="N29" s="50"/>
      <c r="Q29" s="361">
        <v>5</v>
      </c>
      <c r="V29" s="162"/>
      <c r="W29" s="158"/>
      <c r="X29" s="158"/>
      <c r="Y29" s="158"/>
      <c r="Z29" s="158"/>
      <c r="AA29" s="158"/>
      <c r="AB29" s="158"/>
      <c r="AC29" s="119"/>
      <c r="AD29" s="119"/>
      <c r="AE29" s="86"/>
      <c r="AF29" s="86"/>
    </row>
    <row r="30" spans="2:32">
      <c r="B30" s="273">
        <f t="shared" si="0"/>
        <v>2036</v>
      </c>
      <c r="C30" s="278"/>
      <c r="D30" s="369">
        <f t="shared" si="7"/>
        <v>303.41000000000003</v>
      </c>
      <c r="E30" s="128"/>
      <c r="F30" s="369">
        <f t="shared" si="8"/>
        <v>263.29000000000002</v>
      </c>
      <c r="G30" s="369">
        <f t="shared" si="1"/>
        <v>9.4499999999999993</v>
      </c>
      <c r="H30" s="277">
        <f t="shared" si="9"/>
        <v>334.15</v>
      </c>
      <c r="I30" s="277">
        <f t="shared" si="12"/>
        <v>637.55999999999995</v>
      </c>
      <c r="J30" s="128"/>
      <c r="K30" s="277">
        <f t="shared" si="10"/>
        <v>0</v>
      </c>
      <c r="L30" s="277">
        <f t="shared" si="11"/>
        <v>85.02</v>
      </c>
      <c r="M30" s="128">
        <f t="shared" si="13"/>
        <v>566.70000000000005</v>
      </c>
      <c r="N30" s="50"/>
      <c r="Q30" s="361">
        <v>5</v>
      </c>
      <c r="V30" s="86"/>
      <c r="W30" s="86"/>
      <c r="X30" s="86"/>
      <c r="Y30" s="86"/>
      <c r="Z30" s="86"/>
      <c r="AA30" s="86"/>
      <c r="AB30" s="86"/>
      <c r="AC30" s="119"/>
      <c r="AD30" s="119"/>
      <c r="AE30" s="86"/>
      <c r="AF30" s="86"/>
    </row>
    <row r="31" spans="2:32">
      <c r="B31" s="273">
        <f t="shared" si="0"/>
        <v>2037</v>
      </c>
      <c r="C31" s="278"/>
      <c r="D31" s="369">
        <f t="shared" si="7"/>
        <v>309.95</v>
      </c>
      <c r="E31" s="128"/>
      <c r="F31" s="369">
        <f t="shared" si="8"/>
        <v>268.95999999999998</v>
      </c>
      <c r="G31" s="369">
        <f t="shared" si="1"/>
        <v>9.65</v>
      </c>
      <c r="H31" s="277">
        <f t="shared" si="9"/>
        <v>341.32</v>
      </c>
      <c r="I31" s="277">
        <f t="shared" si="12"/>
        <v>651.27</v>
      </c>
      <c r="J31" s="128"/>
      <c r="K31" s="277">
        <f t="shared" si="10"/>
        <v>0</v>
      </c>
      <c r="L31" s="277">
        <f t="shared" si="11"/>
        <v>86.85</v>
      </c>
      <c r="M31" s="128">
        <f t="shared" si="13"/>
        <v>578.91</v>
      </c>
      <c r="N31" s="50"/>
      <c r="Q31" s="361">
        <v>5</v>
      </c>
      <c r="V31" s="86"/>
      <c r="W31" s="86"/>
      <c r="X31" s="86"/>
      <c r="Y31" s="86"/>
      <c r="Z31" s="86"/>
      <c r="AA31" s="86"/>
      <c r="AB31" s="86"/>
      <c r="AC31" s="119"/>
      <c r="AD31" s="119"/>
      <c r="AE31" s="86"/>
      <c r="AF31" s="86"/>
    </row>
    <row r="32" spans="2:32">
      <c r="B32" s="273">
        <f t="shared" si="0"/>
        <v>2038</v>
      </c>
      <c r="C32" s="278"/>
      <c r="D32" s="369">
        <f t="shared" si="7"/>
        <v>316.63</v>
      </c>
      <c r="E32" s="128"/>
      <c r="F32" s="369">
        <f t="shared" si="8"/>
        <v>274.76</v>
      </c>
      <c r="G32" s="369">
        <f t="shared" si="1"/>
        <v>9.86</v>
      </c>
      <c r="H32" s="277">
        <f t="shared" si="9"/>
        <v>348.7</v>
      </c>
      <c r="I32" s="277">
        <f t="shared" si="12"/>
        <v>665.33</v>
      </c>
      <c r="J32" s="128"/>
      <c r="K32" s="277">
        <f t="shared" si="10"/>
        <v>0</v>
      </c>
      <c r="L32" s="277">
        <f t="shared" si="11"/>
        <v>88.73</v>
      </c>
      <c r="M32" s="128">
        <f t="shared" si="13"/>
        <v>591.39</v>
      </c>
      <c r="N32" s="50"/>
      <c r="Q32" s="361">
        <v>5</v>
      </c>
      <c r="V32" s="86"/>
      <c r="W32" s="86"/>
      <c r="X32" s="86"/>
      <c r="Y32" s="86"/>
      <c r="Z32" s="86"/>
      <c r="AA32" s="86"/>
      <c r="AB32" s="86"/>
      <c r="AC32" s="119"/>
      <c r="AD32" s="119"/>
      <c r="AE32" s="86"/>
      <c r="AF32" s="86"/>
    </row>
    <row r="33" spans="2:32">
      <c r="B33" s="273">
        <f t="shared" si="0"/>
        <v>2039</v>
      </c>
      <c r="C33" s="278"/>
      <c r="D33" s="369">
        <f t="shared" si="7"/>
        <v>323.45</v>
      </c>
      <c r="E33" s="128"/>
      <c r="F33" s="369">
        <f t="shared" si="8"/>
        <v>280.68</v>
      </c>
      <c r="G33" s="369">
        <f t="shared" si="1"/>
        <v>10.07</v>
      </c>
      <c r="H33" s="277">
        <f t="shared" si="9"/>
        <v>356.19</v>
      </c>
      <c r="I33" s="277">
        <f t="shared" si="12"/>
        <v>679.64</v>
      </c>
      <c r="J33" s="128"/>
      <c r="K33" s="277">
        <f t="shared" si="10"/>
        <v>0</v>
      </c>
      <c r="L33" s="277">
        <f t="shared" si="11"/>
        <v>90.64</v>
      </c>
      <c r="M33" s="128">
        <f t="shared" si="13"/>
        <v>604.13</v>
      </c>
      <c r="Q33" s="361">
        <v>5</v>
      </c>
      <c r="V33" s="86"/>
      <c r="W33" s="86"/>
      <c r="X33" s="86"/>
      <c r="Y33" s="86"/>
      <c r="Z33" s="86"/>
      <c r="AA33" s="86"/>
      <c r="AB33" s="86"/>
      <c r="AC33" s="119"/>
      <c r="AD33" s="119"/>
      <c r="AE33" s="86"/>
      <c r="AF33" s="86"/>
    </row>
    <row r="34" spans="2:32">
      <c r="B34" s="273">
        <f t="shared" si="0"/>
        <v>2040</v>
      </c>
      <c r="C34" s="278"/>
      <c r="D34" s="369">
        <f t="shared" si="7"/>
        <v>330.42</v>
      </c>
      <c r="E34" s="128"/>
      <c r="F34" s="369">
        <f t="shared" si="8"/>
        <v>286.73</v>
      </c>
      <c r="G34" s="369">
        <f t="shared" si="1"/>
        <v>10.29</v>
      </c>
      <c r="H34" s="277">
        <f t="shared" si="9"/>
        <v>363.89</v>
      </c>
      <c r="I34" s="277">
        <f t="shared" si="12"/>
        <v>694.31</v>
      </c>
      <c r="J34" s="128"/>
      <c r="K34" s="277">
        <f t="shared" si="10"/>
        <v>0</v>
      </c>
      <c r="L34" s="277">
        <f t="shared" si="11"/>
        <v>92.59</v>
      </c>
      <c r="M34" s="128">
        <f t="shared" si="13"/>
        <v>617.15000000000009</v>
      </c>
      <c r="Q34" s="361">
        <v>5</v>
      </c>
      <c r="V34" s="86"/>
      <c r="W34" s="86"/>
      <c r="X34" s="86"/>
      <c r="Y34" s="86"/>
      <c r="Z34" s="86"/>
      <c r="AA34" s="86"/>
      <c r="AB34" s="86"/>
      <c r="AC34" s="119"/>
      <c r="AD34" s="119"/>
      <c r="AE34" s="86"/>
      <c r="AF34" s="86"/>
    </row>
    <row r="35" spans="2:32">
      <c r="B35" s="273">
        <f t="shared" si="0"/>
        <v>2041</v>
      </c>
      <c r="C35" s="278"/>
      <c r="D35" s="369">
        <f t="shared" si="7"/>
        <v>337.54</v>
      </c>
      <c r="E35" s="128"/>
      <c r="F35" s="369">
        <f t="shared" si="8"/>
        <v>292.91000000000003</v>
      </c>
      <c r="G35" s="369">
        <f t="shared" si="1"/>
        <v>10.51</v>
      </c>
      <c r="H35" s="277">
        <f t="shared" si="9"/>
        <v>371.72</v>
      </c>
      <c r="I35" s="277">
        <f t="shared" si="12"/>
        <v>709.26</v>
      </c>
      <c r="J35" s="128"/>
      <c r="K35" s="277">
        <f t="shared" si="10"/>
        <v>0</v>
      </c>
      <c r="L35" s="277">
        <f t="shared" si="11"/>
        <v>94.59</v>
      </c>
      <c r="M35" s="128">
        <f t="shared" si="13"/>
        <v>630.45000000000005</v>
      </c>
      <c r="Q35" s="361">
        <v>5</v>
      </c>
      <c r="V35" s="86"/>
      <c r="W35" s="86"/>
      <c r="X35" s="86"/>
      <c r="Y35" s="86"/>
      <c r="Z35" s="86"/>
      <c r="AA35" s="86"/>
      <c r="AB35" s="86"/>
      <c r="AC35" s="119"/>
      <c r="AD35" s="119"/>
      <c r="AE35" s="86"/>
      <c r="AF35" s="86"/>
    </row>
    <row r="36" spans="2:32">
      <c r="B36" s="273">
        <f t="shared" si="0"/>
        <v>2042</v>
      </c>
      <c r="C36" s="278"/>
      <c r="D36" s="369">
        <f t="shared" si="7"/>
        <v>344.81</v>
      </c>
      <c r="E36" s="128"/>
      <c r="F36" s="369">
        <f t="shared" si="8"/>
        <v>299.22000000000003</v>
      </c>
      <c r="G36" s="369">
        <f t="shared" si="1"/>
        <v>10.74</v>
      </c>
      <c r="H36" s="277">
        <f t="shared" si="9"/>
        <v>379.75</v>
      </c>
      <c r="I36" s="277">
        <f t="shared" si="12"/>
        <v>724.56</v>
      </c>
      <c r="J36" s="128"/>
      <c r="K36" s="277">
        <f t="shared" si="10"/>
        <v>0</v>
      </c>
      <c r="L36" s="277">
        <f t="shared" si="11"/>
        <v>96.63</v>
      </c>
      <c r="M36" s="128">
        <f t="shared" si="13"/>
        <v>644.03</v>
      </c>
      <c r="Q36" s="361">
        <v>5</v>
      </c>
      <c r="V36" s="86"/>
      <c r="W36" s="86"/>
      <c r="X36" s="86"/>
      <c r="Y36" s="86"/>
      <c r="Z36" s="86"/>
      <c r="AA36" s="86"/>
      <c r="AB36" s="86"/>
      <c r="AC36" s="119"/>
      <c r="AD36" s="119"/>
      <c r="AE36" s="86"/>
      <c r="AF36" s="86"/>
    </row>
    <row r="37" spans="2:32">
      <c r="N37" s="273"/>
      <c r="P37" s="282"/>
      <c r="V37" s="86"/>
      <c r="W37" s="86"/>
      <c r="X37" s="86"/>
      <c r="Y37" s="86"/>
      <c r="Z37" s="86"/>
      <c r="AA37" s="86"/>
      <c r="AB37" s="86"/>
      <c r="AC37" s="119"/>
      <c r="AD37" s="119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3"/>
      <c r="O38" s="282"/>
      <c r="P38" s="282"/>
      <c r="V38" s="86"/>
      <c r="W38" s="86"/>
      <c r="X38" s="86"/>
      <c r="Y38" s="86"/>
      <c r="Z38" s="86"/>
      <c r="AA38" s="86"/>
      <c r="AB38" s="86"/>
      <c r="AC38" s="119"/>
      <c r="AD38" s="119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9"/>
      <c r="AD39" s="119"/>
      <c r="AE39" s="86"/>
      <c r="AF39" s="86"/>
    </row>
    <row r="40" spans="2:32">
      <c r="B40" s="85" t="s">
        <v>105</v>
      </c>
      <c r="D40" s="283" t="s">
        <v>183</v>
      </c>
      <c r="V40" s="86"/>
      <c r="W40" s="86"/>
      <c r="X40" s="86"/>
      <c r="Y40" s="86"/>
      <c r="Z40" s="86"/>
      <c r="AA40" s="86"/>
      <c r="AB40" s="86"/>
      <c r="AC40" s="119"/>
      <c r="AD40" s="119"/>
      <c r="AE40" s="86"/>
      <c r="AF40" s="86"/>
    </row>
    <row r="41" spans="2:32">
      <c r="C41" s="284" t="str">
        <f>D10</f>
        <v>(b)</v>
      </c>
      <c r="D41" s="277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9"/>
      <c r="AD41" s="119"/>
      <c r="AE41" s="86"/>
      <c r="AF41" s="86"/>
    </row>
    <row r="42" spans="2:32">
      <c r="C42" s="284" t="str">
        <f>H10</f>
        <v>(f)</v>
      </c>
      <c r="D42" s="277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9"/>
      <c r="AD42" s="119"/>
      <c r="AE42" s="86"/>
      <c r="AF42" s="86"/>
    </row>
    <row r="43" spans="2:32">
      <c r="C43" s="284" t="str">
        <f>I10</f>
        <v>(g)</v>
      </c>
      <c r="D43" s="277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9"/>
      <c r="AD43" s="119"/>
      <c r="AE43" s="86"/>
      <c r="AF43" s="86"/>
    </row>
    <row r="44" spans="2:32">
      <c r="C44" s="284" t="str">
        <f>J10</f>
        <v>(h)</v>
      </c>
      <c r="D44" s="285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9"/>
      <c r="AD44" s="119"/>
      <c r="AE44" s="86"/>
      <c r="AF44" s="86"/>
    </row>
    <row r="45" spans="2:32">
      <c r="C45" s="284" t="str">
        <f>K10</f>
        <v>(i)</v>
      </c>
      <c r="D45" s="277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9"/>
      <c r="AD45" s="119"/>
      <c r="AE45" s="86"/>
      <c r="AF45" s="86"/>
    </row>
    <row r="46" spans="2:32">
      <c r="C46" s="284" t="str">
        <f>L10</f>
        <v>(i)</v>
      </c>
      <c r="D46" s="277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9"/>
      <c r="AD46" s="119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9"/>
      <c r="AD47" s="119"/>
      <c r="AE47" s="86"/>
      <c r="AF47" s="86"/>
    </row>
    <row r="48" spans="2:32" ht="13.5" thickBot="1">
      <c r="C48" s="42" t="s">
        <v>191</v>
      </c>
      <c r="D48" s="286"/>
      <c r="E48" s="286"/>
      <c r="F48" s="286"/>
      <c r="G48" s="286"/>
      <c r="H48" s="286"/>
      <c r="I48" s="286"/>
      <c r="J48" s="286"/>
      <c r="K48" s="287"/>
      <c r="L48" s="288"/>
    </row>
    <row r="49" spans="2:22" ht="5.25" customHeight="1"/>
    <row r="50" spans="2:22" ht="5.25" customHeight="1"/>
    <row r="51" spans="2:22">
      <c r="C51" s="289" t="s">
        <v>106</v>
      </c>
      <c r="D51" s="290"/>
      <c r="E51" s="289"/>
      <c r="F51" s="289"/>
      <c r="G51" s="291" t="s">
        <v>32</v>
      </c>
      <c r="H51" s="291" t="s">
        <v>107</v>
      </c>
      <c r="I51" s="291" t="s">
        <v>108</v>
      </c>
      <c r="J51" s="291" t="s">
        <v>33</v>
      </c>
    </row>
    <row r="52" spans="2:22">
      <c r="C52" s="281" t="s">
        <v>109</v>
      </c>
      <c r="G52" s="292">
        <f>C63</f>
        <v>345</v>
      </c>
      <c r="H52" s="41">
        <f>G52/G54</f>
        <v>1</v>
      </c>
      <c r="I52" s="293">
        <f>C64</f>
        <v>3799.5717060566089</v>
      </c>
      <c r="J52" s="294">
        <f>C67</f>
        <v>222.01</v>
      </c>
      <c r="Q52" s="117"/>
      <c r="R52" s="117"/>
      <c r="S52" s="259"/>
      <c r="T52" s="117"/>
      <c r="U52" s="117"/>
      <c r="V52" s="117"/>
    </row>
    <row r="53" spans="2:22">
      <c r="C53" s="281"/>
      <c r="G53" s="295">
        <f>D63</f>
        <v>0</v>
      </c>
      <c r="H53" s="296">
        <f>1-H52</f>
        <v>0</v>
      </c>
      <c r="I53" s="297">
        <f>D64</f>
        <v>0</v>
      </c>
      <c r="J53" s="298">
        <f>D67</f>
        <v>0</v>
      </c>
      <c r="Q53" s="329"/>
      <c r="R53" s="117"/>
      <c r="S53" s="259"/>
      <c r="T53" s="259"/>
      <c r="U53" s="117"/>
      <c r="V53" s="259"/>
    </row>
    <row r="54" spans="2:22">
      <c r="C54" s="281" t="s">
        <v>110</v>
      </c>
      <c r="G54" s="292">
        <f>G52+G53</f>
        <v>345</v>
      </c>
      <c r="H54" s="41">
        <f>H52+H53</f>
        <v>1</v>
      </c>
      <c r="I54" s="293">
        <f>ROUND(((G52*I52)+(G53*I53))/G54,0)</f>
        <v>3800</v>
      </c>
      <c r="J54" s="294">
        <f>ROUND(((G52*J52)+(G53*J53))/G54,2)</f>
        <v>222.01</v>
      </c>
      <c r="Q54" s="329"/>
      <c r="R54" s="117"/>
      <c r="S54" s="259"/>
      <c r="T54" s="119"/>
      <c r="U54" s="117"/>
      <c r="V54" s="259"/>
    </row>
    <row r="55" spans="2:22">
      <c r="C55" s="281"/>
      <c r="G55" s="292"/>
      <c r="H55" s="41"/>
      <c r="I55" s="299"/>
      <c r="J55" s="300"/>
      <c r="Q55" s="117"/>
      <c r="R55" s="117"/>
      <c r="S55" s="327"/>
      <c r="T55" s="117"/>
      <c r="U55" s="117"/>
      <c r="V55" s="259"/>
    </row>
    <row r="56" spans="2:22">
      <c r="C56" s="301" t="s">
        <v>106</v>
      </c>
      <c r="D56" s="290"/>
      <c r="E56" s="289"/>
      <c r="F56" s="289"/>
      <c r="G56" s="291" t="s">
        <v>32</v>
      </c>
      <c r="H56" s="291" t="s">
        <v>34</v>
      </c>
      <c r="I56" s="291" t="s">
        <v>111</v>
      </c>
      <c r="J56" s="291" t="s">
        <v>107</v>
      </c>
      <c r="K56" s="291" t="s">
        <v>112</v>
      </c>
      <c r="L56" s="291" t="s">
        <v>113</v>
      </c>
    </row>
    <row r="57" spans="2:22">
      <c r="C57" s="302" t="str">
        <f>C52</f>
        <v>SCCT Dry "F" - Turbine</v>
      </c>
      <c r="D57" s="303"/>
      <c r="E57" s="303"/>
      <c r="F57" s="303"/>
      <c r="G57" s="85">
        <f>C63</f>
        <v>345</v>
      </c>
      <c r="H57" s="41">
        <f>C71</f>
        <v>0.85562099999999996</v>
      </c>
      <c r="I57" s="304">
        <f>H57*G57</f>
        <v>295.18924499999997</v>
      </c>
      <c r="J57" s="41">
        <f>I57/I59</f>
        <v>1</v>
      </c>
      <c r="K57" s="300">
        <f>C68</f>
        <v>6.7187999999999999</v>
      </c>
      <c r="L57" s="305">
        <f>C69</f>
        <v>0</v>
      </c>
    </row>
    <row r="58" spans="2:22">
      <c r="C58" s="302">
        <f>C53</f>
        <v>0</v>
      </c>
      <c r="D58" s="303"/>
      <c r="E58" s="303"/>
      <c r="F58" s="303"/>
      <c r="G58" s="306">
        <f>D63</f>
        <v>0</v>
      </c>
      <c r="H58" s="296">
        <f>D71</f>
        <v>0</v>
      </c>
      <c r="I58" s="307">
        <f>H58*G58</f>
        <v>0</v>
      </c>
      <c r="J58" s="296">
        <f>1-J57</f>
        <v>0</v>
      </c>
      <c r="K58" s="308">
        <f>D68</f>
        <v>0</v>
      </c>
      <c r="L58" s="309">
        <f>D69</f>
        <v>0</v>
      </c>
    </row>
    <row r="59" spans="2:22">
      <c r="C59" s="281" t="s">
        <v>114</v>
      </c>
      <c r="G59" s="85">
        <f>G57+G58</f>
        <v>345</v>
      </c>
      <c r="H59" s="310">
        <f>ROUND(I59/G59,3)</f>
        <v>0.85599999999999998</v>
      </c>
      <c r="I59" s="304">
        <f>SUM(I57:I58)</f>
        <v>295.18924499999997</v>
      </c>
      <c r="J59" s="41">
        <f>J57+J58</f>
        <v>1</v>
      </c>
      <c r="K59" s="300">
        <f>ROUND(($J57*K57)+($J58*K58),2)</f>
        <v>6.72</v>
      </c>
      <c r="L59" s="311">
        <f>ROUND(($J57*L57)+($J58*L58),0)</f>
        <v>0</v>
      </c>
    </row>
    <row r="60" spans="2:22">
      <c r="H60" s="310"/>
      <c r="J60" s="41"/>
      <c r="K60" s="300"/>
      <c r="L60" s="312" t="s">
        <v>115</v>
      </c>
    </row>
    <row r="62" spans="2:22">
      <c r="C62" s="291" t="s">
        <v>116</v>
      </c>
      <c r="D62" s="291" t="s">
        <v>117</v>
      </c>
      <c r="E62" s="365"/>
      <c r="F62" s="313" t="str">
        <f>D40</f>
        <v xml:space="preserve">Plant Costs  - 2019 IRP - Table 7.1 &amp; 7.2 </v>
      </c>
      <c r="G62" s="314"/>
      <c r="H62" s="314"/>
      <c r="I62" s="314"/>
      <c r="J62" s="314"/>
      <c r="K62" s="314"/>
      <c r="L62" s="315"/>
    </row>
    <row r="63" spans="2:22">
      <c r="C63" s="322">
        <v>345</v>
      </c>
      <c r="F63" s="85" t="s">
        <v>118</v>
      </c>
      <c r="I63" s="316"/>
    </row>
    <row r="64" spans="2:22">
      <c r="B64" s="85" t="s">
        <v>188</v>
      </c>
      <c r="C64" s="321">
        <f>1310852.23858953/C63</f>
        <v>3799.5717060566089</v>
      </c>
      <c r="D64" s="299"/>
      <c r="F64" s="85" t="s">
        <v>119</v>
      </c>
    </row>
    <row r="65" spans="2:30">
      <c r="B65" s="85" t="s">
        <v>188</v>
      </c>
      <c r="C65" s="362">
        <v>222.01</v>
      </c>
      <c r="D65" s="300"/>
      <c r="F65" s="85" t="s">
        <v>120</v>
      </c>
    </row>
    <row r="66" spans="2:30">
      <c r="C66" s="324">
        <v>0</v>
      </c>
      <c r="D66" s="317"/>
      <c r="F66" s="85" t="s">
        <v>121</v>
      </c>
    </row>
    <row r="67" spans="2:30">
      <c r="B67" s="85" t="s">
        <v>188</v>
      </c>
      <c r="C67" s="300">
        <f>C65+C66</f>
        <v>222.01</v>
      </c>
      <c r="D67" s="300"/>
      <c r="F67" s="85" t="s">
        <v>122</v>
      </c>
    </row>
    <row r="68" spans="2:30">
      <c r="B68" s="85" t="s">
        <v>160</v>
      </c>
      <c r="C68" s="362">
        <v>6.7187999999999999</v>
      </c>
      <c r="D68" s="300"/>
      <c r="F68" s="85" t="s">
        <v>123</v>
      </c>
    </row>
    <row r="69" spans="2:30">
      <c r="C69" s="326"/>
      <c r="D69" s="311"/>
      <c r="F69" s="85" t="s">
        <v>124</v>
      </c>
    </row>
    <row r="70" spans="2:30">
      <c r="C70" s="323">
        <v>6.7333481514181892E-2</v>
      </c>
      <c r="D70" s="318"/>
      <c r="F70" s="85" t="s">
        <v>36</v>
      </c>
      <c r="AC70" s="119"/>
      <c r="AD70" s="119"/>
    </row>
    <row r="71" spans="2:30">
      <c r="C71" s="325">
        <v>0.85562099999999996</v>
      </c>
      <c r="D71" s="319"/>
      <c r="F71" s="85" t="s">
        <v>37</v>
      </c>
      <c r="AC71" s="119"/>
      <c r="AD71" s="119"/>
    </row>
    <row r="72" spans="2:30">
      <c r="D72" s="41">
        <f>ROUND(I59/G59,3)</f>
        <v>0.85599999999999998</v>
      </c>
      <c r="F72" s="85" t="s">
        <v>125</v>
      </c>
      <c r="AC72" s="119"/>
      <c r="AD72" s="119"/>
    </row>
    <row r="73" spans="2:30">
      <c r="B73" s="344" t="e">
        <f>LEFT(RIGHT(INDEX('Table 3 TransCost'!$39:$39,1,MATCH(E73,'Table 3 TransCost'!$4:$4,0)),6),5)</f>
        <v>#N/A</v>
      </c>
      <c r="C73" s="255"/>
      <c r="D73" s="117" t="s">
        <v>153</v>
      </c>
      <c r="E73" s="259"/>
      <c r="F73" s="117"/>
      <c r="AC73" s="119"/>
      <c r="AD73" s="119"/>
    </row>
    <row r="74" spans="2:30" ht="13.5" thickBot="1">
      <c r="B74"/>
      <c r="C74" s="364">
        <v>26.724569206547603</v>
      </c>
      <c r="D74"/>
      <c r="F74" s="85" t="s">
        <v>185</v>
      </c>
      <c r="G74" s="363"/>
      <c r="AC74" s="119"/>
      <c r="AD74" s="119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September 30, 2021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3"/>
    </row>
    <row r="77" spans="2:30">
      <c r="C77" s="87">
        <v>2017</v>
      </c>
      <c r="D77" s="41">
        <v>0.02</v>
      </c>
      <c r="G77" s="87">
        <f>C85+1</f>
        <v>2026</v>
      </c>
      <c r="H77" s="41">
        <v>2.4E-2</v>
      </c>
      <c r="I77" s="41"/>
      <c r="J77" s="87">
        <f>G85+1</f>
        <v>2035</v>
      </c>
      <c r="K77" s="41">
        <v>2.3E-2</v>
      </c>
      <c r="L77" s="117"/>
      <c r="M77" s="117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2.5000000000000001E-2</v>
      </c>
      <c r="I78" s="41"/>
      <c r="J78" s="87">
        <f>J77+1</f>
        <v>2036</v>
      </c>
      <c r="K78" s="41">
        <v>2.3E-2</v>
      </c>
      <c r="L78" s="117"/>
      <c r="M78" s="117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2.5000000000000001E-2</v>
      </c>
      <c r="I79" s="41"/>
      <c r="J79" s="87">
        <f t="shared" ref="J79:J85" si="16">J78+1</f>
        <v>2037</v>
      </c>
      <c r="K79" s="41">
        <v>2.3E-2</v>
      </c>
      <c r="L79" s="117"/>
      <c r="M79" s="117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2.4E-2</v>
      </c>
      <c r="I80" s="41"/>
      <c r="J80" s="87">
        <f t="shared" si="16"/>
        <v>2038</v>
      </c>
      <c r="K80" s="41">
        <v>2.3E-2</v>
      </c>
      <c r="L80" s="117"/>
      <c r="M80" s="117"/>
    </row>
    <row r="81" spans="3:30">
      <c r="C81" s="87">
        <f t="shared" si="14"/>
        <v>2021</v>
      </c>
      <c r="D81" s="41">
        <v>0.04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2.3E-2</v>
      </c>
      <c r="L81" s="117"/>
      <c r="M81" s="117"/>
    </row>
    <row r="82" spans="3:30">
      <c r="C82" s="87">
        <f t="shared" si="14"/>
        <v>2022</v>
      </c>
      <c r="D82" s="41">
        <v>2.5000000000000001E-2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2.3E-2</v>
      </c>
      <c r="L82" s="117"/>
      <c r="M82" s="117"/>
    </row>
    <row r="83" spans="3:30" s="86" customFormat="1">
      <c r="C83" s="87">
        <f t="shared" si="14"/>
        <v>2023</v>
      </c>
      <c r="D83" s="41">
        <v>1.9E-2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2.1999999999999999E-2</v>
      </c>
      <c r="L83" s="119"/>
      <c r="M83" s="119"/>
      <c r="O83" s="85"/>
      <c r="P83" s="85"/>
      <c r="AC83" s="117"/>
      <c r="AD83" s="117"/>
    </row>
    <row r="84" spans="3:30" s="86" customFormat="1">
      <c r="C84" s="87">
        <f t="shared" si="14"/>
        <v>2024</v>
      </c>
      <c r="D84" s="41">
        <v>2.1999999999999999E-2</v>
      </c>
      <c r="G84" s="87">
        <f t="shared" si="15"/>
        <v>2033</v>
      </c>
      <c r="H84" s="41">
        <v>2.3E-2</v>
      </c>
      <c r="I84" s="41"/>
      <c r="J84" s="87">
        <f t="shared" si="16"/>
        <v>2042</v>
      </c>
      <c r="K84" s="41">
        <v>2.1999999999999999E-2</v>
      </c>
      <c r="L84" s="119"/>
      <c r="M84" s="119"/>
      <c r="O84" s="85"/>
      <c r="P84" s="85"/>
      <c r="AC84" s="117"/>
      <c r="AD84" s="117"/>
    </row>
    <row r="85" spans="3:30" s="86" customFormat="1">
      <c r="C85" s="87">
        <f t="shared" si="14"/>
        <v>2025</v>
      </c>
      <c r="D85" s="41">
        <v>2.3E-2</v>
      </c>
      <c r="G85" s="87">
        <f t="shared" si="15"/>
        <v>2034</v>
      </c>
      <c r="H85" s="41">
        <v>2.3E-2</v>
      </c>
      <c r="I85" s="41"/>
      <c r="J85" s="87">
        <f t="shared" si="16"/>
        <v>2043</v>
      </c>
      <c r="K85" s="41">
        <v>2.3E-2</v>
      </c>
      <c r="L85" s="119"/>
      <c r="M85" s="119"/>
      <c r="O85" s="85"/>
      <c r="P85" s="85"/>
      <c r="AC85" s="117"/>
      <c r="AD85" s="117"/>
    </row>
    <row r="86" spans="3:30" s="86" customFormat="1">
      <c r="O86" s="85"/>
      <c r="P86" s="85"/>
      <c r="AC86" s="117"/>
      <c r="AD86" s="117"/>
    </row>
    <row r="87" spans="3:30" s="86" customFormat="1">
      <c r="O87" s="85"/>
      <c r="P87" s="85"/>
      <c r="AC87" s="117"/>
      <c r="AD87" s="117"/>
    </row>
    <row r="88" spans="3:30">
      <c r="D88" s="320"/>
    </row>
    <row r="89" spans="3:30">
      <c r="D89" s="320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9"/>
  <sheetViews>
    <sheetView tabSelected="1" view="pageBreakPreview" topLeftCell="A2" zoomScale="60" zoomScaleNormal="70" workbookViewId="0">
      <selection activeCell="D26" sqref="D2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7"/>
    <col min="31" max="16384" width="9.33203125" style="85"/>
  </cols>
  <sheetData>
    <row r="1" spans="2:32" ht="15.75" hidden="1">
      <c r="B1" s="1" t="s">
        <v>35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32" ht="15.75">
      <c r="B2" s="1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2:32" ht="15.75">
      <c r="B3" s="1" t="s">
        <v>56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V3" s="117"/>
      <c r="W3" s="117"/>
      <c r="X3" s="117"/>
      <c r="Y3" s="117"/>
      <c r="Z3" s="117"/>
      <c r="AA3" s="117"/>
      <c r="AB3" s="117"/>
    </row>
    <row r="4" spans="2:32" ht="15.75">
      <c r="B4" s="1" t="s">
        <v>222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V4" s="117"/>
      <c r="W4" s="117"/>
      <c r="X4" s="117"/>
      <c r="Y4" s="117"/>
      <c r="Z4" s="117"/>
      <c r="AA4" s="117"/>
      <c r="AB4" s="117"/>
    </row>
    <row r="5" spans="2:32" ht="15.75">
      <c r="B5" s="1" t="str">
        <f>C48</f>
        <v>Non Emitting - 206 MW- East Side Resource (5,050')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32" ht="15.75">
      <c r="B6" s="1"/>
      <c r="C6" s="267"/>
      <c r="D6" s="267"/>
      <c r="E6" s="267"/>
      <c r="F6" s="267"/>
      <c r="G6" s="267"/>
      <c r="H6" s="267"/>
      <c r="I6" s="267"/>
      <c r="J6" s="267"/>
      <c r="L6" s="268"/>
    </row>
    <row r="7" spans="2:32">
      <c r="B7" s="269"/>
      <c r="C7" s="269"/>
      <c r="D7" s="269"/>
      <c r="E7" s="269"/>
      <c r="F7" s="269"/>
      <c r="G7" s="269"/>
      <c r="H7" s="269"/>
      <c r="I7" s="269"/>
      <c r="J7" s="267"/>
      <c r="K7" s="86"/>
      <c r="L7" s="86"/>
      <c r="M7" s="86"/>
      <c r="N7" s="86"/>
      <c r="O7" s="86"/>
      <c r="V7" s="119"/>
      <c r="W7" s="119"/>
      <c r="X7" s="119"/>
      <c r="Y7" s="119"/>
      <c r="Z7" s="119"/>
      <c r="AA7" s="119"/>
      <c r="AB7" s="119"/>
      <c r="AC7" s="119"/>
      <c r="AD7" s="119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0" t="s">
        <v>21</v>
      </c>
      <c r="K8" s="270" t="s">
        <v>103</v>
      </c>
      <c r="L8" s="17" t="s">
        <v>52</v>
      </c>
      <c r="M8" s="121" t="s">
        <v>154</v>
      </c>
      <c r="V8" s="119"/>
      <c r="W8" s="119"/>
      <c r="X8" s="119"/>
      <c r="Y8" s="119"/>
      <c r="Z8" s="119"/>
      <c r="AA8" s="119"/>
      <c r="AB8" s="119"/>
      <c r="AC8" s="119"/>
      <c r="AD8" s="119"/>
      <c r="AE8" s="86"/>
      <c r="AF8" s="86"/>
    </row>
    <row r="9" spans="2:32" ht="48" customHeight="1">
      <c r="B9" s="271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4" t="s">
        <v>9</v>
      </c>
      <c r="V9" s="119"/>
      <c r="W9" s="119"/>
      <c r="X9" s="119"/>
      <c r="Y9" s="119"/>
      <c r="Z9" s="119"/>
      <c r="AA9" s="346"/>
      <c r="AB9" s="346"/>
      <c r="AC9" s="119"/>
      <c r="AD9" s="119"/>
      <c r="AE9" s="86"/>
      <c r="AF9" s="86"/>
    </row>
    <row r="10" spans="2:32">
      <c r="C10" s="272" t="s">
        <v>1</v>
      </c>
      <c r="D10" s="272" t="s">
        <v>2</v>
      </c>
      <c r="E10" s="272" t="s">
        <v>3</v>
      </c>
      <c r="F10" s="272" t="s">
        <v>4</v>
      </c>
      <c r="G10" s="272" t="s">
        <v>5</v>
      </c>
      <c r="H10" s="272" t="s">
        <v>7</v>
      </c>
      <c r="I10" s="272" t="s">
        <v>22</v>
      </c>
      <c r="J10" s="272" t="s">
        <v>23</v>
      </c>
      <c r="K10" s="272" t="s">
        <v>24</v>
      </c>
      <c r="L10" s="125" t="s">
        <v>24</v>
      </c>
      <c r="M10" s="125" t="s">
        <v>187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86"/>
      <c r="AF10" s="86"/>
    </row>
    <row r="11" spans="2:32" ht="6" customHeight="1">
      <c r="M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69"/>
      <c r="K12" s="269"/>
      <c r="L12" s="269"/>
      <c r="M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86"/>
      <c r="AF12" s="86"/>
    </row>
    <row r="13" spans="2:32" ht="18.95" customHeight="1">
      <c r="B13" s="273"/>
      <c r="C13" s="274"/>
      <c r="D13" s="275"/>
      <c r="E13" s="276"/>
      <c r="F13" s="276"/>
      <c r="G13" s="276"/>
      <c r="H13" s="277"/>
      <c r="I13" s="277"/>
      <c r="J13" s="277"/>
      <c r="K13" s="277"/>
      <c r="L13" s="277"/>
      <c r="M13" s="128"/>
      <c r="V13" s="162"/>
      <c r="W13" s="158"/>
      <c r="X13" s="158"/>
      <c r="Y13" s="158"/>
      <c r="Z13" s="119"/>
      <c r="AA13" s="158"/>
      <c r="AB13" s="158"/>
      <c r="AC13" s="119"/>
      <c r="AD13" s="119"/>
      <c r="AE13" s="86"/>
      <c r="AF13" s="86"/>
    </row>
    <row r="14" spans="2:32">
      <c r="B14" s="273">
        <v>2020</v>
      </c>
      <c r="C14" s="278"/>
      <c r="D14" s="128"/>
      <c r="E14" s="128"/>
      <c r="F14" s="128"/>
      <c r="G14" s="418">
        <f>$C$68</f>
        <v>21.294</v>
      </c>
      <c r="H14" s="277"/>
      <c r="I14" s="277"/>
      <c r="J14" s="419">
        <f>$C$74</f>
        <v>26.724569206547603</v>
      </c>
      <c r="K14" s="277"/>
      <c r="L14" s="277"/>
      <c r="M14" s="128"/>
      <c r="N14" s="41"/>
      <c r="P14" s="361"/>
      <c r="V14" s="162"/>
      <c r="W14" s="119"/>
      <c r="X14" s="158"/>
      <c r="Y14" s="347"/>
      <c r="Z14" s="119"/>
      <c r="AA14" s="158"/>
      <c r="AB14" s="158"/>
      <c r="AC14" s="119"/>
      <c r="AD14" s="119"/>
      <c r="AE14" s="86"/>
      <c r="AF14" s="86"/>
    </row>
    <row r="15" spans="2:32">
      <c r="B15" s="273">
        <f t="shared" ref="B15:B36" si="0">B14+1</f>
        <v>2021</v>
      </c>
      <c r="C15" s="278"/>
      <c r="D15" s="128"/>
      <c r="E15" s="128"/>
      <c r="F15" s="128"/>
      <c r="G15" s="128">
        <f t="shared" ref="G15:G36" si="1">ROUND(G14*(1+IRP21_Infl_Rate),2)</f>
        <v>21.75</v>
      </c>
      <c r="H15" s="277"/>
      <c r="I15" s="277"/>
      <c r="J15" s="128">
        <f t="shared" ref="J15:J36" si="2">ROUND(J14*(1+IRP21_Infl_Rate),2)</f>
        <v>27.3</v>
      </c>
      <c r="K15" s="277"/>
      <c r="L15" s="277"/>
      <c r="M15" s="128"/>
      <c r="N15" s="41"/>
      <c r="P15" s="361"/>
      <c r="Q15" s="361"/>
      <c r="V15" s="162"/>
      <c r="W15" s="158"/>
      <c r="X15" s="158"/>
      <c r="Y15" s="347"/>
      <c r="Z15" s="158"/>
      <c r="AA15" s="158"/>
      <c r="AB15" s="158"/>
      <c r="AC15" s="119"/>
      <c r="AD15" s="119"/>
      <c r="AE15" s="86"/>
      <c r="AF15" s="86"/>
    </row>
    <row r="16" spans="2:32">
      <c r="B16" s="273">
        <f t="shared" si="0"/>
        <v>2022</v>
      </c>
      <c r="C16" s="278"/>
      <c r="D16" s="128"/>
      <c r="E16" s="128"/>
      <c r="F16" s="128"/>
      <c r="G16" s="128">
        <f t="shared" si="1"/>
        <v>22.22</v>
      </c>
      <c r="H16" s="277"/>
      <c r="I16" s="277"/>
      <c r="J16" s="128">
        <f t="shared" si="2"/>
        <v>27.89</v>
      </c>
      <c r="K16" s="277"/>
      <c r="L16" s="277"/>
      <c r="M16" s="128"/>
      <c r="N16" s="41"/>
      <c r="P16" s="361"/>
      <c r="Q16" s="361"/>
      <c r="V16" s="162"/>
      <c r="W16" s="158"/>
      <c r="X16" s="158"/>
      <c r="Y16" s="347"/>
      <c r="Z16" s="158"/>
      <c r="AA16" s="158"/>
      <c r="AB16" s="158"/>
      <c r="AC16" s="119"/>
      <c r="AD16" s="119"/>
      <c r="AE16" s="86"/>
      <c r="AF16" s="86"/>
    </row>
    <row r="17" spans="2:32">
      <c r="B17" s="273">
        <f t="shared" si="0"/>
        <v>2023</v>
      </c>
      <c r="C17" s="278"/>
      <c r="D17" s="128"/>
      <c r="E17" s="128"/>
      <c r="F17" s="128"/>
      <c r="G17" s="128">
        <f t="shared" si="1"/>
        <v>22.7</v>
      </c>
      <c r="H17" s="277"/>
      <c r="I17" s="277"/>
      <c r="J17" s="128">
        <f t="shared" si="2"/>
        <v>28.49</v>
      </c>
      <c r="K17" s="277"/>
      <c r="L17" s="277"/>
      <c r="M17" s="128"/>
      <c r="N17" s="41"/>
      <c r="P17" s="361"/>
      <c r="Q17" s="361"/>
      <c r="V17" s="162"/>
      <c r="W17" s="158"/>
      <c r="X17" s="158"/>
      <c r="Y17" s="347"/>
      <c r="Z17" s="158"/>
      <c r="AA17" s="158"/>
      <c r="AB17" s="158"/>
      <c r="AC17" s="119"/>
      <c r="AD17" s="119"/>
      <c r="AE17" s="86"/>
      <c r="AF17" s="86"/>
    </row>
    <row r="18" spans="2:32">
      <c r="B18" s="273">
        <f t="shared" si="0"/>
        <v>2024</v>
      </c>
      <c r="C18" s="278"/>
      <c r="D18" s="128"/>
      <c r="E18" s="128"/>
      <c r="F18" s="128"/>
      <c r="G18" s="128">
        <f t="shared" si="1"/>
        <v>23.19</v>
      </c>
      <c r="H18" s="277"/>
      <c r="I18" s="277"/>
      <c r="J18" s="128">
        <f t="shared" si="2"/>
        <v>29.1</v>
      </c>
      <c r="K18" s="277"/>
      <c r="L18" s="277"/>
      <c r="M18" s="128"/>
      <c r="N18" s="41"/>
      <c r="P18" s="361"/>
      <c r="Q18" s="361"/>
      <c r="V18" s="162"/>
      <c r="W18" s="158"/>
      <c r="X18" s="158"/>
      <c r="Y18" s="347"/>
      <c r="Z18" s="158"/>
      <c r="AA18" s="158"/>
      <c r="AB18" s="158"/>
      <c r="AC18" s="119"/>
      <c r="AD18" s="119"/>
      <c r="AE18" s="86"/>
      <c r="AF18" s="86"/>
    </row>
    <row r="19" spans="2:32">
      <c r="B19" s="273">
        <f t="shared" si="0"/>
        <v>2025</v>
      </c>
      <c r="C19" s="278"/>
      <c r="D19" s="128"/>
      <c r="E19" s="128"/>
      <c r="F19" s="128"/>
      <c r="G19" s="128">
        <f t="shared" si="1"/>
        <v>23.69</v>
      </c>
      <c r="H19" s="277"/>
      <c r="I19" s="277"/>
      <c r="J19" s="128">
        <f t="shared" si="2"/>
        <v>29.73</v>
      </c>
      <c r="K19" s="277"/>
      <c r="L19" s="277"/>
      <c r="M19" s="128"/>
      <c r="N19" s="41"/>
      <c r="P19" s="361"/>
      <c r="Q19" s="361"/>
      <c r="V19" s="162"/>
      <c r="W19" s="158"/>
      <c r="X19" s="158"/>
      <c r="Y19" s="347"/>
      <c r="Z19" s="158"/>
      <c r="AA19" s="158"/>
      <c r="AB19" s="158"/>
      <c r="AC19" s="119"/>
      <c r="AD19" s="119"/>
      <c r="AE19" s="86"/>
      <c r="AF19" s="86"/>
    </row>
    <row r="20" spans="2:32">
      <c r="B20" s="273">
        <f t="shared" si="0"/>
        <v>2026</v>
      </c>
      <c r="C20" s="278"/>
      <c r="D20" s="275"/>
      <c r="E20" s="128"/>
      <c r="F20" s="128"/>
      <c r="G20" s="128">
        <f t="shared" si="1"/>
        <v>24.2</v>
      </c>
      <c r="H20" s="277"/>
      <c r="I20" s="277"/>
      <c r="J20" s="128">
        <f t="shared" si="2"/>
        <v>30.37</v>
      </c>
      <c r="K20" s="277"/>
      <c r="L20" s="277"/>
      <c r="M20" s="128"/>
      <c r="N20" s="41"/>
      <c r="P20" s="361"/>
      <c r="Q20" s="361"/>
      <c r="V20" s="162"/>
      <c r="W20" s="158"/>
      <c r="X20" s="158"/>
      <c r="Y20" s="158"/>
      <c r="Z20" s="158"/>
      <c r="AA20" s="158"/>
      <c r="AB20" s="158"/>
      <c r="AC20" s="119"/>
      <c r="AD20" s="119"/>
      <c r="AE20" s="86"/>
      <c r="AF20" s="86"/>
    </row>
    <row r="21" spans="2:32">
      <c r="B21" s="273">
        <f t="shared" si="0"/>
        <v>2027</v>
      </c>
      <c r="C21" s="278"/>
      <c r="D21" s="128"/>
      <c r="E21" s="128"/>
      <c r="F21" s="128"/>
      <c r="G21" s="128">
        <f t="shared" si="1"/>
        <v>24.72</v>
      </c>
      <c r="H21" s="277"/>
      <c r="I21" s="277"/>
      <c r="J21" s="128">
        <f t="shared" si="2"/>
        <v>31.02</v>
      </c>
      <c r="K21" s="277"/>
      <c r="L21" s="277"/>
      <c r="M21" s="128"/>
      <c r="N21" s="41"/>
      <c r="P21" s="361"/>
      <c r="Q21" s="361"/>
      <c r="V21" s="348"/>
      <c r="W21" s="158"/>
      <c r="X21" s="158"/>
      <c r="Y21" s="158"/>
      <c r="Z21" s="158"/>
      <c r="AA21" s="158"/>
      <c r="AB21" s="158"/>
      <c r="AC21" s="119"/>
      <c r="AD21" s="119"/>
      <c r="AE21" s="86"/>
      <c r="AF21" s="86"/>
    </row>
    <row r="22" spans="2:32">
      <c r="B22" s="273">
        <f t="shared" si="0"/>
        <v>2028</v>
      </c>
      <c r="C22" s="278"/>
      <c r="D22" s="128"/>
      <c r="E22" s="128"/>
      <c r="F22" s="128"/>
      <c r="G22" s="128">
        <f t="shared" si="1"/>
        <v>25.25</v>
      </c>
      <c r="H22" s="277"/>
      <c r="I22" s="277"/>
      <c r="J22" s="128">
        <f t="shared" si="2"/>
        <v>31.69</v>
      </c>
      <c r="K22" s="277"/>
      <c r="L22" s="277"/>
      <c r="M22" s="128"/>
      <c r="N22" s="41"/>
      <c r="P22" s="361"/>
      <c r="Q22" s="361"/>
      <c r="V22" s="162"/>
      <c r="W22" s="158"/>
      <c r="X22" s="158"/>
      <c r="Y22" s="158"/>
      <c r="Z22" s="158"/>
      <c r="AA22" s="158"/>
      <c r="AB22" s="158"/>
      <c r="AC22" s="119"/>
      <c r="AD22" s="119"/>
      <c r="AE22" s="86"/>
      <c r="AF22" s="86"/>
    </row>
    <row r="23" spans="2:32">
      <c r="B23" s="273">
        <f t="shared" si="0"/>
        <v>2029</v>
      </c>
      <c r="C23" s="278"/>
      <c r="D23" s="128"/>
      <c r="E23" s="128"/>
      <c r="F23" s="128"/>
      <c r="G23" s="128">
        <f t="shared" si="1"/>
        <v>25.79</v>
      </c>
      <c r="H23" s="277"/>
      <c r="I23" s="277"/>
      <c r="J23" s="128">
        <f t="shared" si="2"/>
        <v>32.369999999999997</v>
      </c>
      <c r="K23" s="277"/>
      <c r="L23" s="277"/>
      <c r="M23" s="128"/>
      <c r="N23" s="41"/>
      <c r="P23" s="361"/>
      <c r="Q23" s="361"/>
      <c r="V23" s="162"/>
      <c r="W23" s="158"/>
      <c r="X23" s="158"/>
      <c r="Y23" s="158"/>
      <c r="Z23" s="158"/>
      <c r="AA23" s="158"/>
      <c r="AB23" s="158"/>
      <c r="AC23" s="119"/>
      <c r="AD23" s="119"/>
      <c r="AE23" s="86"/>
      <c r="AF23" s="86"/>
    </row>
    <row r="24" spans="2:32" s="281" customFormat="1">
      <c r="B24" s="279">
        <f t="shared" si="0"/>
        <v>2030</v>
      </c>
      <c r="C24" s="278"/>
      <c r="D24" s="128"/>
      <c r="E24" s="128"/>
      <c r="F24" s="128"/>
      <c r="G24" s="128">
        <f t="shared" si="1"/>
        <v>26.35</v>
      </c>
      <c r="H24" s="277"/>
      <c r="I24" s="277"/>
      <c r="J24" s="128">
        <f t="shared" si="2"/>
        <v>33.07</v>
      </c>
      <c r="K24" s="277"/>
      <c r="L24" s="277"/>
      <c r="M24" s="128"/>
      <c r="N24" s="50"/>
      <c r="O24" s="85"/>
      <c r="P24" s="361"/>
      <c r="Q24" s="361"/>
      <c r="V24" s="162"/>
      <c r="W24" s="158"/>
      <c r="X24" s="158"/>
      <c r="Y24" s="158"/>
      <c r="Z24" s="158"/>
      <c r="AA24" s="158"/>
      <c r="AB24" s="158"/>
      <c r="AC24" s="119"/>
      <c r="AD24" s="119"/>
      <c r="AE24" s="349"/>
      <c r="AF24" s="349"/>
    </row>
    <row r="25" spans="2:32" s="281" customFormat="1">
      <c r="B25" s="279">
        <f t="shared" si="0"/>
        <v>2031</v>
      </c>
      <c r="C25" s="278"/>
      <c r="D25" s="128"/>
      <c r="E25" s="183">
        <f>$C$73</f>
        <v>12.45513744317196</v>
      </c>
      <c r="F25" s="128"/>
      <c r="G25" s="128">
        <f t="shared" si="1"/>
        <v>26.92</v>
      </c>
      <c r="H25" s="277"/>
      <c r="I25" s="277"/>
      <c r="J25" s="128">
        <f t="shared" si="2"/>
        <v>33.78</v>
      </c>
      <c r="K25" s="277"/>
      <c r="L25" s="277"/>
      <c r="M25" s="128"/>
      <c r="N25" s="50"/>
      <c r="O25" s="85"/>
      <c r="P25" s="361"/>
      <c r="Q25" s="361"/>
      <c r="V25" s="162"/>
      <c r="W25" s="158"/>
      <c r="X25" s="158"/>
      <c r="Y25" s="158"/>
      <c r="Z25" s="158"/>
      <c r="AA25" s="158"/>
      <c r="AB25" s="158"/>
      <c r="AC25" s="119"/>
      <c r="AD25" s="119"/>
      <c r="AE25" s="349"/>
      <c r="AF25" s="349"/>
    </row>
    <row r="26" spans="2:32" s="281" customFormat="1">
      <c r="B26" s="279">
        <f t="shared" si="0"/>
        <v>2032</v>
      </c>
      <c r="C26" s="278"/>
      <c r="D26" s="128"/>
      <c r="E26" s="128">
        <f t="shared" ref="E26:E36" si="3">ROUND(E25*(1+IRP21_Infl_Rate),2)</f>
        <v>12.72</v>
      </c>
      <c r="F26" s="128"/>
      <c r="G26" s="128">
        <f t="shared" si="1"/>
        <v>27.5</v>
      </c>
      <c r="H26" s="277"/>
      <c r="I26" s="277"/>
      <c r="J26" s="128">
        <f t="shared" si="2"/>
        <v>34.51</v>
      </c>
      <c r="K26" s="277"/>
      <c r="L26" s="277"/>
      <c r="M26" s="128"/>
      <c r="N26" s="50"/>
      <c r="O26" s="85"/>
      <c r="P26" s="361"/>
      <c r="Q26" s="361"/>
      <c r="V26" s="162"/>
      <c r="W26" s="158"/>
      <c r="X26" s="158"/>
      <c r="Y26" s="158"/>
      <c r="Z26" s="158"/>
      <c r="AA26" s="158"/>
      <c r="AB26" s="158"/>
      <c r="AC26" s="119"/>
      <c r="AD26" s="119"/>
      <c r="AE26" s="349"/>
      <c r="AF26" s="349"/>
    </row>
    <row r="27" spans="2:32" s="281" customFormat="1">
      <c r="B27" s="279">
        <f t="shared" si="0"/>
        <v>2033</v>
      </c>
      <c r="C27" s="361">
        <f>$C$64</f>
        <v>1319.927786794867</v>
      </c>
      <c r="D27" s="275">
        <f>ROUND(C27*$C$70,2)</f>
        <v>98.96</v>
      </c>
      <c r="E27" s="128">
        <f t="shared" si="3"/>
        <v>12.99</v>
      </c>
      <c r="F27" s="128">
        <v>0</v>
      </c>
      <c r="G27" s="128">
        <f t="shared" si="1"/>
        <v>28.09</v>
      </c>
      <c r="H27" s="277">
        <f t="shared" ref="H27:H36" si="4">ROUND(G27*(8.76*$H$59)+F27,2)</f>
        <v>81.2</v>
      </c>
      <c r="I27" s="277">
        <f>ROUND(D27+E27+H27,2)</f>
        <v>193.15</v>
      </c>
      <c r="J27" s="128">
        <f t="shared" si="2"/>
        <v>35.25</v>
      </c>
      <c r="K27" s="277">
        <f t="shared" ref="K27:K32" si="5">ROUND($L$59*J27/1000,2)</f>
        <v>350.24</v>
      </c>
      <c r="L27" s="277">
        <f t="shared" ref="L27:L32" si="6">ROUND(I27*1000/8760/$H$59+K27,2)</f>
        <v>417.06</v>
      </c>
      <c r="M27" s="128">
        <f>(D27+E27+F27)</f>
        <v>111.94999999999999</v>
      </c>
      <c r="N27" s="50"/>
      <c r="O27" s="85"/>
      <c r="P27" s="361"/>
      <c r="Q27" s="361"/>
      <c r="S27" s="366"/>
      <c r="V27" s="162"/>
      <c r="W27" s="158"/>
      <c r="X27" s="158"/>
      <c r="Y27" s="158"/>
      <c r="Z27" s="158"/>
      <c r="AA27" s="158"/>
      <c r="AB27" s="158"/>
      <c r="AC27" s="119"/>
      <c r="AD27" s="119"/>
      <c r="AE27" s="349"/>
      <c r="AF27" s="349"/>
    </row>
    <row r="28" spans="2:32" s="281" customFormat="1">
      <c r="B28" s="279">
        <f t="shared" si="0"/>
        <v>2034</v>
      </c>
      <c r="C28" s="280"/>
      <c r="D28" s="128">
        <f t="shared" ref="D28:D36" si="7">ROUND(D27*(1+IRP21_Infl_Rate),2)</f>
        <v>101.09</v>
      </c>
      <c r="E28" s="128">
        <f t="shared" si="3"/>
        <v>13.27</v>
      </c>
      <c r="F28" s="128">
        <f t="shared" ref="F28:F36" si="8">ROUND(F27*(1+IRP21_Infl_Rate),2)</f>
        <v>0</v>
      </c>
      <c r="G28" s="128">
        <f t="shared" si="1"/>
        <v>28.7</v>
      </c>
      <c r="H28" s="277">
        <f t="shared" si="4"/>
        <v>82.97</v>
      </c>
      <c r="I28" s="277">
        <f t="shared" ref="I28:I36" si="9">ROUND(D28+E28+H28,2)</f>
        <v>197.33</v>
      </c>
      <c r="J28" s="128">
        <f t="shared" si="2"/>
        <v>36.01</v>
      </c>
      <c r="K28" s="277">
        <f t="shared" si="5"/>
        <v>357.8</v>
      </c>
      <c r="L28" s="277">
        <f t="shared" si="6"/>
        <v>426.06</v>
      </c>
      <c r="M28" s="128">
        <f t="shared" ref="M28:M36" si="10">(D28+E28+F28)</f>
        <v>114.36</v>
      </c>
      <c r="N28" s="50"/>
      <c r="O28" s="85"/>
      <c r="P28" s="85"/>
      <c r="V28" s="162"/>
      <c r="W28" s="158"/>
      <c r="X28" s="158"/>
      <c r="Y28" s="158"/>
      <c r="Z28" s="158"/>
      <c r="AA28" s="158"/>
      <c r="AB28" s="158"/>
      <c r="AC28" s="119"/>
      <c r="AD28" s="119"/>
      <c r="AE28" s="349"/>
      <c r="AF28" s="349"/>
    </row>
    <row r="29" spans="2:32">
      <c r="B29" s="273">
        <f t="shared" si="0"/>
        <v>2035</v>
      </c>
      <c r="C29" s="278"/>
      <c r="D29" s="128">
        <f t="shared" si="7"/>
        <v>103.27</v>
      </c>
      <c r="E29" s="128">
        <f t="shared" si="3"/>
        <v>13.56</v>
      </c>
      <c r="F29" s="128">
        <f t="shared" si="8"/>
        <v>0</v>
      </c>
      <c r="G29" s="128">
        <f t="shared" si="1"/>
        <v>29.32</v>
      </c>
      <c r="H29" s="277">
        <f t="shared" si="4"/>
        <v>84.76</v>
      </c>
      <c r="I29" s="277">
        <f t="shared" si="9"/>
        <v>201.59</v>
      </c>
      <c r="J29" s="128">
        <f t="shared" si="2"/>
        <v>36.79</v>
      </c>
      <c r="K29" s="277">
        <f t="shared" si="5"/>
        <v>365.55</v>
      </c>
      <c r="L29" s="277">
        <f t="shared" si="6"/>
        <v>435.29</v>
      </c>
      <c r="M29" s="128">
        <f t="shared" si="10"/>
        <v>116.83</v>
      </c>
      <c r="N29" s="50"/>
      <c r="V29" s="162"/>
      <c r="W29" s="158"/>
      <c r="X29" s="158"/>
      <c r="Y29" s="158"/>
      <c r="Z29" s="158"/>
      <c r="AA29" s="158"/>
      <c r="AB29" s="158"/>
      <c r="AC29" s="119"/>
      <c r="AD29" s="119"/>
      <c r="AE29" s="86"/>
      <c r="AF29" s="86"/>
    </row>
    <row r="30" spans="2:32">
      <c r="B30" s="273">
        <f t="shared" si="0"/>
        <v>2036</v>
      </c>
      <c r="C30" s="278"/>
      <c r="D30" s="128">
        <f t="shared" si="7"/>
        <v>105.5</v>
      </c>
      <c r="E30" s="128">
        <f t="shared" si="3"/>
        <v>13.85</v>
      </c>
      <c r="F30" s="128">
        <f t="shared" si="8"/>
        <v>0</v>
      </c>
      <c r="G30" s="128">
        <f t="shared" si="1"/>
        <v>29.95</v>
      </c>
      <c r="H30" s="277">
        <f t="shared" si="4"/>
        <v>86.58</v>
      </c>
      <c r="I30" s="277">
        <f t="shared" si="9"/>
        <v>205.93</v>
      </c>
      <c r="J30" s="128">
        <f t="shared" si="2"/>
        <v>37.58</v>
      </c>
      <c r="K30" s="277">
        <f t="shared" si="5"/>
        <v>373.39</v>
      </c>
      <c r="L30" s="277">
        <f t="shared" si="6"/>
        <v>444.63</v>
      </c>
      <c r="M30" s="128">
        <f t="shared" si="10"/>
        <v>119.35</v>
      </c>
      <c r="N30" s="50"/>
      <c r="V30" s="86"/>
      <c r="W30" s="86"/>
      <c r="X30" s="86"/>
      <c r="Y30" s="86"/>
      <c r="Z30" s="86"/>
      <c r="AA30" s="86"/>
      <c r="AB30" s="86"/>
      <c r="AC30" s="119"/>
      <c r="AD30" s="119"/>
      <c r="AE30" s="86"/>
      <c r="AF30" s="86"/>
    </row>
    <row r="31" spans="2:32">
      <c r="B31" s="273">
        <f t="shared" si="0"/>
        <v>2037</v>
      </c>
      <c r="C31" s="278"/>
      <c r="D31" s="128">
        <f t="shared" si="7"/>
        <v>107.77</v>
      </c>
      <c r="E31" s="128">
        <f t="shared" si="3"/>
        <v>14.15</v>
      </c>
      <c r="F31" s="128">
        <f t="shared" si="8"/>
        <v>0</v>
      </c>
      <c r="G31" s="128">
        <f t="shared" si="1"/>
        <v>30.6</v>
      </c>
      <c r="H31" s="277">
        <f t="shared" si="4"/>
        <v>88.46</v>
      </c>
      <c r="I31" s="277">
        <f t="shared" si="9"/>
        <v>210.38</v>
      </c>
      <c r="J31" s="128">
        <f t="shared" si="2"/>
        <v>38.39</v>
      </c>
      <c r="K31" s="277">
        <f t="shared" si="5"/>
        <v>381.44</v>
      </c>
      <c r="L31" s="277">
        <f t="shared" si="6"/>
        <v>454.22</v>
      </c>
      <c r="M31" s="128">
        <f t="shared" si="10"/>
        <v>121.92</v>
      </c>
      <c r="N31" s="50"/>
      <c r="V31" s="86"/>
      <c r="W31" s="86"/>
      <c r="X31" s="86"/>
      <c r="Y31" s="86"/>
      <c r="Z31" s="86"/>
      <c r="AA31" s="86"/>
      <c r="AB31" s="86"/>
      <c r="AC31" s="119"/>
      <c r="AD31" s="119"/>
      <c r="AE31" s="86"/>
      <c r="AF31" s="86"/>
    </row>
    <row r="32" spans="2:32">
      <c r="B32" s="273">
        <f t="shared" si="0"/>
        <v>2038</v>
      </c>
      <c r="C32" s="278"/>
      <c r="D32" s="128">
        <f t="shared" si="7"/>
        <v>110.09</v>
      </c>
      <c r="E32" s="128">
        <f t="shared" si="3"/>
        <v>14.45</v>
      </c>
      <c r="F32" s="128">
        <f t="shared" si="8"/>
        <v>0</v>
      </c>
      <c r="G32" s="128">
        <f t="shared" si="1"/>
        <v>31.26</v>
      </c>
      <c r="H32" s="277">
        <f t="shared" si="4"/>
        <v>90.37</v>
      </c>
      <c r="I32" s="277">
        <f t="shared" si="9"/>
        <v>214.91</v>
      </c>
      <c r="J32" s="128">
        <f t="shared" si="2"/>
        <v>39.22</v>
      </c>
      <c r="K32" s="277">
        <f t="shared" si="5"/>
        <v>389.69</v>
      </c>
      <c r="L32" s="277">
        <f t="shared" si="6"/>
        <v>464.03</v>
      </c>
      <c r="M32" s="128">
        <f t="shared" si="10"/>
        <v>124.54</v>
      </c>
      <c r="N32" s="50"/>
      <c r="V32" s="86"/>
      <c r="W32" s="86"/>
      <c r="X32" s="86"/>
      <c r="Y32" s="86"/>
      <c r="Z32" s="86"/>
      <c r="AA32" s="86"/>
      <c r="AB32" s="86"/>
      <c r="AC32" s="119"/>
      <c r="AD32" s="119"/>
      <c r="AE32" s="86"/>
      <c r="AF32" s="86"/>
    </row>
    <row r="33" spans="2:32">
      <c r="B33" s="273">
        <f t="shared" si="0"/>
        <v>2039</v>
      </c>
      <c r="C33" s="278"/>
      <c r="D33" s="128">
        <f t="shared" si="7"/>
        <v>112.46</v>
      </c>
      <c r="E33" s="128">
        <f t="shared" si="3"/>
        <v>14.76</v>
      </c>
      <c r="F33" s="128">
        <f t="shared" si="8"/>
        <v>0</v>
      </c>
      <c r="G33" s="128">
        <f t="shared" si="1"/>
        <v>31.93</v>
      </c>
      <c r="H33" s="277">
        <f t="shared" si="4"/>
        <v>92.3</v>
      </c>
      <c r="I33" s="277">
        <f t="shared" si="9"/>
        <v>219.52</v>
      </c>
      <c r="J33" s="128">
        <f t="shared" si="2"/>
        <v>40.07</v>
      </c>
      <c r="K33" s="277">
        <f t="shared" ref="K33:K36" si="11">ROUND($L$59*J33/1000,2)</f>
        <v>398.14</v>
      </c>
      <c r="L33" s="277">
        <f t="shared" ref="L33:L36" si="12">ROUND(I33*1000/8760/$H$59+K33,2)</f>
        <v>474.08</v>
      </c>
      <c r="M33" s="128">
        <f t="shared" si="10"/>
        <v>127.22</v>
      </c>
      <c r="V33" s="86"/>
      <c r="W33" s="86"/>
      <c r="X33" s="86"/>
      <c r="Y33" s="86"/>
      <c r="Z33" s="86"/>
      <c r="AA33" s="86"/>
      <c r="AB33" s="86"/>
      <c r="AC33" s="119"/>
      <c r="AD33" s="119"/>
      <c r="AE33" s="86"/>
      <c r="AF33" s="86"/>
    </row>
    <row r="34" spans="2:32">
      <c r="B34" s="273">
        <f t="shared" si="0"/>
        <v>2040</v>
      </c>
      <c r="C34" s="278"/>
      <c r="D34" s="128">
        <f t="shared" si="7"/>
        <v>114.88</v>
      </c>
      <c r="E34" s="128">
        <f t="shared" si="3"/>
        <v>15.08</v>
      </c>
      <c r="F34" s="128">
        <f t="shared" si="8"/>
        <v>0</v>
      </c>
      <c r="G34" s="128">
        <f t="shared" si="1"/>
        <v>32.619999999999997</v>
      </c>
      <c r="H34" s="277">
        <f t="shared" si="4"/>
        <v>94.3</v>
      </c>
      <c r="I34" s="277">
        <f t="shared" si="9"/>
        <v>224.26</v>
      </c>
      <c r="J34" s="128">
        <f t="shared" si="2"/>
        <v>40.93</v>
      </c>
      <c r="K34" s="277">
        <f t="shared" si="11"/>
        <v>406.68</v>
      </c>
      <c r="L34" s="277">
        <f t="shared" si="12"/>
        <v>484.26</v>
      </c>
      <c r="M34" s="128">
        <f t="shared" si="10"/>
        <v>129.96</v>
      </c>
      <c r="V34" s="86"/>
      <c r="W34" s="86"/>
      <c r="X34" s="86"/>
      <c r="Y34" s="86"/>
      <c r="Z34" s="86"/>
      <c r="AA34" s="86"/>
      <c r="AB34" s="86"/>
      <c r="AC34" s="119"/>
      <c r="AD34" s="119"/>
      <c r="AE34" s="86"/>
      <c r="AF34" s="86"/>
    </row>
    <row r="35" spans="2:32">
      <c r="B35" s="273">
        <f t="shared" si="0"/>
        <v>2041</v>
      </c>
      <c r="C35" s="278"/>
      <c r="D35" s="128">
        <f t="shared" si="7"/>
        <v>117.36</v>
      </c>
      <c r="E35" s="128">
        <f t="shared" si="3"/>
        <v>15.4</v>
      </c>
      <c r="F35" s="128">
        <f t="shared" si="8"/>
        <v>0</v>
      </c>
      <c r="G35" s="128">
        <f t="shared" si="1"/>
        <v>33.32</v>
      </c>
      <c r="H35" s="277">
        <f t="shared" si="4"/>
        <v>96.32</v>
      </c>
      <c r="I35" s="277">
        <f t="shared" si="9"/>
        <v>229.08</v>
      </c>
      <c r="J35" s="128">
        <f t="shared" si="2"/>
        <v>41.81</v>
      </c>
      <c r="K35" s="277">
        <f t="shared" si="11"/>
        <v>415.42</v>
      </c>
      <c r="L35" s="277">
        <f t="shared" si="12"/>
        <v>494.66</v>
      </c>
      <c r="M35" s="128">
        <f t="shared" si="10"/>
        <v>132.76</v>
      </c>
      <c r="V35" s="86"/>
      <c r="W35" s="86"/>
      <c r="X35" s="86"/>
      <c r="Y35" s="86"/>
      <c r="Z35" s="86"/>
      <c r="AA35" s="86"/>
      <c r="AB35" s="86"/>
      <c r="AC35" s="119"/>
      <c r="AD35" s="119"/>
      <c r="AE35" s="86"/>
      <c r="AF35" s="86"/>
    </row>
    <row r="36" spans="2:32">
      <c r="B36" s="273">
        <f t="shared" si="0"/>
        <v>2042</v>
      </c>
      <c r="C36" s="278"/>
      <c r="D36" s="128">
        <f t="shared" si="7"/>
        <v>119.89</v>
      </c>
      <c r="E36" s="128">
        <f t="shared" si="3"/>
        <v>15.73</v>
      </c>
      <c r="F36" s="128">
        <f t="shared" si="8"/>
        <v>0</v>
      </c>
      <c r="G36" s="128">
        <f t="shared" si="1"/>
        <v>34.04</v>
      </c>
      <c r="H36" s="277">
        <f t="shared" si="4"/>
        <v>98.4</v>
      </c>
      <c r="I36" s="277">
        <f t="shared" si="9"/>
        <v>234.02</v>
      </c>
      <c r="J36" s="128">
        <f t="shared" si="2"/>
        <v>42.71</v>
      </c>
      <c r="K36" s="277">
        <f t="shared" si="11"/>
        <v>424.37</v>
      </c>
      <c r="L36" s="277">
        <f t="shared" si="12"/>
        <v>505.32</v>
      </c>
      <c r="M36" s="128">
        <f t="shared" si="10"/>
        <v>135.62</v>
      </c>
      <c r="V36" s="86"/>
      <c r="W36" s="86"/>
      <c r="X36" s="86"/>
      <c r="Y36" s="86"/>
      <c r="Z36" s="86"/>
      <c r="AA36" s="86"/>
      <c r="AB36" s="86"/>
      <c r="AC36" s="119"/>
      <c r="AD36" s="119"/>
      <c r="AE36" s="86"/>
      <c r="AF36" s="86"/>
    </row>
    <row r="37" spans="2:32">
      <c r="N37" s="273"/>
      <c r="P37" s="282"/>
      <c r="V37" s="86"/>
      <c r="W37" s="86"/>
      <c r="X37" s="86"/>
      <c r="Y37" s="86"/>
      <c r="Z37" s="86"/>
      <c r="AA37" s="86"/>
      <c r="AB37" s="86"/>
      <c r="AC37" s="119"/>
      <c r="AD37" s="119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3"/>
      <c r="O38" s="282"/>
      <c r="P38" s="282"/>
      <c r="V38" s="86"/>
      <c r="W38" s="86"/>
      <c r="X38" s="86"/>
      <c r="Y38" s="86"/>
      <c r="Z38" s="86"/>
      <c r="AA38" s="86"/>
      <c r="AB38" s="86"/>
      <c r="AC38" s="119"/>
      <c r="AD38" s="119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9"/>
      <c r="AD39" s="119"/>
      <c r="AE39" s="86"/>
      <c r="AF39" s="86"/>
    </row>
    <row r="40" spans="2:32">
      <c r="B40" s="85" t="s">
        <v>105</v>
      </c>
      <c r="D40" s="283" t="s">
        <v>183</v>
      </c>
      <c r="V40" s="86"/>
      <c r="W40" s="86"/>
      <c r="X40" s="86"/>
      <c r="Y40" s="86"/>
      <c r="Z40" s="86"/>
      <c r="AA40" s="86"/>
      <c r="AB40" s="86"/>
      <c r="AC40" s="119"/>
      <c r="AD40" s="119"/>
      <c r="AE40" s="86"/>
      <c r="AF40" s="86"/>
    </row>
    <row r="41" spans="2:32">
      <c r="C41" s="284" t="str">
        <f>D10</f>
        <v>(b)</v>
      </c>
      <c r="D41" s="277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9"/>
      <c r="AD41" s="119"/>
      <c r="AE41" s="86"/>
      <c r="AF41" s="86"/>
    </row>
    <row r="42" spans="2:32">
      <c r="C42" s="284" t="str">
        <f>H10</f>
        <v>(f)</v>
      </c>
      <c r="D42" s="277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9"/>
      <c r="AD42" s="119"/>
      <c r="AE42" s="86"/>
      <c r="AF42" s="86"/>
    </row>
    <row r="43" spans="2:32">
      <c r="C43" s="284" t="str">
        <f>I10</f>
        <v>(g)</v>
      </c>
      <c r="D43" s="277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9"/>
      <c r="AD43" s="119"/>
      <c r="AE43" s="86"/>
      <c r="AF43" s="86"/>
    </row>
    <row r="44" spans="2:32">
      <c r="C44" s="284" t="str">
        <f>J10</f>
        <v>(h)</v>
      </c>
      <c r="D44" s="285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9"/>
      <c r="AD44" s="119"/>
      <c r="AE44" s="86"/>
      <c r="AF44" s="86"/>
    </row>
    <row r="45" spans="2:32">
      <c r="C45" s="284" t="str">
        <f>K10</f>
        <v>(i)</v>
      </c>
      <c r="D45" s="277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9"/>
      <c r="AD45" s="119"/>
      <c r="AE45" s="86"/>
      <c r="AF45" s="86"/>
    </row>
    <row r="46" spans="2:32">
      <c r="C46" s="284" t="str">
        <f>L10</f>
        <v>(i)</v>
      </c>
      <c r="D46" s="277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9"/>
      <c r="AD46" s="119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9"/>
      <c r="AD47" s="119"/>
      <c r="AE47" s="86"/>
      <c r="AF47" s="86"/>
    </row>
    <row r="48" spans="2:32" ht="13.5" thickBot="1">
      <c r="C48" s="42" t="s">
        <v>184</v>
      </c>
      <c r="D48" s="286"/>
      <c r="E48" s="286"/>
      <c r="F48" s="286"/>
      <c r="G48" s="286"/>
      <c r="H48" s="286"/>
      <c r="I48" s="286"/>
      <c r="J48" s="286"/>
      <c r="K48" s="287"/>
      <c r="L48" s="288"/>
    </row>
    <row r="49" spans="2:22" ht="5.25" customHeight="1"/>
    <row r="50" spans="2:22" ht="5.25" customHeight="1"/>
    <row r="51" spans="2:22">
      <c r="C51" s="289" t="s">
        <v>106</v>
      </c>
      <c r="D51" s="290"/>
      <c r="E51" s="289"/>
      <c r="F51" s="289"/>
      <c r="G51" s="291" t="s">
        <v>32</v>
      </c>
      <c r="H51" s="291" t="s">
        <v>107</v>
      </c>
      <c r="I51" s="291" t="s">
        <v>108</v>
      </c>
      <c r="J51" s="291" t="s">
        <v>33</v>
      </c>
    </row>
    <row r="52" spans="2:22">
      <c r="C52" s="281" t="s">
        <v>109</v>
      </c>
      <c r="G52" s="292">
        <f>C63</f>
        <v>206.11</v>
      </c>
      <c r="H52" s="41">
        <f>G52/G54</f>
        <v>1</v>
      </c>
      <c r="I52" s="293">
        <f>C64</f>
        <v>1319.927786794867</v>
      </c>
      <c r="J52" s="294">
        <f>C67</f>
        <v>0</v>
      </c>
      <c r="Q52" s="117"/>
      <c r="R52" s="117"/>
      <c r="S52" s="117"/>
      <c r="T52" s="117"/>
      <c r="U52" s="117"/>
      <c r="V52" s="117"/>
    </row>
    <row r="53" spans="2:22">
      <c r="C53" s="281"/>
      <c r="G53" s="295">
        <f>D63</f>
        <v>0</v>
      </c>
      <c r="H53" s="296">
        <f>1-H52</f>
        <v>0</v>
      </c>
      <c r="I53" s="297">
        <f>D64</f>
        <v>0</v>
      </c>
      <c r="J53" s="298">
        <f>D67</f>
        <v>0</v>
      </c>
      <c r="Q53" s="370"/>
      <c r="R53" s="117"/>
      <c r="S53" s="117"/>
      <c r="T53" s="117"/>
      <c r="U53" s="117"/>
      <c r="V53" s="117"/>
    </row>
    <row r="54" spans="2:22">
      <c r="C54" s="281" t="s">
        <v>110</v>
      </c>
      <c r="G54" s="292">
        <f>G52+G53</f>
        <v>206.11</v>
      </c>
      <c r="H54" s="41">
        <f>H52+H53</f>
        <v>1</v>
      </c>
      <c r="I54" s="293">
        <f>ROUND(((G52*I52)+(G53*I53))/G54,0)</f>
        <v>1320</v>
      </c>
      <c r="J54" s="294">
        <f>ROUND(((G52*J52)+(G53*J53))/G54,2)</f>
        <v>0</v>
      </c>
      <c r="Q54" s="370"/>
      <c r="R54" s="117"/>
      <c r="S54" s="117"/>
      <c r="T54" s="119"/>
      <c r="U54" s="117"/>
      <c r="V54" s="117"/>
    </row>
    <row r="55" spans="2:22">
      <c r="C55" s="281"/>
      <c r="G55" s="292"/>
      <c r="H55" s="41"/>
      <c r="I55" s="299"/>
      <c r="J55" s="300"/>
      <c r="Q55" s="117"/>
      <c r="R55" s="117"/>
      <c r="S55" s="327"/>
      <c r="T55" s="117"/>
      <c r="U55" s="117"/>
      <c r="V55" s="117"/>
    </row>
    <row r="56" spans="2:22">
      <c r="C56" s="301" t="s">
        <v>106</v>
      </c>
      <c r="D56" s="290"/>
      <c r="E56" s="289"/>
      <c r="F56" s="289"/>
      <c r="G56" s="291" t="s">
        <v>32</v>
      </c>
      <c r="H56" s="291" t="s">
        <v>34</v>
      </c>
      <c r="I56" s="291" t="s">
        <v>111</v>
      </c>
      <c r="J56" s="291" t="s">
        <v>107</v>
      </c>
      <c r="K56" s="291" t="s">
        <v>112</v>
      </c>
      <c r="L56" s="291" t="s">
        <v>113</v>
      </c>
    </row>
    <row r="57" spans="2:22">
      <c r="C57" s="302" t="str">
        <f>C52</f>
        <v>SCCT Dry "F" - Turbine</v>
      </c>
      <c r="D57" s="303"/>
      <c r="E57" s="303"/>
      <c r="F57" s="303"/>
      <c r="G57" s="85">
        <f>C63</f>
        <v>206.11</v>
      </c>
      <c r="H57" s="41">
        <f>C71</f>
        <v>0.33</v>
      </c>
      <c r="I57" s="304">
        <f>H57*G57</f>
        <v>68.016300000000001</v>
      </c>
      <c r="J57" s="41">
        <f>I57/I59</f>
        <v>1</v>
      </c>
      <c r="K57" s="300">
        <f>C68</f>
        <v>21.294</v>
      </c>
      <c r="L57" s="305">
        <f>C69</f>
        <v>9936</v>
      </c>
    </row>
    <row r="58" spans="2:22">
      <c r="C58" s="302">
        <f>C53</f>
        <v>0</v>
      </c>
      <c r="D58" s="303"/>
      <c r="E58" s="303"/>
      <c r="F58" s="303"/>
      <c r="G58" s="306">
        <f>D63</f>
        <v>0</v>
      </c>
      <c r="H58" s="296">
        <f>D71</f>
        <v>0</v>
      </c>
      <c r="I58" s="307">
        <f>H58*G58</f>
        <v>0</v>
      </c>
      <c r="J58" s="296">
        <f>1-J57</f>
        <v>0</v>
      </c>
      <c r="K58" s="308">
        <f>D68</f>
        <v>0</v>
      </c>
      <c r="L58" s="309">
        <f>D69</f>
        <v>0</v>
      </c>
    </row>
    <row r="59" spans="2:22">
      <c r="C59" s="281" t="s">
        <v>114</v>
      </c>
      <c r="G59" s="85">
        <f>G57+G58</f>
        <v>206.11</v>
      </c>
      <c r="H59" s="310">
        <f>ROUND(I59/G59,3)</f>
        <v>0.33</v>
      </c>
      <c r="I59" s="304">
        <f>SUM(I57:I58)</f>
        <v>68.016300000000001</v>
      </c>
      <c r="J59" s="41">
        <f>J57+J58</f>
        <v>1</v>
      </c>
      <c r="K59" s="300">
        <f>ROUND(($J57*K57)+($J58*K58),2)</f>
        <v>21.29</v>
      </c>
      <c r="L59" s="311">
        <f>ROUND(($J57*L57)+($J58*L58),0)</f>
        <v>9936</v>
      </c>
    </row>
    <row r="60" spans="2:22">
      <c r="H60" s="310"/>
      <c r="J60" s="41"/>
      <c r="K60" s="300"/>
      <c r="L60" s="312" t="s">
        <v>115</v>
      </c>
    </row>
    <row r="62" spans="2:22">
      <c r="C62" s="291" t="s">
        <v>116</v>
      </c>
      <c r="D62" s="291" t="s">
        <v>117</v>
      </c>
      <c r="E62" s="365"/>
      <c r="F62" s="313" t="str">
        <f>D40</f>
        <v xml:space="preserve">Plant Costs  - 2019 IRP - Table 7.1 &amp; 7.2 </v>
      </c>
      <c r="G62" s="314"/>
      <c r="H62" s="314"/>
      <c r="I62" s="314"/>
      <c r="J62" s="314"/>
      <c r="K62" s="314"/>
      <c r="L62" s="315"/>
    </row>
    <row r="63" spans="2:22">
      <c r="C63" s="85">
        <v>206.11</v>
      </c>
      <c r="F63" s="85" t="s">
        <v>118</v>
      </c>
      <c r="I63" s="316"/>
    </row>
    <row r="64" spans="2:22">
      <c r="B64" s="85" t="s">
        <v>182</v>
      </c>
      <c r="C64" s="299">
        <f>272050.31613629/C63</f>
        <v>1319.927786794867</v>
      </c>
      <c r="D64" s="299"/>
      <c r="F64" s="85" t="s">
        <v>119</v>
      </c>
    </row>
    <row r="65" spans="2:30">
      <c r="C65" s="300">
        <v>0</v>
      </c>
      <c r="D65" s="300"/>
      <c r="F65" s="85" t="s">
        <v>120</v>
      </c>
    </row>
    <row r="66" spans="2:30">
      <c r="C66" s="317">
        <v>0</v>
      </c>
      <c r="D66" s="317"/>
      <c r="F66" s="85" t="s">
        <v>121</v>
      </c>
    </row>
    <row r="67" spans="2:30">
      <c r="B67" s="85" t="s">
        <v>160</v>
      </c>
      <c r="C67" s="300">
        <f>C65+C66</f>
        <v>0</v>
      </c>
      <c r="D67" s="300"/>
      <c r="F67" s="85" t="s">
        <v>122</v>
      </c>
    </row>
    <row r="68" spans="2:30">
      <c r="B68" s="85" t="s">
        <v>160</v>
      </c>
      <c r="C68" s="420">
        <v>21.294</v>
      </c>
      <c r="D68" s="300"/>
      <c r="F68" s="85" t="s">
        <v>123</v>
      </c>
    </row>
    <row r="69" spans="2:30">
      <c r="C69" s="311">
        <v>9936</v>
      </c>
      <c r="D69" s="311"/>
      <c r="F69" s="85" t="s">
        <v>124</v>
      </c>
    </row>
    <row r="70" spans="2:30">
      <c r="C70" s="318">
        <v>7.4974140485106158E-2</v>
      </c>
      <c r="D70" s="318"/>
      <c r="F70" s="85" t="s">
        <v>36</v>
      </c>
      <c r="AC70" s="119"/>
      <c r="AD70" s="119"/>
    </row>
    <row r="71" spans="2:30">
      <c r="C71" s="319">
        <v>0.33</v>
      </c>
      <c r="D71" s="319"/>
      <c r="F71" s="85" t="s">
        <v>37</v>
      </c>
      <c r="AC71" s="119"/>
      <c r="AD71" s="119"/>
    </row>
    <row r="72" spans="2:30">
      <c r="D72" s="41">
        <f>ROUND(I59/G59,3)</f>
        <v>0.33</v>
      </c>
      <c r="F72" s="85" t="s">
        <v>125</v>
      </c>
      <c r="AC72" s="119"/>
      <c r="AD72" s="119"/>
    </row>
    <row r="73" spans="2:30">
      <c r="B73" s="344" t="str">
        <f>LEFT(RIGHT(INDEX('Table 3 TransCost'!$39:$39,1,MATCH(E73,'Table 3 TransCost'!$4:$4,0)),6),5)</f>
        <v>2031$</v>
      </c>
      <c r="C73" s="152">
        <f>INDEX('Table 3 TransCost'!$39:$39,1,MATCH(E73,'Table 3 TransCost'!$4:$4,0)+2)</f>
        <v>12.45513744317196</v>
      </c>
      <c r="D73" s="117" t="s">
        <v>153</v>
      </c>
      <c r="E73" s="117" t="s">
        <v>146</v>
      </c>
      <c r="F73" s="117"/>
      <c r="AC73" s="119"/>
      <c r="AD73" s="119"/>
    </row>
    <row r="74" spans="2:30" ht="13.5" thickBot="1">
      <c r="B74" s="49"/>
      <c r="C74" s="421">
        <v>26.724569206547603</v>
      </c>
      <c r="D74" s="49"/>
      <c r="F74" s="85" t="s">
        <v>185</v>
      </c>
      <c r="G74" s="422"/>
      <c r="AC74" s="119"/>
      <c r="AD74" s="119"/>
    </row>
    <row r="76" spans="2:30" s="86" customFormat="1">
      <c r="O76" s="85"/>
      <c r="P76" s="85"/>
      <c r="AC76" s="117"/>
      <c r="AD76" s="117"/>
    </row>
    <row r="77" spans="2:30" s="86" customFormat="1">
      <c r="O77" s="85"/>
      <c r="P77" s="85"/>
      <c r="AC77" s="117"/>
      <c r="AD77" s="117"/>
    </row>
    <row r="78" spans="2:30">
      <c r="D78" s="320"/>
    </row>
    <row r="79" spans="2:30">
      <c r="D79" s="320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topLeftCell="A2" zoomScale="80" zoomScaleNormal="80" workbookViewId="0">
      <selection activeCell="A13" sqref="A1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7"/>
    <col min="31" max="16384" width="9.33203125" style="85"/>
  </cols>
  <sheetData>
    <row r="1" spans="2:32" ht="15.75" hidden="1">
      <c r="B1" s="1" t="s">
        <v>35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32" ht="15.75">
      <c r="B2" s="1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2:32" ht="15.75">
      <c r="B3" s="1" t="s">
        <v>56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V3" s="117"/>
      <c r="W3" s="117"/>
      <c r="X3" s="117"/>
      <c r="Y3" s="117"/>
      <c r="Z3" s="117"/>
      <c r="AA3" s="117"/>
      <c r="AB3" s="117"/>
    </row>
    <row r="4" spans="2:32" ht="15.75">
      <c r="B4" s="1" t="s">
        <v>223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V4" s="117"/>
      <c r="W4" s="117"/>
      <c r="X4" s="117"/>
      <c r="Y4" s="117"/>
      <c r="Z4" s="117"/>
      <c r="AA4" s="117"/>
      <c r="AB4" s="117"/>
    </row>
    <row r="5" spans="2:32" ht="15.75">
      <c r="B5" s="1" t="str">
        <f>C48</f>
        <v>Non Emitting - 196 MW- East Side Resource (5,050')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32" ht="15.75">
      <c r="B6" s="1"/>
      <c r="C6" s="267"/>
      <c r="D6" s="267"/>
      <c r="E6" s="267"/>
      <c r="F6" s="267"/>
      <c r="G6" s="267"/>
      <c r="H6" s="267"/>
      <c r="I6" s="267"/>
      <c r="J6" s="267"/>
      <c r="L6" s="268"/>
    </row>
    <row r="7" spans="2:32">
      <c r="B7" s="269"/>
      <c r="C7" s="269"/>
      <c r="D7" s="269"/>
      <c r="E7" s="269"/>
      <c r="F7" s="269"/>
      <c r="G7" s="269"/>
      <c r="H7" s="269"/>
      <c r="I7" s="269"/>
      <c r="J7" s="267"/>
      <c r="K7" s="86"/>
      <c r="L7" s="86"/>
      <c r="M7" s="86"/>
      <c r="N7" s="86"/>
      <c r="O7" s="86"/>
      <c r="V7" s="119"/>
      <c r="W7" s="119"/>
      <c r="X7" s="119"/>
      <c r="Y7" s="119"/>
      <c r="Z7" s="119"/>
      <c r="AA7" s="119"/>
      <c r="AB7" s="119"/>
      <c r="AC7" s="119"/>
      <c r="AD7" s="119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0" t="s">
        <v>21</v>
      </c>
      <c r="K8" s="270" t="s">
        <v>103</v>
      </c>
      <c r="L8" s="17" t="s">
        <v>52</v>
      </c>
      <c r="M8" s="121" t="s">
        <v>154</v>
      </c>
      <c r="V8" s="119"/>
      <c r="W8" s="119"/>
      <c r="X8" s="119"/>
      <c r="Y8" s="119"/>
      <c r="Z8" s="119"/>
      <c r="AA8" s="119"/>
      <c r="AB8" s="119"/>
      <c r="AC8" s="119"/>
      <c r="AD8" s="119"/>
      <c r="AE8" s="86"/>
      <c r="AF8" s="86"/>
    </row>
    <row r="9" spans="2:32" ht="48" customHeight="1">
      <c r="B9" s="271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4" t="s">
        <v>9</v>
      </c>
      <c r="V9" s="119"/>
      <c r="W9" s="119"/>
      <c r="X9" s="119"/>
      <c r="Y9" s="119"/>
      <c r="Z9" s="119"/>
      <c r="AA9" s="346"/>
      <c r="AB9" s="346"/>
      <c r="AC9" s="119"/>
      <c r="AD9" s="119"/>
      <c r="AE9" s="86"/>
      <c r="AF9" s="86"/>
    </row>
    <row r="10" spans="2:32">
      <c r="C10" s="272" t="s">
        <v>1</v>
      </c>
      <c r="D10" s="272" t="s">
        <v>2</v>
      </c>
      <c r="E10" s="272" t="s">
        <v>3</v>
      </c>
      <c r="F10" s="272" t="s">
        <v>4</v>
      </c>
      <c r="G10" s="272" t="s">
        <v>5</v>
      </c>
      <c r="H10" s="272" t="s">
        <v>7</v>
      </c>
      <c r="I10" s="272" t="s">
        <v>22</v>
      </c>
      <c r="J10" s="272" t="s">
        <v>23</v>
      </c>
      <c r="K10" s="272" t="s">
        <v>24</v>
      </c>
      <c r="L10" s="125" t="s">
        <v>24</v>
      </c>
      <c r="M10" s="125" t="s">
        <v>187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86"/>
      <c r="AF10" s="86"/>
    </row>
    <row r="11" spans="2:32" ht="6" customHeight="1">
      <c r="M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86"/>
      <c r="AF11" s="86"/>
    </row>
    <row r="12" spans="2:32" ht="15.75">
      <c r="B12" s="43" t="str">
        <f>C48</f>
        <v>Non Emitting - 196 MW- East Side Resource (5,050')</v>
      </c>
      <c r="C12" s="86"/>
      <c r="E12" s="86"/>
      <c r="F12" s="86"/>
      <c r="G12" s="86"/>
      <c r="H12" s="86"/>
      <c r="I12" s="86"/>
      <c r="J12" s="269"/>
      <c r="K12" s="269"/>
      <c r="L12" s="269"/>
      <c r="M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86"/>
      <c r="AF12" s="86"/>
    </row>
    <row r="13" spans="2:32" ht="18.95" customHeight="1">
      <c r="B13" s="273"/>
      <c r="C13" s="274"/>
      <c r="D13" s="275"/>
      <c r="E13" s="276"/>
      <c r="F13" s="276"/>
      <c r="G13" s="276"/>
      <c r="H13" s="277"/>
      <c r="I13" s="277"/>
      <c r="J13" s="277"/>
      <c r="K13" s="277"/>
      <c r="L13" s="277"/>
      <c r="M13" s="128"/>
      <c r="V13" s="162"/>
      <c r="W13" s="158"/>
      <c r="X13" s="158"/>
      <c r="Y13" s="158"/>
      <c r="Z13" s="119"/>
      <c r="AA13" s="158"/>
      <c r="AB13" s="158"/>
      <c r="AC13" s="119"/>
      <c r="AD13" s="119"/>
      <c r="AE13" s="86"/>
      <c r="AF13" s="86"/>
    </row>
    <row r="14" spans="2:32">
      <c r="B14" s="273">
        <v>2020</v>
      </c>
      <c r="C14" s="278"/>
      <c r="D14" s="128"/>
      <c r="E14" s="128"/>
      <c r="F14" s="128"/>
      <c r="G14" s="423">
        <f>$C$68</f>
        <v>22.439</v>
      </c>
      <c r="H14" s="277"/>
      <c r="I14" s="277"/>
      <c r="J14" s="419">
        <f>$C$74</f>
        <v>26.724569206547603</v>
      </c>
      <c r="K14" s="277"/>
      <c r="L14" s="277"/>
      <c r="M14" s="128"/>
      <c r="N14" s="41"/>
      <c r="P14" s="361"/>
      <c r="V14" s="162"/>
      <c r="W14" s="119"/>
      <c r="X14" s="158"/>
      <c r="Y14" s="347"/>
      <c r="Z14" s="119"/>
      <c r="AA14" s="158"/>
      <c r="AB14" s="158"/>
      <c r="AC14" s="119"/>
      <c r="AD14" s="119"/>
      <c r="AE14" s="86"/>
      <c r="AF14" s="86"/>
    </row>
    <row r="15" spans="2:32">
      <c r="B15" s="273">
        <f t="shared" ref="B15:B36" si="0">B14+1</f>
        <v>2021</v>
      </c>
      <c r="C15" s="278"/>
      <c r="D15" s="128"/>
      <c r="E15" s="128"/>
      <c r="F15" s="128"/>
      <c r="G15" s="128">
        <f t="shared" ref="G15:G36" si="1">ROUND(G14*(1+IRP21_Infl_Rate),2)</f>
        <v>22.92</v>
      </c>
      <c r="H15" s="277"/>
      <c r="I15" s="277"/>
      <c r="J15" s="128">
        <f t="shared" ref="J15:J36" si="2">ROUND(J14*(1+IRP21_Infl_Rate),2)</f>
        <v>27.3</v>
      </c>
      <c r="K15" s="277"/>
      <c r="L15" s="277"/>
      <c r="M15" s="128"/>
      <c r="N15" s="41"/>
      <c r="P15" s="361"/>
      <c r="Q15" s="361"/>
      <c r="V15" s="162"/>
      <c r="W15" s="158"/>
      <c r="X15" s="158"/>
      <c r="Y15" s="347"/>
      <c r="Z15" s="158"/>
      <c r="AA15" s="158"/>
      <c r="AB15" s="158"/>
      <c r="AC15" s="119"/>
      <c r="AD15" s="119"/>
      <c r="AE15" s="86"/>
      <c r="AF15" s="86"/>
    </row>
    <row r="16" spans="2:32">
      <c r="B16" s="273">
        <f t="shared" si="0"/>
        <v>2022</v>
      </c>
      <c r="C16" s="278"/>
      <c r="D16" s="128"/>
      <c r="E16" s="128"/>
      <c r="F16" s="128"/>
      <c r="G16" s="128">
        <f t="shared" si="1"/>
        <v>23.41</v>
      </c>
      <c r="H16" s="277"/>
      <c r="I16" s="277"/>
      <c r="J16" s="128">
        <f t="shared" si="2"/>
        <v>27.89</v>
      </c>
      <c r="K16" s="277"/>
      <c r="L16" s="277"/>
      <c r="M16" s="128"/>
      <c r="N16" s="41"/>
      <c r="P16" s="361"/>
      <c r="Q16" s="361"/>
      <c r="V16" s="162"/>
      <c r="W16" s="158"/>
      <c r="X16" s="158"/>
      <c r="Y16" s="347"/>
      <c r="Z16" s="158"/>
      <c r="AA16" s="158"/>
      <c r="AB16" s="158"/>
      <c r="AC16" s="119"/>
      <c r="AD16" s="119"/>
      <c r="AE16" s="86"/>
      <c r="AF16" s="86"/>
    </row>
    <row r="17" spans="2:32">
      <c r="B17" s="273">
        <f t="shared" si="0"/>
        <v>2023</v>
      </c>
      <c r="C17" s="278"/>
      <c r="D17" s="128"/>
      <c r="E17" s="128"/>
      <c r="F17" s="128"/>
      <c r="G17" s="128">
        <f t="shared" si="1"/>
        <v>23.91</v>
      </c>
      <c r="H17" s="277"/>
      <c r="I17" s="277"/>
      <c r="J17" s="128">
        <f t="shared" si="2"/>
        <v>28.49</v>
      </c>
      <c r="K17" s="277"/>
      <c r="L17" s="277"/>
      <c r="M17" s="128"/>
      <c r="N17" s="41"/>
      <c r="P17" s="361"/>
      <c r="Q17" s="361"/>
      <c r="V17" s="162"/>
      <c r="W17" s="158"/>
      <c r="X17" s="158"/>
      <c r="Y17" s="347"/>
      <c r="Z17" s="158"/>
      <c r="AA17" s="158"/>
      <c r="AB17" s="158"/>
      <c r="AC17" s="119"/>
      <c r="AD17" s="119"/>
      <c r="AE17" s="86"/>
      <c r="AF17" s="86"/>
    </row>
    <row r="18" spans="2:32">
      <c r="B18" s="273">
        <f t="shared" si="0"/>
        <v>2024</v>
      </c>
      <c r="C18" s="278"/>
      <c r="D18" s="128"/>
      <c r="E18" s="128"/>
      <c r="F18" s="128"/>
      <c r="G18" s="128">
        <f t="shared" si="1"/>
        <v>24.43</v>
      </c>
      <c r="H18" s="277"/>
      <c r="I18" s="277"/>
      <c r="J18" s="128">
        <f t="shared" si="2"/>
        <v>29.1</v>
      </c>
      <c r="K18" s="277"/>
      <c r="L18" s="277"/>
      <c r="M18" s="128"/>
      <c r="N18" s="41"/>
      <c r="P18" s="361"/>
      <c r="Q18" s="361"/>
      <c r="V18" s="162"/>
      <c r="W18" s="158"/>
      <c r="X18" s="158"/>
      <c r="Y18" s="347"/>
      <c r="Z18" s="158"/>
      <c r="AA18" s="158"/>
      <c r="AB18" s="158"/>
      <c r="AC18" s="119"/>
      <c r="AD18" s="119"/>
      <c r="AE18" s="86"/>
      <c r="AF18" s="86"/>
    </row>
    <row r="19" spans="2:32">
      <c r="B19" s="273">
        <f t="shared" si="0"/>
        <v>2025</v>
      </c>
      <c r="C19" s="278"/>
      <c r="D19" s="128"/>
      <c r="E19" s="128"/>
      <c r="F19" s="128"/>
      <c r="G19" s="128">
        <f t="shared" si="1"/>
        <v>24.96</v>
      </c>
      <c r="H19" s="277"/>
      <c r="I19" s="277"/>
      <c r="J19" s="128">
        <f t="shared" si="2"/>
        <v>29.73</v>
      </c>
      <c r="K19" s="277"/>
      <c r="L19" s="277"/>
      <c r="M19" s="128"/>
      <c r="N19" s="41"/>
      <c r="P19" s="361"/>
      <c r="Q19" s="361"/>
      <c r="V19" s="162"/>
      <c r="W19" s="158"/>
      <c r="X19" s="158"/>
      <c r="Y19" s="347"/>
      <c r="Z19" s="158"/>
      <c r="AA19" s="158"/>
      <c r="AB19" s="158"/>
      <c r="AC19" s="119"/>
      <c r="AD19" s="119"/>
      <c r="AE19" s="86"/>
      <c r="AF19" s="86"/>
    </row>
    <row r="20" spans="2:32">
      <c r="B20" s="273">
        <f t="shared" si="0"/>
        <v>2026</v>
      </c>
      <c r="C20" s="278"/>
      <c r="D20" s="275"/>
      <c r="E20" s="128"/>
      <c r="F20" s="128"/>
      <c r="G20" s="128">
        <f t="shared" si="1"/>
        <v>25.5</v>
      </c>
      <c r="H20" s="277"/>
      <c r="I20" s="277"/>
      <c r="J20" s="128">
        <f t="shared" si="2"/>
        <v>30.37</v>
      </c>
      <c r="K20" s="277"/>
      <c r="L20" s="277"/>
      <c r="M20" s="128"/>
      <c r="N20" s="41"/>
      <c r="P20" s="361"/>
      <c r="Q20" s="361"/>
      <c r="V20" s="162"/>
      <c r="W20" s="158"/>
      <c r="X20" s="158"/>
      <c r="Y20" s="158"/>
      <c r="Z20" s="158"/>
      <c r="AA20" s="158"/>
      <c r="AB20" s="158"/>
      <c r="AC20" s="119"/>
      <c r="AD20" s="119"/>
      <c r="AE20" s="86"/>
      <c r="AF20" s="86"/>
    </row>
    <row r="21" spans="2:32">
      <c r="B21" s="273">
        <f t="shared" si="0"/>
        <v>2027</v>
      </c>
      <c r="C21" s="278"/>
      <c r="D21" s="128"/>
      <c r="E21" s="128"/>
      <c r="F21" s="128"/>
      <c r="G21" s="128">
        <f t="shared" si="1"/>
        <v>26.05</v>
      </c>
      <c r="H21" s="277"/>
      <c r="I21" s="277"/>
      <c r="J21" s="128">
        <f t="shared" si="2"/>
        <v>31.02</v>
      </c>
      <c r="K21" s="277"/>
      <c r="L21" s="277"/>
      <c r="M21" s="128"/>
      <c r="N21" s="41"/>
      <c r="P21" s="361"/>
      <c r="Q21" s="361"/>
      <c r="V21" s="348"/>
      <c r="W21" s="158"/>
      <c r="X21" s="158"/>
      <c r="Y21" s="158"/>
      <c r="Z21" s="158"/>
      <c r="AA21" s="158"/>
      <c r="AB21" s="158"/>
      <c r="AC21" s="119"/>
      <c r="AD21" s="119"/>
      <c r="AE21" s="86"/>
      <c r="AF21" s="86"/>
    </row>
    <row r="22" spans="2:32">
      <c r="B22" s="273">
        <f t="shared" si="0"/>
        <v>2028</v>
      </c>
      <c r="C22" s="278"/>
      <c r="D22" s="128"/>
      <c r="E22" s="128"/>
      <c r="F22" s="128"/>
      <c r="G22" s="128">
        <f t="shared" si="1"/>
        <v>26.61</v>
      </c>
      <c r="H22" s="277"/>
      <c r="I22" s="277"/>
      <c r="J22" s="128">
        <f t="shared" si="2"/>
        <v>31.69</v>
      </c>
      <c r="K22" s="277"/>
      <c r="L22" s="277"/>
      <c r="M22" s="128"/>
      <c r="N22" s="41"/>
      <c r="P22" s="361"/>
      <c r="Q22" s="361"/>
      <c r="V22" s="162"/>
      <c r="W22" s="158"/>
      <c r="X22" s="158"/>
      <c r="Y22" s="158"/>
      <c r="Z22" s="158"/>
      <c r="AA22" s="158"/>
      <c r="AB22" s="158"/>
      <c r="AC22" s="119"/>
      <c r="AD22" s="119"/>
      <c r="AE22" s="86"/>
      <c r="AF22" s="86"/>
    </row>
    <row r="23" spans="2:32">
      <c r="B23" s="273">
        <f t="shared" si="0"/>
        <v>2029</v>
      </c>
      <c r="C23" s="278"/>
      <c r="D23" s="128"/>
      <c r="E23" s="128"/>
      <c r="F23" s="128"/>
      <c r="G23" s="128">
        <f t="shared" si="1"/>
        <v>27.18</v>
      </c>
      <c r="H23" s="277"/>
      <c r="I23" s="277"/>
      <c r="J23" s="128">
        <f t="shared" si="2"/>
        <v>32.369999999999997</v>
      </c>
      <c r="K23" s="277"/>
      <c r="L23" s="277"/>
      <c r="M23" s="128"/>
      <c r="N23" s="41"/>
      <c r="P23" s="361"/>
      <c r="Q23" s="361"/>
      <c r="V23" s="162"/>
      <c r="W23" s="158"/>
      <c r="X23" s="158"/>
      <c r="Y23" s="158"/>
      <c r="Z23" s="158"/>
      <c r="AA23" s="158"/>
      <c r="AB23" s="158"/>
      <c r="AC23" s="119"/>
      <c r="AD23" s="119"/>
      <c r="AE23" s="86"/>
      <c r="AF23" s="86"/>
    </row>
    <row r="24" spans="2:32" s="281" customFormat="1">
      <c r="B24" s="279">
        <f t="shared" si="0"/>
        <v>2030</v>
      </c>
      <c r="C24" s="278"/>
      <c r="D24" s="128"/>
      <c r="E24" s="128"/>
      <c r="F24" s="128"/>
      <c r="G24" s="128">
        <f t="shared" si="1"/>
        <v>27.77</v>
      </c>
      <c r="H24" s="277"/>
      <c r="I24" s="277"/>
      <c r="J24" s="128">
        <f t="shared" si="2"/>
        <v>33.07</v>
      </c>
      <c r="K24" s="277"/>
      <c r="L24" s="277"/>
      <c r="M24" s="128"/>
      <c r="N24" s="50"/>
      <c r="O24" s="85"/>
      <c r="P24" s="361"/>
      <c r="Q24" s="361"/>
      <c r="V24" s="162"/>
      <c r="W24" s="158"/>
      <c r="X24" s="158"/>
      <c r="Y24" s="158"/>
      <c r="Z24" s="158"/>
      <c r="AA24" s="158"/>
      <c r="AB24" s="158"/>
      <c r="AC24" s="119"/>
      <c r="AD24" s="119"/>
      <c r="AE24" s="349"/>
      <c r="AF24" s="349"/>
    </row>
    <row r="25" spans="2:32" s="281" customFormat="1">
      <c r="B25" s="279">
        <f t="shared" si="0"/>
        <v>2031</v>
      </c>
      <c r="C25" s="278"/>
      <c r="D25" s="128"/>
      <c r="E25" s="183">
        <f>$C$73</f>
        <v>12.45513744317196</v>
      </c>
      <c r="F25" s="128"/>
      <c r="G25" s="128">
        <f t="shared" si="1"/>
        <v>28.37</v>
      </c>
      <c r="H25" s="277"/>
      <c r="I25" s="277"/>
      <c r="J25" s="128">
        <f t="shared" si="2"/>
        <v>33.78</v>
      </c>
      <c r="K25" s="277"/>
      <c r="L25" s="277"/>
      <c r="M25" s="128"/>
      <c r="N25" s="50"/>
      <c r="O25" s="85"/>
      <c r="P25" s="361"/>
      <c r="Q25" s="361"/>
      <c r="V25" s="162"/>
      <c r="W25" s="158"/>
      <c r="X25" s="158"/>
      <c r="Y25" s="158"/>
      <c r="Z25" s="158"/>
      <c r="AA25" s="158"/>
      <c r="AB25" s="158"/>
      <c r="AC25" s="119"/>
      <c r="AD25" s="119"/>
      <c r="AE25" s="349"/>
      <c r="AF25" s="349"/>
    </row>
    <row r="26" spans="2:32" s="281" customFormat="1">
      <c r="B26" s="279">
        <f t="shared" si="0"/>
        <v>2032</v>
      </c>
      <c r="C26" s="278"/>
      <c r="D26" s="128"/>
      <c r="E26" s="128">
        <f t="shared" ref="E26:E36" si="3">ROUND(E25*(1+IRP21_Infl_Rate),2)</f>
        <v>12.72</v>
      </c>
      <c r="F26" s="128"/>
      <c r="G26" s="128">
        <f t="shared" si="1"/>
        <v>28.98</v>
      </c>
      <c r="H26" s="277"/>
      <c r="I26" s="277"/>
      <c r="J26" s="128">
        <f t="shared" si="2"/>
        <v>34.51</v>
      </c>
      <c r="K26" s="277"/>
      <c r="L26" s="277"/>
      <c r="M26" s="128"/>
      <c r="N26" s="50"/>
      <c r="O26" s="85"/>
      <c r="P26" s="361"/>
      <c r="Q26" s="361"/>
      <c r="V26" s="162"/>
      <c r="W26" s="158"/>
      <c r="X26" s="158"/>
      <c r="Y26" s="158"/>
      <c r="Z26" s="158"/>
      <c r="AA26" s="158"/>
      <c r="AB26" s="158"/>
      <c r="AC26" s="119"/>
      <c r="AD26" s="119"/>
      <c r="AE26" s="349"/>
      <c r="AF26" s="349"/>
    </row>
    <row r="27" spans="2:32" s="281" customFormat="1">
      <c r="B27" s="279">
        <f t="shared" si="0"/>
        <v>2033</v>
      </c>
      <c r="C27" s="361">
        <f>$C$64</f>
        <v>1340.892350999477</v>
      </c>
      <c r="D27" s="275">
        <f>ROUND(C27*$C$70,2)</f>
        <v>100.53</v>
      </c>
      <c r="E27" s="128">
        <f t="shared" si="3"/>
        <v>12.99</v>
      </c>
      <c r="F27" s="128">
        <v>0</v>
      </c>
      <c r="G27" s="128">
        <f t="shared" si="1"/>
        <v>29.6</v>
      </c>
      <c r="H27" s="277">
        <f t="shared" ref="H27:H36" si="4">ROUND(G27*(8.76*$H$59)+F27,2)</f>
        <v>85.57</v>
      </c>
      <c r="I27" s="277">
        <f>ROUND(D27+E27+H27,2)</f>
        <v>199.09</v>
      </c>
      <c r="J27" s="128">
        <f t="shared" si="2"/>
        <v>35.25</v>
      </c>
      <c r="K27" s="277">
        <f t="shared" ref="K27:K36" si="5">ROUND($L$59*J27/1000,2)</f>
        <v>350.24</v>
      </c>
      <c r="L27" s="277">
        <f t="shared" ref="L27:L36" si="6">ROUND(I27*1000/8760/$H$59+K27,2)</f>
        <v>419.11</v>
      </c>
      <c r="M27" s="128">
        <f>(D27+E27+F27)</f>
        <v>113.52</v>
      </c>
      <c r="N27" s="50"/>
      <c r="O27" s="85"/>
      <c r="P27" s="361"/>
      <c r="Q27" s="361"/>
      <c r="V27" s="162"/>
      <c r="W27" s="158"/>
      <c r="X27" s="158"/>
      <c r="Y27" s="158"/>
      <c r="Z27" s="158"/>
      <c r="AA27" s="158"/>
      <c r="AB27" s="158"/>
      <c r="AC27" s="119"/>
      <c r="AD27" s="119"/>
      <c r="AE27" s="349"/>
      <c r="AF27" s="349"/>
    </row>
    <row r="28" spans="2:32" s="281" customFormat="1">
      <c r="B28" s="279">
        <f t="shared" si="0"/>
        <v>2034</v>
      </c>
      <c r="C28" s="280"/>
      <c r="D28" s="128">
        <f t="shared" ref="D28:D36" si="7">ROUND(D27*(1+IRP21_Infl_Rate),2)</f>
        <v>102.7</v>
      </c>
      <c r="E28" s="128">
        <f t="shared" si="3"/>
        <v>13.27</v>
      </c>
      <c r="F28" s="128">
        <f t="shared" ref="F28:F36" si="8">ROUND(F27*(1+IRP21_Infl_Rate),2)</f>
        <v>0</v>
      </c>
      <c r="G28" s="128">
        <f t="shared" si="1"/>
        <v>30.24</v>
      </c>
      <c r="H28" s="277">
        <f t="shared" si="4"/>
        <v>87.42</v>
      </c>
      <c r="I28" s="277">
        <f t="shared" ref="I28:I36" si="9">ROUND(D28+E28+H28,2)</f>
        <v>203.39</v>
      </c>
      <c r="J28" s="128">
        <f t="shared" si="2"/>
        <v>36.01</v>
      </c>
      <c r="K28" s="277">
        <f t="shared" si="5"/>
        <v>357.8</v>
      </c>
      <c r="L28" s="277">
        <f t="shared" si="6"/>
        <v>428.16</v>
      </c>
      <c r="M28" s="128">
        <f t="shared" ref="M28:M36" si="10">(D28+E28+F28)</f>
        <v>115.97</v>
      </c>
      <c r="N28" s="50"/>
      <c r="O28" s="85"/>
      <c r="P28" s="85"/>
      <c r="V28" s="162"/>
      <c r="W28" s="158"/>
      <c r="X28" s="158"/>
      <c r="Y28" s="158"/>
      <c r="Z28" s="158"/>
      <c r="AA28" s="158"/>
      <c r="AB28" s="158"/>
      <c r="AC28" s="119"/>
      <c r="AD28" s="119"/>
      <c r="AE28" s="349"/>
      <c r="AF28" s="349"/>
    </row>
    <row r="29" spans="2:32">
      <c r="B29" s="273">
        <f t="shared" si="0"/>
        <v>2035</v>
      </c>
      <c r="C29" s="278"/>
      <c r="D29" s="128">
        <f t="shared" si="7"/>
        <v>104.91</v>
      </c>
      <c r="E29" s="128">
        <f t="shared" si="3"/>
        <v>13.56</v>
      </c>
      <c r="F29" s="128">
        <f t="shared" si="8"/>
        <v>0</v>
      </c>
      <c r="G29" s="128">
        <f t="shared" si="1"/>
        <v>30.89</v>
      </c>
      <c r="H29" s="277">
        <f t="shared" si="4"/>
        <v>89.3</v>
      </c>
      <c r="I29" s="277">
        <f t="shared" si="9"/>
        <v>207.77</v>
      </c>
      <c r="J29" s="128">
        <f t="shared" si="2"/>
        <v>36.79</v>
      </c>
      <c r="K29" s="277">
        <f t="shared" si="5"/>
        <v>365.55</v>
      </c>
      <c r="L29" s="277">
        <f t="shared" si="6"/>
        <v>437.42</v>
      </c>
      <c r="M29" s="128">
        <f t="shared" si="10"/>
        <v>118.47</v>
      </c>
      <c r="N29" s="50"/>
      <c r="V29" s="162"/>
      <c r="W29" s="158"/>
      <c r="X29" s="158"/>
      <c r="Y29" s="158"/>
      <c r="Z29" s="158"/>
      <c r="AA29" s="158"/>
      <c r="AB29" s="158"/>
      <c r="AC29" s="119"/>
      <c r="AD29" s="119"/>
      <c r="AE29" s="86"/>
      <c r="AF29" s="86"/>
    </row>
    <row r="30" spans="2:32">
      <c r="B30" s="273">
        <f t="shared" si="0"/>
        <v>2036</v>
      </c>
      <c r="C30" s="278"/>
      <c r="D30" s="128">
        <f t="shared" si="7"/>
        <v>107.17</v>
      </c>
      <c r="E30" s="128">
        <f t="shared" si="3"/>
        <v>13.85</v>
      </c>
      <c r="F30" s="128">
        <f t="shared" si="8"/>
        <v>0</v>
      </c>
      <c r="G30" s="128">
        <f t="shared" si="1"/>
        <v>31.56</v>
      </c>
      <c r="H30" s="277">
        <f t="shared" si="4"/>
        <v>91.23</v>
      </c>
      <c r="I30" s="277">
        <f t="shared" si="9"/>
        <v>212.25</v>
      </c>
      <c r="J30" s="128">
        <f t="shared" si="2"/>
        <v>37.58</v>
      </c>
      <c r="K30" s="277">
        <f t="shared" si="5"/>
        <v>373.39</v>
      </c>
      <c r="L30" s="277">
        <f t="shared" si="6"/>
        <v>446.81</v>
      </c>
      <c r="M30" s="128">
        <f t="shared" si="10"/>
        <v>121.02</v>
      </c>
      <c r="N30" s="50"/>
      <c r="V30" s="86"/>
      <c r="W30" s="86"/>
      <c r="X30" s="86"/>
      <c r="Y30" s="86"/>
      <c r="Z30" s="86"/>
      <c r="AA30" s="86"/>
      <c r="AB30" s="86"/>
      <c r="AC30" s="119"/>
      <c r="AD30" s="119"/>
      <c r="AE30" s="86"/>
      <c r="AF30" s="86"/>
    </row>
    <row r="31" spans="2:32">
      <c r="B31" s="273">
        <f t="shared" si="0"/>
        <v>2037</v>
      </c>
      <c r="C31" s="278"/>
      <c r="D31" s="128">
        <f t="shared" si="7"/>
        <v>109.48</v>
      </c>
      <c r="E31" s="128">
        <f t="shared" si="3"/>
        <v>14.15</v>
      </c>
      <c r="F31" s="128">
        <f t="shared" si="8"/>
        <v>0</v>
      </c>
      <c r="G31" s="128">
        <f t="shared" si="1"/>
        <v>32.24</v>
      </c>
      <c r="H31" s="277">
        <f t="shared" si="4"/>
        <v>93.2</v>
      </c>
      <c r="I31" s="277">
        <f t="shared" si="9"/>
        <v>216.83</v>
      </c>
      <c r="J31" s="128">
        <f t="shared" si="2"/>
        <v>38.39</v>
      </c>
      <c r="K31" s="277">
        <f t="shared" si="5"/>
        <v>381.44</v>
      </c>
      <c r="L31" s="277">
        <f t="shared" si="6"/>
        <v>456.45</v>
      </c>
      <c r="M31" s="128">
        <f t="shared" si="10"/>
        <v>123.63000000000001</v>
      </c>
      <c r="N31" s="50"/>
      <c r="V31" s="86"/>
      <c r="W31" s="86"/>
      <c r="X31" s="86"/>
      <c r="Y31" s="86"/>
      <c r="Z31" s="86"/>
      <c r="AA31" s="86"/>
      <c r="AB31" s="86"/>
      <c r="AC31" s="119"/>
      <c r="AD31" s="119"/>
      <c r="AE31" s="86"/>
      <c r="AF31" s="86"/>
    </row>
    <row r="32" spans="2:32">
      <c r="B32" s="273">
        <f t="shared" si="0"/>
        <v>2038</v>
      </c>
      <c r="C32" s="278"/>
      <c r="D32" s="128">
        <f t="shared" si="7"/>
        <v>111.84</v>
      </c>
      <c r="E32" s="128">
        <f t="shared" si="3"/>
        <v>14.45</v>
      </c>
      <c r="F32" s="128">
        <f t="shared" si="8"/>
        <v>0</v>
      </c>
      <c r="G32" s="128">
        <f t="shared" si="1"/>
        <v>32.93</v>
      </c>
      <c r="H32" s="277">
        <f t="shared" si="4"/>
        <v>95.19</v>
      </c>
      <c r="I32" s="277">
        <f t="shared" si="9"/>
        <v>221.48</v>
      </c>
      <c r="J32" s="128">
        <f t="shared" si="2"/>
        <v>39.22</v>
      </c>
      <c r="K32" s="277">
        <f t="shared" si="5"/>
        <v>389.69</v>
      </c>
      <c r="L32" s="277">
        <f t="shared" si="6"/>
        <v>466.31</v>
      </c>
      <c r="M32" s="128">
        <f t="shared" si="10"/>
        <v>126.29</v>
      </c>
      <c r="N32" s="50"/>
      <c r="V32" s="86"/>
      <c r="W32" s="86"/>
      <c r="X32" s="86"/>
      <c r="Y32" s="86"/>
      <c r="Z32" s="86"/>
      <c r="AA32" s="86"/>
      <c r="AB32" s="86"/>
      <c r="AC32" s="119"/>
      <c r="AD32" s="119"/>
      <c r="AE32" s="86"/>
      <c r="AF32" s="86"/>
    </row>
    <row r="33" spans="2:32">
      <c r="B33" s="273">
        <f t="shared" si="0"/>
        <v>2039</v>
      </c>
      <c r="C33" s="278"/>
      <c r="D33" s="128">
        <f t="shared" si="7"/>
        <v>114.25</v>
      </c>
      <c r="E33" s="128">
        <f t="shared" si="3"/>
        <v>14.76</v>
      </c>
      <c r="F33" s="128">
        <f t="shared" si="8"/>
        <v>0</v>
      </c>
      <c r="G33" s="128">
        <f t="shared" si="1"/>
        <v>33.64</v>
      </c>
      <c r="H33" s="277">
        <f t="shared" si="4"/>
        <v>97.25</v>
      </c>
      <c r="I33" s="277">
        <f t="shared" si="9"/>
        <v>226.26</v>
      </c>
      <c r="J33" s="128">
        <f t="shared" si="2"/>
        <v>40.07</v>
      </c>
      <c r="K33" s="277">
        <f t="shared" si="5"/>
        <v>398.14</v>
      </c>
      <c r="L33" s="277">
        <f t="shared" si="6"/>
        <v>476.41</v>
      </c>
      <c r="M33" s="128">
        <f t="shared" si="10"/>
        <v>129.01</v>
      </c>
      <c r="V33" s="86"/>
      <c r="W33" s="86"/>
      <c r="X33" s="86"/>
      <c r="Y33" s="86"/>
      <c r="Z33" s="86"/>
      <c r="AA33" s="86"/>
      <c r="AB33" s="86"/>
      <c r="AC33" s="119"/>
      <c r="AD33" s="119"/>
      <c r="AE33" s="86"/>
      <c r="AF33" s="86"/>
    </row>
    <row r="34" spans="2:32">
      <c r="B34" s="273">
        <f t="shared" si="0"/>
        <v>2040</v>
      </c>
      <c r="C34" s="278"/>
      <c r="D34" s="128">
        <f t="shared" si="7"/>
        <v>116.71</v>
      </c>
      <c r="E34" s="128">
        <f t="shared" si="3"/>
        <v>15.08</v>
      </c>
      <c r="F34" s="128">
        <f t="shared" si="8"/>
        <v>0</v>
      </c>
      <c r="G34" s="128">
        <f t="shared" si="1"/>
        <v>34.36</v>
      </c>
      <c r="H34" s="277">
        <f t="shared" si="4"/>
        <v>99.33</v>
      </c>
      <c r="I34" s="277">
        <f t="shared" si="9"/>
        <v>231.12</v>
      </c>
      <c r="J34" s="128">
        <f t="shared" si="2"/>
        <v>40.93</v>
      </c>
      <c r="K34" s="277">
        <f t="shared" si="5"/>
        <v>406.68</v>
      </c>
      <c r="L34" s="277">
        <f t="shared" si="6"/>
        <v>486.63</v>
      </c>
      <c r="M34" s="128">
        <f t="shared" si="10"/>
        <v>131.79</v>
      </c>
      <c r="V34" s="86"/>
      <c r="W34" s="86"/>
      <c r="X34" s="86"/>
      <c r="Y34" s="86"/>
      <c r="Z34" s="86"/>
      <c r="AA34" s="86"/>
      <c r="AB34" s="86"/>
      <c r="AC34" s="119"/>
      <c r="AD34" s="119"/>
      <c r="AE34" s="86"/>
      <c r="AF34" s="86"/>
    </row>
    <row r="35" spans="2:32">
      <c r="B35" s="273">
        <f t="shared" si="0"/>
        <v>2041</v>
      </c>
      <c r="C35" s="278"/>
      <c r="D35" s="128">
        <f t="shared" si="7"/>
        <v>119.23</v>
      </c>
      <c r="E35" s="128">
        <f t="shared" si="3"/>
        <v>15.4</v>
      </c>
      <c r="F35" s="128">
        <f t="shared" si="8"/>
        <v>0</v>
      </c>
      <c r="G35" s="128">
        <f t="shared" si="1"/>
        <v>35.1</v>
      </c>
      <c r="H35" s="277">
        <f t="shared" si="4"/>
        <v>101.47</v>
      </c>
      <c r="I35" s="277">
        <f t="shared" si="9"/>
        <v>236.1</v>
      </c>
      <c r="J35" s="128">
        <f t="shared" si="2"/>
        <v>41.81</v>
      </c>
      <c r="K35" s="277">
        <f t="shared" si="5"/>
        <v>415.42</v>
      </c>
      <c r="L35" s="277">
        <f t="shared" si="6"/>
        <v>497.09</v>
      </c>
      <c r="M35" s="128">
        <f t="shared" si="10"/>
        <v>134.63</v>
      </c>
      <c r="V35" s="86"/>
      <c r="W35" s="86"/>
      <c r="X35" s="86"/>
      <c r="Y35" s="86"/>
      <c r="Z35" s="86"/>
      <c r="AA35" s="86"/>
      <c r="AB35" s="86"/>
      <c r="AC35" s="119"/>
      <c r="AD35" s="119"/>
      <c r="AE35" s="86"/>
      <c r="AF35" s="86"/>
    </row>
    <row r="36" spans="2:32">
      <c r="B36" s="273">
        <f t="shared" si="0"/>
        <v>2042</v>
      </c>
      <c r="C36" s="278"/>
      <c r="D36" s="128">
        <f t="shared" si="7"/>
        <v>121.8</v>
      </c>
      <c r="E36" s="128">
        <f t="shared" si="3"/>
        <v>15.73</v>
      </c>
      <c r="F36" s="128">
        <f t="shared" si="8"/>
        <v>0</v>
      </c>
      <c r="G36" s="128">
        <f t="shared" si="1"/>
        <v>35.86</v>
      </c>
      <c r="H36" s="277">
        <f t="shared" si="4"/>
        <v>103.66</v>
      </c>
      <c r="I36" s="277">
        <f t="shared" si="9"/>
        <v>241.19</v>
      </c>
      <c r="J36" s="128">
        <f t="shared" si="2"/>
        <v>42.71</v>
      </c>
      <c r="K36" s="277">
        <f t="shared" si="5"/>
        <v>424.37</v>
      </c>
      <c r="L36" s="277">
        <f t="shared" si="6"/>
        <v>507.8</v>
      </c>
      <c r="M36" s="128">
        <f t="shared" si="10"/>
        <v>137.53</v>
      </c>
      <c r="V36" s="86"/>
      <c r="W36" s="86"/>
      <c r="X36" s="86"/>
      <c r="Y36" s="86"/>
      <c r="Z36" s="86"/>
      <c r="AA36" s="86"/>
      <c r="AB36" s="86"/>
      <c r="AC36" s="119"/>
      <c r="AD36" s="119"/>
      <c r="AE36" s="86"/>
      <c r="AF36" s="86"/>
    </row>
    <row r="37" spans="2:32">
      <c r="N37" s="273"/>
      <c r="P37" s="282"/>
      <c r="V37" s="86"/>
      <c r="W37" s="86"/>
      <c r="X37" s="86"/>
      <c r="Y37" s="86"/>
      <c r="Z37" s="86"/>
      <c r="AA37" s="86"/>
      <c r="AB37" s="86"/>
      <c r="AC37" s="119"/>
      <c r="AD37" s="119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3"/>
      <c r="O38" s="282"/>
      <c r="P38" s="282"/>
      <c r="V38" s="86"/>
      <c r="W38" s="86"/>
      <c r="X38" s="86"/>
      <c r="Y38" s="86"/>
      <c r="Z38" s="86"/>
      <c r="AA38" s="86"/>
      <c r="AB38" s="86"/>
      <c r="AC38" s="119"/>
      <c r="AD38" s="119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9"/>
      <c r="AD39" s="119"/>
      <c r="AE39" s="86"/>
      <c r="AF39" s="86"/>
    </row>
    <row r="40" spans="2:32">
      <c r="B40" s="85" t="s">
        <v>105</v>
      </c>
      <c r="D40" s="283" t="s">
        <v>183</v>
      </c>
      <c r="V40" s="86"/>
      <c r="W40" s="86"/>
      <c r="X40" s="86"/>
      <c r="Y40" s="86"/>
      <c r="Z40" s="86"/>
      <c r="AA40" s="86"/>
      <c r="AB40" s="86"/>
      <c r="AC40" s="119"/>
      <c r="AD40" s="119"/>
      <c r="AE40" s="86"/>
      <c r="AF40" s="86"/>
    </row>
    <row r="41" spans="2:32">
      <c r="C41" s="284" t="str">
        <f>D10</f>
        <v>(b)</v>
      </c>
      <c r="D41" s="277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9"/>
      <c r="AD41" s="119"/>
      <c r="AE41" s="86"/>
      <c r="AF41" s="86"/>
    </row>
    <row r="42" spans="2:32">
      <c r="C42" s="284" t="str">
        <f>H10</f>
        <v>(f)</v>
      </c>
      <c r="D42" s="277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9"/>
      <c r="AD42" s="119"/>
      <c r="AE42" s="86"/>
      <c r="AF42" s="86"/>
    </row>
    <row r="43" spans="2:32">
      <c r="C43" s="284" t="str">
        <f>I10</f>
        <v>(g)</v>
      </c>
      <c r="D43" s="277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9"/>
      <c r="AD43" s="119"/>
      <c r="AE43" s="86"/>
      <c r="AF43" s="86"/>
    </row>
    <row r="44" spans="2:32">
      <c r="C44" s="284" t="str">
        <f>J10</f>
        <v>(h)</v>
      </c>
      <c r="D44" s="285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9"/>
      <c r="AD44" s="119"/>
      <c r="AE44" s="86"/>
      <c r="AF44" s="86"/>
    </row>
    <row r="45" spans="2:32">
      <c r="C45" s="284" t="str">
        <f>K10</f>
        <v>(i)</v>
      </c>
      <c r="D45" s="277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9"/>
      <c r="AD45" s="119"/>
      <c r="AE45" s="86"/>
      <c r="AF45" s="86"/>
    </row>
    <row r="46" spans="2:32">
      <c r="C46" s="284" t="str">
        <f>L10</f>
        <v>(i)</v>
      </c>
      <c r="D46" s="277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9"/>
      <c r="AD46" s="119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9"/>
      <c r="AD47" s="119"/>
      <c r="AE47" s="86"/>
      <c r="AF47" s="86"/>
    </row>
    <row r="48" spans="2:32" ht="13.5" thickBot="1">
      <c r="C48" s="42" t="s">
        <v>189</v>
      </c>
      <c r="D48" s="286"/>
      <c r="E48" s="286"/>
      <c r="F48" s="286"/>
      <c r="G48" s="286"/>
      <c r="H48" s="286"/>
      <c r="I48" s="286"/>
      <c r="J48" s="286"/>
      <c r="K48" s="287"/>
      <c r="L48" s="288"/>
    </row>
    <row r="49" spans="2:22" ht="5.25" customHeight="1"/>
    <row r="50" spans="2:22" ht="5.25" customHeight="1"/>
    <row r="51" spans="2:22">
      <c r="C51" s="289" t="s">
        <v>106</v>
      </c>
      <c r="D51" s="290"/>
      <c r="E51" s="289"/>
      <c r="F51" s="289"/>
      <c r="G51" s="291" t="s">
        <v>32</v>
      </c>
      <c r="H51" s="291" t="s">
        <v>107</v>
      </c>
      <c r="I51" s="291" t="s">
        <v>108</v>
      </c>
      <c r="J51" s="291" t="s">
        <v>33</v>
      </c>
    </row>
    <row r="52" spans="2:22">
      <c r="C52" s="281" t="s">
        <v>109</v>
      </c>
      <c r="G52" s="292">
        <f>C63</f>
        <v>195.5964123</v>
      </c>
      <c r="H52" s="41">
        <f>G52/G54</f>
        <v>1</v>
      </c>
      <c r="I52" s="293">
        <f>C64</f>
        <v>1340.892350999477</v>
      </c>
      <c r="J52" s="294">
        <f>C67</f>
        <v>0</v>
      </c>
      <c r="Q52" s="117"/>
      <c r="R52" s="117"/>
      <c r="S52" s="117"/>
      <c r="T52" s="117"/>
      <c r="U52" s="117"/>
      <c r="V52" s="117"/>
    </row>
    <row r="53" spans="2:22">
      <c r="C53" s="281"/>
      <c r="G53" s="295">
        <f>D63</f>
        <v>0</v>
      </c>
      <c r="H53" s="296">
        <f>1-H52</f>
        <v>0</v>
      </c>
      <c r="I53" s="297">
        <f>D64</f>
        <v>0</v>
      </c>
      <c r="J53" s="298">
        <f>D67</f>
        <v>0</v>
      </c>
      <c r="Q53" s="370"/>
      <c r="R53" s="117"/>
      <c r="S53" s="117"/>
      <c r="T53" s="117"/>
      <c r="U53" s="117"/>
      <c r="V53" s="117"/>
    </row>
    <row r="54" spans="2:22">
      <c r="C54" s="281" t="s">
        <v>110</v>
      </c>
      <c r="G54" s="292">
        <f>G52+G53</f>
        <v>195.5964123</v>
      </c>
      <c r="H54" s="41">
        <f>H52+H53</f>
        <v>1</v>
      </c>
      <c r="I54" s="293">
        <f>ROUND(((G52*I52)+(G53*I53))/G54,0)</f>
        <v>1341</v>
      </c>
      <c r="J54" s="294">
        <f>ROUND(((G52*J52)+(G53*J53))/G54,2)</f>
        <v>0</v>
      </c>
      <c r="Q54" s="370"/>
      <c r="R54" s="117"/>
      <c r="S54" s="117"/>
      <c r="T54" s="119"/>
      <c r="U54" s="117"/>
      <c r="V54" s="117"/>
    </row>
    <row r="55" spans="2:22">
      <c r="C55" s="281"/>
      <c r="G55" s="292"/>
      <c r="H55" s="41"/>
      <c r="I55" s="299"/>
      <c r="J55" s="300"/>
      <c r="Q55" s="117"/>
      <c r="R55" s="117"/>
      <c r="S55" s="327"/>
      <c r="T55" s="117"/>
      <c r="U55" s="117"/>
      <c r="V55" s="117"/>
    </row>
    <row r="56" spans="2:22">
      <c r="C56" s="301" t="s">
        <v>106</v>
      </c>
      <c r="D56" s="290"/>
      <c r="E56" s="289"/>
      <c r="F56" s="289"/>
      <c r="G56" s="291" t="s">
        <v>32</v>
      </c>
      <c r="H56" s="291" t="s">
        <v>34</v>
      </c>
      <c r="I56" s="291" t="s">
        <v>111</v>
      </c>
      <c r="J56" s="291" t="s">
        <v>107</v>
      </c>
      <c r="K56" s="291" t="s">
        <v>112</v>
      </c>
      <c r="L56" s="291" t="s">
        <v>113</v>
      </c>
    </row>
    <row r="57" spans="2:22">
      <c r="C57" s="302" t="str">
        <f>C52</f>
        <v>SCCT Dry "F" - Turbine</v>
      </c>
      <c r="D57" s="303"/>
      <c r="E57" s="303"/>
      <c r="F57" s="303"/>
      <c r="G57" s="85">
        <f>C63</f>
        <v>195.5964123</v>
      </c>
      <c r="H57" s="41">
        <f>C71</f>
        <v>0.33</v>
      </c>
      <c r="I57" s="304">
        <f>H57*G57</f>
        <v>64.546816059000008</v>
      </c>
      <c r="J57" s="41">
        <f>I57/I59</f>
        <v>1</v>
      </c>
      <c r="K57" s="300">
        <f>C68</f>
        <v>22.439</v>
      </c>
      <c r="L57" s="305">
        <f>C69</f>
        <v>9936</v>
      </c>
    </row>
    <row r="58" spans="2:22">
      <c r="C58" s="302">
        <f>C53</f>
        <v>0</v>
      </c>
      <c r="D58" s="303"/>
      <c r="E58" s="303"/>
      <c r="F58" s="303"/>
      <c r="G58" s="306">
        <f>D63</f>
        <v>0</v>
      </c>
      <c r="H58" s="296">
        <f>D71</f>
        <v>0</v>
      </c>
      <c r="I58" s="307">
        <f>H58*G58</f>
        <v>0</v>
      </c>
      <c r="J58" s="296">
        <f>1-J57</f>
        <v>0</v>
      </c>
      <c r="K58" s="308">
        <f>D68</f>
        <v>0</v>
      </c>
      <c r="L58" s="309">
        <f>D69</f>
        <v>0</v>
      </c>
    </row>
    <row r="59" spans="2:22">
      <c r="C59" s="281" t="s">
        <v>114</v>
      </c>
      <c r="G59" s="85">
        <f>G57+G58</f>
        <v>195.5964123</v>
      </c>
      <c r="H59" s="310">
        <f>ROUND(I59/G59,3)</f>
        <v>0.33</v>
      </c>
      <c r="I59" s="304">
        <f>SUM(I57:I58)</f>
        <v>64.546816059000008</v>
      </c>
      <c r="J59" s="41">
        <f>J57+J58</f>
        <v>1</v>
      </c>
      <c r="K59" s="300">
        <f>ROUND(($J57*K57)+($J58*K58),2)</f>
        <v>22.44</v>
      </c>
      <c r="L59" s="311">
        <f>ROUND(($J57*L57)+($J58*L58),0)</f>
        <v>9936</v>
      </c>
    </row>
    <row r="60" spans="2:22">
      <c r="H60" s="310"/>
      <c r="J60" s="41"/>
      <c r="K60" s="300"/>
      <c r="L60" s="312" t="s">
        <v>115</v>
      </c>
    </row>
    <row r="62" spans="2:22">
      <c r="C62" s="291" t="s">
        <v>116</v>
      </c>
      <c r="D62" s="291" t="s">
        <v>117</v>
      </c>
      <c r="E62" s="365"/>
      <c r="F62" s="313" t="str">
        <f>D40</f>
        <v xml:space="preserve">Plant Costs  - 2019 IRP - Table 7.1 &amp; 7.2 </v>
      </c>
      <c r="G62" s="314"/>
      <c r="H62" s="314"/>
      <c r="I62" s="314"/>
      <c r="J62" s="314"/>
      <c r="K62" s="314"/>
      <c r="L62" s="315"/>
    </row>
    <row r="63" spans="2:22">
      <c r="C63" s="85">
        <v>195.5964123</v>
      </c>
      <c r="F63" s="85" t="s">
        <v>118</v>
      </c>
      <c r="I63" s="316"/>
    </row>
    <row r="64" spans="2:22">
      <c r="B64" s="85" t="s">
        <v>182</v>
      </c>
      <c r="C64" s="299">
        <f>262273.73313601/C63</f>
        <v>1340.892350999477</v>
      </c>
      <c r="D64" s="299"/>
      <c r="F64" s="85" t="s">
        <v>119</v>
      </c>
    </row>
    <row r="65" spans="2:30">
      <c r="C65" s="300">
        <v>0</v>
      </c>
      <c r="D65" s="300"/>
      <c r="F65" s="85" t="s">
        <v>120</v>
      </c>
    </row>
    <row r="66" spans="2:30">
      <c r="C66" s="317">
        <v>0</v>
      </c>
      <c r="D66" s="317"/>
      <c r="F66" s="85" t="s">
        <v>121</v>
      </c>
    </row>
    <row r="67" spans="2:30">
      <c r="B67" s="85" t="s">
        <v>160</v>
      </c>
      <c r="C67" s="300">
        <f>C65+C66</f>
        <v>0</v>
      </c>
      <c r="D67" s="300"/>
      <c r="F67" s="85" t="s">
        <v>122</v>
      </c>
    </row>
    <row r="68" spans="2:30">
      <c r="B68" s="85" t="s">
        <v>160</v>
      </c>
      <c r="C68" s="420">
        <v>22.439</v>
      </c>
      <c r="D68" s="300"/>
      <c r="F68" s="85" t="s">
        <v>123</v>
      </c>
    </row>
    <row r="69" spans="2:30">
      <c r="C69" s="311">
        <v>9936</v>
      </c>
      <c r="D69" s="311"/>
      <c r="F69" s="85" t="s">
        <v>124</v>
      </c>
    </row>
    <row r="70" spans="2:30">
      <c r="C70" s="318">
        <v>7.4974140485106158E-2</v>
      </c>
      <c r="D70" s="318"/>
      <c r="F70" s="85" t="s">
        <v>36</v>
      </c>
      <c r="AC70" s="119"/>
      <c r="AD70" s="119"/>
    </row>
    <row r="71" spans="2:30">
      <c r="C71" s="319">
        <v>0.33</v>
      </c>
      <c r="D71" s="319"/>
      <c r="F71" s="85" t="s">
        <v>37</v>
      </c>
      <c r="AC71" s="119"/>
      <c r="AD71" s="119"/>
    </row>
    <row r="72" spans="2:30">
      <c r="D72" s="41">
        <f>ROUND(I59/G59,3)</f>
        <v>0.33</v>
      </c>
      <c r="F72" s="85" t="s">
        <v>125</v>
      </c>
      <c r="AC72" s="119"/>
      <c r="AD72" s="119"/>
    </row>
    <row r="73" spans="2:30">
      <c r="B73" s="344" t="str">
        <f>LEFT(RIGHT(INDEX('Table 3 TransCost'!$39:$39,1,MATCH(E73,'Table 3 TransCost'!$4:$4,0)),6),5)</f>
        <v>2031$</v>
      </c>
      <c r="C73" s="152">
        <f>INDEX('Table 3 TransCost'!$39:$39,1,MATCH(E73,'Table 3 TransCost'!$4:$4,0)+2)</f>
        <v>12.45513744317196</v>
      </c>
      <c r="D73" s="117" t="s">
        <v>153</v>
      </c>
      <c r="E73" s="117" t="s">
        <v>146</v>
      </c>
      <c r="F73" s="117"/>
      <c r="AC73" s="119"/>
      <c r="AD73" s="119"/>
    </row>
    <row r="74" spans="2:30" ht="13.5" thickBot="1">
      <c r="B74" s="49"/>
      <c r="C74" s="421">
        <v>26.724569206547603</v>
      </c>
      <c r="D74" s="49"/>
      <c r="F74" s="85" t="s">
        <v>185</v>
      </c>
      <c r="G74" s="422"/>
      <c r="AC74" s="119"/>
      <c r="AD74" s="119"/>
    </row>
    <row r="75" spans="2:30" s="86" customFormat="1">
      <c r="O75" s="85"/>
      <c r="P75" s="85"/>
      <c r="AC75" s="117"/>
      <c r="AD75" s="117"/>
    </row>
    <row r="76" spans="2:30">
      <c r="D76" s="320"/>
    </row>
    <row r="77" spans="2:30">
      <c r="D77" s="320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D25" sqref="D2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221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17%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Stand Alone Battery WY DJ - 17%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 hidden="1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 hidden="1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 hidden="1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 hidden="1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 hidden="1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>
        <f>552607.479/549</f>
        <v>1006.5710000000001</v>
      </c>
      <c r="D23" s="128">
        <f>C23*$C$62</f>
        <v>87.328316133532752</v>
      </c>
      <c r="E23" s="128">
        <f>12018.7080000009/549</f>
        <v>21.892000000001637</v>
      </c>
      <c r="F23" s="183">
        <f>$C$60</f>
        <v>0</v>
      </c>
      <c r="G23" s="130">
        <f t="shared" ref="G23:G24" si="1">(D23+E23+F23)/(8.76*$C$63)</f>
        <v>74.808435707900273</v>
      </c>
      <c r="H23" s="128"/>
      <c r="I23" s="130">
        <f t="shared" ref="I23:I24" si="2">(G23+H23)</f>
        <v>74.808435707900273</v>
      </c>
      <c r="J23" s="130">
        <f t="shared" ref="J23:J24" si="3">ROUND(I23*$C$63*8.76,2)</f>
        <v>109.22</v>
      </c>
      <c r="K23" s="128">
        <f t="shared" ref="K23:K24" si="4">(D23+E23+F23)</f>
        <v>109.2203161335344</v>
      </c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>
        <f t="shared" ref="D24:F24" si="5">ROUND(D23*(1+IRP21_Infl_Rate),2)</f>
        <v>89.21</v>
      </c>
      <c r="E24" s="128">
        <f t="shared" si="5"/>
        <v>22.36</v>
      </c>
      <c r="F24" s="128">
        <f t="shared" si="5"/>
        <v>0</v>
      </c>
      <c r="G24" s="130">
        <f t="shared" si="1"/>
        <v>76.417808219178085</v>
      </c>
      <c r="H24" s="128"/>
      <c r="I24" s="130">
        <f t="shared" si="2"/>
        <v>76.417808219178085</v>
      </c>
      <c r="J24" s="130">
        <f t="shared" si="3"/>
        <v>111.57</v>
      </c>
      <c r="K24" s="128">
        <f t="shared" si="4"/>
        <v>111.57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ref="D25:F25" si="6">ROUND(D24*(1+IRP21_Infl_Rate),2)</f>
        <v>91.13</v>
      </c>
      <c r="E25" s="128">
        <f t="shared" si="6"/>
        <v>22.84</v>
      </c>
      <c r="F25" s="128">
        <f t="shared" si="6"/>
        <v>0</v>
      </c>
      <c r="G25" s="130">
        <f t="shared" ref="G25:G37" si="7">(D25+E25+F25)/(8.76*$C$63)</f>
        <v>78.061643835616437</v>
      </c>
      <c r="H25" s="128"/>
      <c r="I25" s="130">
        <f t="shared" ref="I25:I37" si="8">(G25+H25)</f>
        <v>78.061643835616437</v>
      </c>
      <c r="J25" s="130">
        <f t="shared" ref="J25:J37" si="9">ROUND(I25*$C$63*8.76,2)</f>
        <v>113.97</v>
      </c>
      <c r="K25" s="128">
        <f t="shared" ref="K25:K37" si="10">(D25+E25+F25)</f>
        <v>113.97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ref="D26:F26" si="11">ROUND(D25*(1+IRP21_Infl_Rate),2)</f>
        <v>93.09</v>
      </c>
      <c r="E26" s="128">
        <f t="shared" si="11"/>
        <v>23.33</v>
      </c>
      <c r="F26" s="128">
        <f t="shared" si="11"/>
        <v>0</v>
      </c>
      <c r="G26" s="130">
        <f t="shared" si="7"/>
        <v>79.739726027397268</v>
      </c>
      <c r="H26" s="128"/>
      <c r="I26" s="130">
        <f t="shared" si="8"/>
        <v>79.739726027397268</v>
      </c>
      <c r="J26" s="130">
        <f t="shared" si="9"/>
        <v>116.42</v>
      </c>
      <c r="K26" s="128">
        <f t="shared" si="10"/>
        <v>116.42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ref="D27:F27" si="12">ROUND(D26*(1+IRP21_Infl_Rate),2)</f>
        <v>95.1</v>
      </c>
      <c r="E27" s="128">
        <f t="shared" si="12"/>
        <v>23.83</v>
      </c>
      <c r="F27" s="128">
        <f t="shared" si="12"/>
        <v>0</v>
      </c>
      <c r="G27" s="130">
        <f t="shared" si="7"/>
        <v>81.458904109589042</v>
      </c>
      <c r="H27" s="128"/>
      <c r="I27" s="130">
        <f t="shared" si="8"/>
        <v>81.458904109589042</v>
      </c>
      <c r="J27" s="130">
        <f t="shared" si="9"/>
        <v>118.93</v>
      </c>
      <c r="K27" s="128">
        <f t="shared" si="10"/>
        <v>118.92999999999999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ref="D28:F28" si="13">ROUND(D27*(1+IRP21_Infl_Rate),2)</f>
        <v>97.15</v>
      </c>
      <c r="E28" s="128">
        <f t="shared" si="13"/>
        <v>24.34</v>
      </c>
      <c r="F28" s="128">
        <f t="shared" si="13"/>
        <v>0</v>
      </c>
      <c r="G28" s="130">
        <f t="shared" si="7"/>
        <v>83.212328767123296</v>
      </c>
      <c r="H28" s="128"/>
      <c r="I28" s="130">
        <f t="shared" si="8"/>
        <v>83.212328767123296</v>
      </c>
      <c r="J28" s="130">
        <f t="shared" si="9"/>
        <v>121.49</v>
      </c>
      <c r="K28" s="128">
        <f t="shared" si="10"/>
        <v>121.49000000000001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ref="D29:F29" si="14">ROUND(D28*(1+IRP21_Infl_Rate),2)</f>
        <v>99.24</v>
      </c>
      <c r="E29" s="128">
        <f t="shared" si="14"/>
        <v>24.86</v>
      </c>
      <c r="F29" s="128">
        <f t="shared" si="14"/>
        <v>0</v>
      </c>
      <c r="G29" s="130">
        <f t="shared" si="7"/>
        <v>85</v>
      </c>
      <c r="H29" s="128"/>
      <c r="I29" s="130">
        <f t="shared" si="8"/>
        <v>85</v>
      </c>
      <c r="J29" s="130">
        <f t="shared" si="9"/>
        <v>124.1</v>
      </c>
      <c r="K29" s="128">
        <f t="shared" si="10"/>
        <v>124.1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ref="D30:F30" si="15">ROUND(D29*(1+IRP21_Infl_Rate),2)</f>
        <v>101.38</v>
      </c>
      <c r="E30" s="128">
        <f t="shared" si="15"/>
        <v>25.4</v>
      </c>
      <c r="F30" s="128">
        <f t="shared" si="15"/>
        <v>0</v>
      </c>
      <c r="G30" s="130">
        <f t="shared" si="7"/>
        <v>86.835616438356169</v>
      </c>
      <c r="H30" s="128"/>
      <c r="I30" s="130">
        <f t="shared" si="8"/>
        <v>86.835616438356169</v>
      </c>
      <c r="J30" s="130">
        <f t="shared" si="9"/>
        <v>126.78</v>
      </c>
      <c r="K30" s="128">
        <f t="shared" si="10"/>
        <v>126.78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ref="D31:F31" si="16">ROUND(D30*(1+IRP21_Infl_Rate),2)</f>
        <v>103.56</v>
      </c>
      <c r="E31" s="128">
        <f t="shared" si="16"/>
        <v>25.95</v>
      </c>
      <c r="F31" s="128">
        <f t="shared" si="16"/>
        <v>0</v>
      </c>
      <c r="G31" s="130">
        <f t="shared" si="7"/>
        <v>88.705479452054789</v>
      </c>
      <c r="H31" s="128"/>
      <c r="I31" s="130">
        <f t="shared" si="8"/>
        <v>88.705479452054789</v>
      </c>
      <c r="J31" s="130">
        <f t="shared" si="9"/>
        <v>129.51</v>
      </c>
      <c r="K31" s="128">
        <f t="shared" si="10"/>
        <v>129.51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ref="D32:F32" si="17">ROUND(D31*(1+IRP21_Infl_Rate),2)</f>
        <v>105.79</v>
      </c>
      <c r="E32" s="128">
        <f t="shared" si="17"/>
        <v>26.51</v>
      </c>
      <c r="F32" s="128">
        <f t="shared" si="17"/>
        <v>0</v>
      </c>
      <c r="G32" s="130">
        <f t="shared" si="7"/>
        <v>90.616438356164394</v>
      </c>
      <c r="H32" s="128"/>
      <c r="I32" s="130">
        <f t="shared" si="8"/>
        <v>90.616438356164394</v>
      </c>
      <c r="J32" s="130">
        <f t="shared" si="9"/>
        <v>132.30000000000001</v>
      </c>
      <c r="K32" s="128">
        <f t="shared" si="10"/>
        <v>132.30000000000001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ref="D33:F33" si="18">ROUND(D32*(1+IRP21_Infl_Rate),2)</f>
        <v>108.07</v>
      </c>
      <c r="E33" s="128">
        <f t="shared" si="18"/>
        <v>27.08</v>
      </c>
      <c r="F33" s="128">
        <f t="shared" si="18"/>
        <v>0</v>
      </c>
      <c r="G33" s="130">
        <f t="shared" si="7"/>
        <v>92.568493150684915</v>
      </c>
      <c r="H33" s="128"/>
      <c r="I33" s="130">
        <f t="shared" si="8"/>
        <v>92.568493150684915</v>
      </c>
      <c r="J33" s="130">
        <f t="shared" si="9"/>
        <v>135.15</v>
      </c>
      <c r="K33" s="128">
        <f t="shared" si="10"/>
        <v>135.14999999999998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ref="D34:F34" si="19">ROUND(D33*(1+IRP21_Infl_Rate),2)</f>
        <v>110.4</v>
      </c>
      <c r="E34" s="128">
        <f t="shared" si="19"/>
        <v>27.66</v>
      </c>
      <c r="F34" s="128">
        <f t="shared" si="19"/>
        <v>0</v>
      </c>
      <c r="G34" s="130">
        <f t="shared" si="7"/>
        <v>94.561643835616437</v>
      </c>
      <c r="H34" s="128"/>
      <c r="I34" s="130">
        <f t="shared" si="8"/>
        <v>94.561643835616437</v>
      </c>
      <c r="J34" s="130">
        <f t="shared" si="9"/>
        <v>138.06</v>
      </c>
      <c r="K34" s="128">
        <f t="shared" si="10"/>
        <v>138.06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ref="D35:F35" si="20">ROUND(D34*(1+IRP21_Infl_Rate),2)</f>
        <v>112.78</v>
      </c>
      <c r="E35" s="128">
        <f t="shared" si="20"/>
        <v>28.26</v>
      </c>
      <c r="F35" s="128">
        <f t="shared" si="20"/>
        <v>0</v>
      </c>
      <c r="G35" s="130">
        <f t="shared" si="7"/>
        <v>96.602739726027394</v>
      </c>
      <c r="H35" s="128"/>
      <c r="I35" s="130">
        <f t="shared" si="8"/>
        <v>96.602739726027394</v>
      </c>
      <c r="J35" s="130">
        <f t="shared" si="9"/>
        <v>141.04</v>
      </c>
      <c r="K35" s="128">
        <f t="shared" si="10"/>
        <v>141.04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ref="D36:F36" si="21">ROUND(D35*(1+IRP21_Infl_Rate),2)</f>
        <v>115.21</v>
      </c>
      <c r="E36" s="128">
        <f t="shared" si="21"/>
        <v>28.87</v>
      </c>
      <c r="F36" s="128">
        <f t="shared" si="21"/>
        <v>0</v>
      </c>
      <c r="G36" s="130">
        <f t="shared" si="7"/>
        <v>98.68493150684931</v>
      </c>
      <c r="H36" s="128"/>
      <c r="I36" s="130">
        <f t="shared" si="8"/>
        <v>98.68493150684931</v>
      </c>
      <c r="J36" s="130">
        <f t="shared" si="9"/>
        <v>144.08000000000001</v>
      </c>
      <c r="K36" s="128">
        <f t="shared" si="10"/>
        <v>144.07999999999998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ref="D37:F37" si="22">ROUND(D36*(1+IRP21_Infl_Rate),2)</f>
        <v>117.69</v>
      </c>
      <c r="E37" s="128">
        <f t="shared" si="22"/>
        <v>29.49</v>
      </c>
      <c r="F37" s="128">
        <f t="shared" si="22"/>
        <v>0</v>
      </c>
      <c r="G37" s="130">
        <f t="shared" si="7"/>
        <v>100.8082191780822</v>
      </c>
      <c r="H37" s="128"/>
      <c r="I37" s="130">
        <f t="shared" si="8"/>
        <v>100.8082191780822</v>
      </c>
      <c r="J37" s="130">
        <f t="shared" si="9"/>
        <v>147.18</v>
      </c>
      <c r="K37" s="128">
        <f t="shared" si="10"/>
        <v>147.18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0.0867582278185371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16.7%)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Stand Alone Battery WY DJ - 17%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2029</v>
      </c>
    </row>
    <row r="55" spans="2:25">
      <c r="B55" s="85" t="s">
        <v>218</v>
      </c>
      <c r="C55" s="136">
        <f>552607.479/549</f>
        <v>1006.5710000000001</v>
      </c>
      <c r="D55" s="117" t="s">
        <v>65</v>
      </c>
      <c r="O55" s="263">
        <v>549</v>
      </c>
      <c r="P55" s="117" t="s">
        <v>32</v>
      </c>
    </row>
    <row r="56" spans="2:25">
      <c r="B56" s="85" t="s">
        <v>218</v>
      </c>
      <c r="C56" s="128">
        <f>12018.7080000009/549</f>
        <v>21.892000000001637</v>
      </c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218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>
        <v>0</v>
      </c>
      <c r="C60" s="152"/>
      <c r="D60" s="117" t="s">
        <v>153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8.6758227818537134E-2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0.16666666666666666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abSelected="1" view="pageBreakPreview" topLeftCell="A2" zoomScale="60" zoomScaleNormal="80" workbookViewId="0">
      <selection activeCell="D26" sqref="D26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08" customFormat="1" ht="15.75" hidden="1">
      <c r="B1" s="1" t="s">
        <v>35</v>
      </c>
      <c r="C1" s="1"/>
      <c r="D1" s="1"/>
      <c r="E1" s="1"/>
      <c r="F1" s="1"/>
      <c r="G1" s="205"/>
      <c r="H1" s="1"/>
      <c r="I1" s="1"/>
      <c r="J1" s="1"/>
      <c r="K1" s="1"/>
      <c r="L1" s="206"/>
      <c r="M1" s="207"/>
      <c r="N1" s="207"/>
      <c r="O1" s="207"/>
      <c r="P1" s="207"/>
    </row>
    <row r="2" spans="2:16" s="208" customFormat="1" ht="5.25" customHeight="1">
      <c r="B2" s="1"/>
      <c r="C2" s="1"/>
      <c r="D2" s="1"/>
      <c r="E2" s="1"/>
      <c r="F2" s="1"/>
      <c r="G2" s="205"/>
      <c r="H2" s="1"/>
      <c r="I2" s="1"/>
      <c r="J2" s="1"/>
      <c r="K2" s="1"/>
      <c r="L2" s="206"/>
      <c r="M2" s="207"/>
      <c r="N2" s="207"/>
      <c r="O2" s="207"/>
      <c r="P2" s="207"/>
    </row>
    <row r="3" spans="2:16" s="208" customFormat="1" ht="15.75">
      <c r="B3" s="1" t="s">
        <v>93</v>
      </c>
      <c r="C3" s="1"/>
      <c r="D3" s="1"/>
      <c r="E3" s="1"/>
      <c r="F3" s="1"/>
      <c r="G3" s="205"/>
      <c r="H3" s="1"/>
      <c r="I3" s="1"/>
      <c r="J3" s="1"/>
      <c r="K3" s="1"/>
      <c r="L3" s="206"/>
      <c r="M3" s="207"/>
      <c r="N3" s="207"/>
      <c r="O3" s="207"/>
      <c r="P3" s="207"/>
    </row>
    <row r="4" spans="2:16" s="210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09"/>
      <c r="N4" s="209"/>
      <c r="O4" s="209"/>
      <c r="P4" s="209"/>
    </row>
    <row r="5" spans="2:16" s="210" customFormat="1" ht="15">
      <c r="B5" s="4" t="str">
        <f ca="1">'Table 1'!B5</f>
        <v>Utah 2021.Q3 - 100.0 MW and 100.0%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10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9"/>
      <c r="N6" s="209"/>
      <c r="O6" s="209"/>
      <c r="P6" s="209"/>
    </row>
    <row r="7" spans="2:16">
      <c r="D7" s="211"/>
      <c r="E7" s="211"/>
      <c r="F7" s="211"/>
      <c r="G7" s="212"/>
      <c r="H7" s="212"/>
      <c r="I7" s="212"/>
      <c r="J7" s="212"/>
      <c r="K7" s="212"/>
      <c r="L7" s="212"/>
      <c r="M7" s="213"/>
    </row>
    <row r="8" spans="2:16">
      <c r="B8" s="214"/>
      <c r="C8" s="214"/>
      <c r="D8" s="215" t="s">
        <v>95</v>
      </c>
      <c r="E8" s="216"/>
      <c r="F8" s="216"/>
      <c r="G8" s="215"/>
      <c r="H8" s="215"/>
      <c r="I8" s="217" t="s">
        <v>96</v>
      </c>
      <c r="J8" s="218"/>
      <c r="K8" s="218"/>
      <c r="L8" s="219"/>
      <c r="M8" s="220" t="s">
        <v>95</v>
      </c>
      <c r="N8" s="221"/>
      <c r="O8" s="222"/>
    </row>
    <row r="9" spans="2:16">
      <c r="B9" s="223" t="s">
        <v>0</v>
      </c>
      <c r="C9" s="223" t="s">
        <v>245</v>
      </c>
      <c r="D9" s="224" t="s">
        <v>246</v>
      </c>
      <c r="E9" s="225" t="s">
        <v>247</v>
      </c>
      <c r="F9" s="225" t="s">
        <v>248</v>
      </c>
      <c r="G9" s="225" t="s">
        <v>249</v>
      </c>
      <c r="H9" s="226" t="s">
        <v>250</v>
      </c>
      <c r="I9" s="169" t="s">
        <v>251</v>
      </c>
      <c r="J9" s="169" t="s">
        <v>252</v>
      </c>
      <c r="K9" s="169" t="s">
        <v>253</v>
      </c>
      <c r="L9" s="169" t="s">
        <v>254</v>
      </c>
      <c r="M9" s="224" t="s">
        <v>255</v>
      </c>
      <c r="N9" s="225" t="s">
        <v>256</v>
      </c>
      <c r="O9" s="226" t="s">
        <v>257</v>
      </c>
    </row>
    <row r="10" spans="2:16" ht="12.75" customHeight="1">
      <c r="B10" s="204"/>
      <c r="C10" s="204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5"/>
    </row>
    <row r="11" spans="2:16" ht="12.75" customHeight="1">
      <c r="B11" s="228" t="s">
        <v>97</v>
      </c>
      <c r="C11" s="228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5"/>
    </row>
    <row r="12" spans="2:16" ht="12.75" hidden="1" customHeight="1">
      <c r="B12" s="229"/>
      <c r="C12" s="230"/>
      <c r="D12" s="8"/>
      <c r="E12" s="8"/>
      <c r="F12" s="8"/>
      <c r="G12" s="8"/>
      <c r="H12" s="13"/>
      <c r="I12" s="231"/>
      <c r="J12" s="232"/>
      <c r="K12" s="232"/>
      <c r="L12" s="233"/>
      <c r="M12" s="231"/>
      <c r="N12" s="232"/>
      <c r="O12" s="233"/>
    </row>
    <row r="13" spans="2:16" ht="12.75" customHeight="1">
      <c r="B13" s="234">
        <v>2022</v>
      </c>
      <c r="C13" s="235">
        <v>33.349716426529838</v>
      </c>
      <c r="D13" s="236">
        <v>27.0369489812879</v>
      </c>
      <c r="E13" s="236">
        <v>29.992152117607183</v>
      </c>
      <c r="F13" s="236">
        <v>28.417001553891048</v>
      </c>
      <c r="G13" s="236">
        <v>21.080470948558094</v>
      </c>
      <c r="H13" s="237">
        <v>18.297135588269562</v>
      </c>
      <c r="I13" s="238">
        <v>24.651242853402678</v>
      </c>
      <c r="J13" s="236">
        <v>78.342493874014068</v>
      </c>
      <c r="K13" s="236">
        <v>52.031528821561523</v>
      </c>
      <c r="L13" s="237">
        <v>37.437057741699533</v>
      </c>
      <c r="M13" s="238">
        <v>27.042174080320262</v>
      </c>
      <c r="N13" s="236">
        <v>24.2174657020722</v>
      </c>
      <c r="O13" s="237">
        <v>30.486882230279146</v>
      </c>
    </row>
    <row r="14" spans="2:16" ht="12.75" customHeight="1">
      <c r="B14" s="251">
        <v>2023</v>
      </c>
      <c r="C14" s="239">
        <v>30.355139843151179</v>
      </c>
      <c r="D14" s="240">
        <v>20.356191391685318</v>
      </c>
      <c r="E14" s="240">
        <v>24.886744918433418</v>
      </c>
      <c r="F14" s="240">
        <v>22.930019910695851</v>
      </c>
      <c r="G14" s="240">
        <v>20.037587256899311</v>
      </c>
      <c r="H14" s="241">
        <v>18.582085180716209</v>
      </c>
      <c r="I14" s="242">
        <v>20.552065241039418</v>
      </c>
      <c r="J14" s="240">
        <v>76.917932352161301</v>
      </c>
      <c r="K14" s="240">
        <v>44.281579489642652</v>
      </c>
      <c r="L14" s="241">
        <v>36.36236627468881</v>
      </c>
      <c r="M14" s="242">
        <v>23.86031807615592</v>
      </c>
      <c r="N14" s="240">
        <v>23.974044680135119</v>
      </c>
      <c r="O14" s="241">
        <v>30.330431065109547</v>
      </c>
    </row>
    <row r="15" spans="2:16" ht="12.75" customHeight="1">
      <c r="B15" s="251">
        <v>2024</v>
      </c>
      <c r="C15" s="239">
        <v>31.577737183229139</v>
      </c>
      <c r="D15" s="240">
        <v>31.029497078949166</v>
      </c>
      <c r="E15" s="240">
        <v>31.883657578278076</v>
      </c>
      <c r="F15" s="240">
        <v>25.271133182619007</v>
      </c>
      <c r="G15" s="240">
        <v>22.041990306172728</v>
      </c>
      <c r="H15" s="241">
        <v>20.775014342014948</v>
      </c>
      <c r="I15" s="242">
        <v>22.530967187900096</v>
      </c>
      <c r="J15" s="240">
        <v>47.902789085089601</v>
      </c>
      <c r="K15" s="240">
        <v>50.105956576709502</v>
      </c>
      <c r="L15" s="241">
        <v>39.033495805302017</v>
      </c>
      <c r="M15" s="242">
        <v>26.913794910413042</v>
      </c>
      <c r="N15" s="240">
        <v>27.998911758003963</v>
      </c>
      <c r="O15" s="241">
        <v>32.991001520029883</v>
      </c>
    </row>
    <row r="16" spans="2:16" ht="12.75" customHeight="1">
      <c r="B16" s="251">
        <v>2025</v>
      </c>
      <c r="C16" s="239">
        <v>21.206969499166696</v>
      </c>
      <c r="D16" s="240">
        <v>16.557871527190731</v>
      </c>
      <c r="E16" s="240">
        <v>21.05175936986404</v>
      </c>
      <c r="F16" s="240">
        <v>17.328852969290068</v>
      </c>
      <c r="G16" s="240">
        <v>16.069856977126872</v>
      </c>
      <c r="H16" s="241">
        <v>14.834073995502004</v>
      </c>
      <c r="I16" s="242">
        <v>16.931022942248109</v>
      </c>
      <c r="J16" s="240">
        <v>30.917138864575254</v>
      </c>
      <c r="K16" s="240">
        <v>33.552426431618073</v>
      </c>
      <c r="L16" s="241">
        <v>25.875634722284353</v>
      </c>
      <c r="M16" s="242">
        <v>18.750786547559283</v>
      </c>
      <c r="N16" s="240">
        <v>19.925127533887409</v>
      </c>
      <c r="O16" s="241">
        <v>22.479667069853072</v>
      </c>
    </row>
    <row r="17" spans="2:15" ht="12.75" customHeight="1">
      <c r="B17" s="251">
        <v>2026</v>
      </c>
      <c r="C17" s="239">
        <v>19.411552154771542</v>
      </c>
      <c r="D17" s="240">
        <v>21.698716791942715</v>
      </c>
      <c r="E17" s="240">
        <v>23.937326920875126</v>
      </c>
      <c r="F17" s="240">
        <v>17.828169468952524</v>
      </c>
      <c r="G17" s="240">
        <v>13.445115653755972</v>
      </c>
      <c r="H17" s="241">
        <v>10.883032074828222</v>
      </c>
      <c r="I17" s="242">
        <v>13.84958407413918</v>
      </c>
      <c r="J17" s="240">
        <v>20.179603576168258</v>
      </c>
      <c r="K17" s="240">
        <v>23.381332211984141</v>
      </c>
      <c r="L17" s="241">
        <v>21.864801603391559</v>
      </c>
      <c r="M17" s="242">
        <v>19.363976816843234</v>
      </c>
      <c r="N17" s="240">
        <v>20.225332515862458</v>
      </c>
      <c r="O17" s="241">
        <v>26.453116391304761</v>
      </c>
    </row>
    <row r="18" spans="2:15" ht="12.75" customHeight="1">
      <c r="B18" s="251">
        <v>2027</v>
      </c>
      <c r="C18" s="239">
        <v>20.04133046752677</v>
      </c>
      <c r="D18" s="240">
        <v>23.121421062293393</v>
      </c>
      <c r="E18" s="240">
        <v>24.735767540155599</v>
      </c>
      <c r="F18" s="240">
        <v>18.581571334860417</v>
      </c>
      <c r="G18" s="240">
        <v>13.70737601591688</v>
      </c>
      <c r="H18" s="241">
        <v>11.247140331075837</v>
      </c>
      <c r="I18" s="242">
        <v>14.259740537684204</v>
      </c>
      <c r="J18" s="240">
        <v>20.951450638889224</v>
      </c>
      <c r="K18" s="240">
        <v>24.181312375910061</v>
      </c>
      <c r="L18" s="241">
        <v>22.111402566717523</v>
      </c>
      <c r="M18" s="242">
        <v>19.372373822917663</v>
      </c>
      <c r="N18" s="240">
        <v>21.348148998390471</v>
      </c>
      <c r="O18" s="241">
        <v>27.050668690882784</v>
      </c>
    </row>
    <row r="19" spans="2:15" ht="12.75" customHeight="1">
      <c r="B19" s="251">
        <v>2028</v>
      </c>
      <c r="C19" s="239">
        <v>21.081157889160139</v>
      </c>
      <c r="D19" s="240">
        <v>22.045402947631413</v>
      </c>
      <c r="E19" s="240">
        <v>25.856958399567024</v>
      </c>
      <c r="F19" s="240">
        <v>19.59553042884135</v>
      </c>
      <c r="G19" s="240">
        <v>14.277090257146707</v>
      </c>
      <c r="H19" s="241">
        <v>11.686474624473242</v>
      </c>
      <c r="I19" s="242">
        <v>15.069647474889333</v>
      </c>
      <c r="J19" s="240">
        <v>22.263809118486382</v>
      </c>
      <c r="K19" s="240">
        <v>25.727725934481789</v>
      </c>
      <c r="L19" s="241">
        <v>23.921541876242184</v>
      </c>
      <c r="M19" s="242">
        <v>21.072485444972752</v>
      </c>
      <c r="N19" s="240">
        <v>22.936504773530697</v>
      </c>
      <c r="O19" s="241">
        <v>28.566908997593707</v>
      </c>
    </row>
    <row r="20" spans="2:15" ht="12.75" customHeight="1">
      <c r="B20" s="251">
        <v>2029</v>
      </c>
      <c r="C20" s="239">
        <v>22.173265278043811</v>
      </c>
      <c r="D20" s="240">
        <v>24.298860389306661</v>
      </c>
      <c r="E20" s="240">
        <v>26.706475899616876</v>
      </c>
      <c r="F20" s="240">
        <v>20.896182970372578</v>
      </c>
      <c r="G20" s="240">
        <v>15.328112563181875</v>
      </c>
      <c r="H20" s="241">
        <v>12.3374150293022</v>
      </c>
      <c r="I20" s="242">
        <v>15.595827113445848</v>
      </c>
      <c r="J20" s="240">
        <v>22.49746948978413</v>
      </c>
      <c r="K20" s="240">
        <v>27.272621309683529</v>
      </c>
      <c r="L20" s="241">
        <v>26.782969934884253</v>
      </c>
      <c r="M20" s="242">
        <v>22.149617511039821</v>
      </c>
      <c r="N20" s="240">
        <v>22.768664068857209</v>
      </c>
      <c r="O20" s="241">
        <v>29.618584619399801</v>
      </c>
    </row>
    <row r="21" spans="2:15" ht="12.75" customHeight="1">
      <c r="B21" s="251">
        <v>2030</v>
      </c>
      <c r="C21" s="239">
        <v>22.329548208730952</v>
      </c>
      <c r="D21" s="240">
        <v>24.339104267783984</v>
      </c>
      <c r="E21" s="240">
        <v>26.900489866950196</v>
      </c>
      <c r="F21" s="240">
        <v>20.469151284040141</v>
      </c>
      <c r="G21" s="240">
        <v>14.767612778916956</v>
      </c>
      <c r="H21" s="241">
        <v>12.014539683351433</v>
      </c>
      <c r="I21" s="242">
        <v>15.427941823026579</v>
      </c>
      <c r="J21" s="240">
        <v>23.230232294581189</v>
      </c>
      <c r="K21" s="240">
        <v>27.37613594399625</v>
      </c>
      <c r="L21" s="241">
        <v>25.696069008556712</v>
      </c>
      <c r="M21" s="242">
        <v>22.924903707922667</v>
      </c>
      <c r="N21" s="240">
        <v>24.101222892692935</v>
      </c>
      <c r="O21" s="241">
        <v>30.848706522078242</v>
      </c>
    </row>
    <row r="22" spans="2:15" ht="12.75" customHeight="1">
      <c r="B22" s="251">
        <v>2031</v>
      </c>
      <c r="C22" s="239">
        <v>21.678981552067413</v>
      </c>
      <c r="D22" s="240">
        <v>24.5134113090966</v>
      </c>
      <c r="E22" s="240">
        <v>26.487512171121669</v>
      </c>
      <c r="F22" s="240">
        <v>20.114270557934439</v>
      </c>
      <c r="G22" s="240">
        <v>14.983645974716378</v>
      </c>
      <c r="H22" s="241">
        <v>11.638103510589408</v>
      </c>
      <c r="I22" s="242">
        <v>15.301227225242803</v>
      </c>
      <c r="J22" s="240">
        <v>22.332872512564265</v>
      </c>
      <c r="K22" s="240">
        <v>25.920364873935618</v>
      </c>
      <c r="L22" s="241">
        <v>24.580074356951233</v>
      </c>
      <c r="M22" s="242">
        <v>20.868149502186647</v>
      </c>
      <c r="N22" s="240">
        <v>23.286023773998643</v>
      </c>
      <c r="O22" s="241">
        <v>30.311175662270916</v>
      </c>
    </row>
    <row r="23" spans="2:15" ht="12.75" customHeight="1">
      <c r="B23" s="251">
        <v>2032</v>
      </c>
      <c r="C23" s="239">
        <v>21.902060166408454</v>
      </c>
      <c r="D23" s="240">
        <v>25.108307421733777</v>
      </c>
      <c r="E23" s="240">
        <v>26.323719965826463</v>
      </c>
      <c r="F23" s="240">
        <v>19.440524271588412</v>
      </c>
      <c r="G23" s="240">
        <v>13.503215654294731</v>
      </c>
      <c r="H23" s="241">
        <v>11.608928593608841</v>
      </c>
      <c r="I23" s="242">
        <v>15.324120817449773</v>
      </c>
      <c r="J23" s="240">
        <v>22.180428060687358</v>
      </c>
      <c r="K23" s="240">
        <v>26.47504515736474</v>
      </c>
      <c r="L23" s="241">
        <v>24.319567415756485</v>
      </c>
      <c r="M23" s="242">
        <v>22.149343749994152</v>
      </c>
      <c r="N23" s="240">
        <v>24.346678186155028</v>
      </c>
      <c r="O23" s="241">
        <v>32.00383176718308</v>
      </c>
    </row>
    <row r="24" spans="2:15" ht="12.75" customHeight="1">
      <c r="B24" s="251">
        <v>2033</v>
      </c>
      <c r="C24" s="239">
        <v>21.077929260772656</v>
      </c>
      <c r="D24" s="240">
        <v>24.809238594134527</v>
      </c>
      <c r="E24" s="240">
        <v>27.584980563094749</v>
      </c>
      <c r="F24" s="240">
        <v>18.588196246672261</v>
      </c>
      <c r="G24" s="240">
        <v>12.620717493076912</v>
      </c>
      <c r="H24" s="241">
        <v>11.023843030926562</v>
      </c>
      <c r="I24" s="242">
        <v>14.435801210256708</v>
      </c>
      <c r="J24" s="240">
        <v>21.156074384255437</v>
      </c>
      <c r="K24" s="240">
        <v>25.075369950315803</v>
      </c>
      <c r="L24" s="241">
        <v>21.350317833394019</v>
      </c>
      <c r="M24" s="242">
        <v>21.234593521531231</v>
      </c>
      <c r="N24" s="240">
        <v>23.873091524318895</v>
      </c>
      <c r="O24" s="241">
        <v>31.424519194229354</v>
      </c>
    </row>
    <row r="25" spans="2:15" ht="12.75" customHeight="1">
      <c r="B25" s="251">
        <v>2034</v>
      </c>
      <c r="C25" s="239">
        <v>21.860552643153085</v>
      </c>
      <c r="D25" s="240">
        <v>26.176909738464222</v>
      </c>
      <c r="E25" s="240">
        <v>28.554698761772322</v>
      </c>
      <c r="F25" s="240">
        <v>20.549060204957403</v>
      </c>
      <c r="G25" s="240">
        <v>13.59647745328914</v>
      </c>
      <c r="H25" s="241">
        <v>11.371242140606647</v>
      </c>
      <c r="I25" s="242">
        <v>14.859125860058599</v>
      </c>
      <c r="J25" s="240">
        <v>21.117171842022849</v>
      </c>
      <c r="K25" s="240">
        <v>25.011831559867307</v>
      </c>
      <c r="L25" s="241">
        <v>22.650358202836578</v>
      </c>
      <c r="M25" s="242">
        <v>21.943498299938817</v>
      </c>
      <c r="N25" s="240">
        <v>24.579016178141451</v>
      </c>
      <c r="O25" s="241">
        <v>32.185796491288812</v>
      </c>
    </row>
    <row r="26" spans="2:15" ht="12.75" customHeight="1">
      <c r="B26" s="251">
        <v>2035</v>
      </c>
      <c r="C26" s="239">
        <v>22.478048679411003</v>
      </c>
      <c r="D26" s="240">
        <v>27.917467752321752</v>
      </c>
      <c r="E26" s="240">
        <v>29.116567988036909</v>
      </c>
      <c r="F26" s="240">
        <v>19.598246272509737</v>
      </c>
      <c r="G26" s="240">
        <v>14.159417553790741</v>
      </c>
      <c r="H26" s="241">
        <v>11.839589084731715</v>
      </c>
      <c r="I26" s="242">
        <v>14.972687479802925</v>
      </c>
      <c r="J26" s="240">
        <v>21.451211358577773</v>
      </c>
      <c r="K26" s="240">
        <v>28.019674764134152</v>
      </c>
      <c r="L26" s="241">
        <v>24.483313385249012</v>
      </c>
      <c r="M26" s="242">
        <v>22.279418456622711</v>
      </c>
      <c r="N26" s="240">
        <v>23.539345812928968</v>
      </c>
      <c r="O26" s="241">
        <v>32.590551581001613</v>
      </c>
    </row>
    <row r="27" spans="2:15" ht="12.75" customHeight="1">
      <c r="B27" s="251">
        <v>2036</v>
      </c>
      <c r="C27" s="239">
        <v>23.679525714718579</v>
      </c>
      <c r="D27" s="240">
        <v>28.669472939590975</v>
      </c>
      <c r="E27" s="240">
        <v>29.639961029418753</v>
      </c>
      <c r="F27" s="240">
        <v>20.077834787524996</v>
      </c>
      <c r="G27" s="240">
        <v>14.03002649543186</v>
      </c>
      <c r="H27" s="241">
        <v>12.31364113342017</v>
      </c>
      <c r="I27" s="242">
        <v>15.761602680932317</v>
      </c>
      <c r="J27" s="240">
        <v>23.467869173151552</v>
      </c>
      <c r="K27" s="240">
        <v>27.171645251308437</v>
      </c>
      <c r="L27" s="241">
        <v>26.831463992391196</v>
      </c>
      <c r="M27" s="242">
        <v>24.996114765778184</v>
      </c>
      <c r="N27" s="240">
        <v>26.629539734234619</v>
      </c>
      <c r="O27" s="241">
        <v>34.579826937749459</v>
      </c>
    </row>
    <row r="28" spans="2:15" ht="12.75" customHeight="1">
      <c r="B28" s="251">
        <v>2037</v>
      </c>
      <c r="C28" s="239">
        <v>25.731553782708978</v>
      </c>
      <c r="D28" s="240">
        <v>33.677674534225893</v>
      </c>
      <c r="E28" s="240">
        <v>34.82637137265543</v>
      </c>
      <c r="F28" s="240">
        <v>23.408841524971347</v>
      </c>
      <c r="G28" s="240">
        <v>14.060240661872655</v>
      </c>
      <c r="H28" s="241">
        <v>11.847576847301335</v>
      </c>
      <c r="I28" s="242">
        <v>16.405409774829426</v>
      </c>
      <c r="J28" s="240">
        <v>22.542464109713272</v>
      </c>
      <c r="K28" s="240">
        <v>28.975985404436265</v>
      </c>
      <c r="L28" s="241">
        <v>29.532593322154341</v>
      </c>
      <c r="M28" s="242">
        <v>28.898484289214537</v>
      </c>
      <c r="N28" s="240">
        <v>28.155690737905189</v>
      </c>
      <c r="O28" s="241">
        <v>36.850931269219444</v>
      </c>
    </row>
    <row r="29" spans="2:15" ht="12.75" customHeight="1">
      <c r="B29" s="251">
        <v>2038</v>
      </c>
      <c r="C29" s="239">
        <v>24.619564776265459</v>
      </c>
      <c r="D29" s="240">
        <v>31.277101330833851</v>
      </c>
      <c r="E29" s="240">
        <v>33.025602146166243</v>
      </c>
      <c r="F29" s="240">
        <v>20.618471516042106</v>
      </c>
      <c r="G29" s="240">
        <v>12.022593660380071</v>
      </c>
      <c r="H29" s="241">
        <v>10.534923239781831</v>
      </c>
      <c r="I29" s="242">
        <v>14.6070620187611</v>
      </c>
      <c r="J29" s="240">
        <v>22.782174482206784</v>
      </c>
      <c r="K29" s="240">
        <v>28.856191045302015</v>
      </c>
      <c r="L29" s="241">
        <v>27.916234917481741</v>
      </c>
      <c r="M29" s="242">
        <v>28.07284915104108</v>
      </c>
      <c r="N29" s="240">
        <v>28.504330473368782</v>
      </c>
      <c r="O29" s="241">
        <v>37.53305217493606</v>
      </c>
    </row>
    <row r="30" spans="2:15" ht="12.75" customHeight="1">
      <c r="B30" s="252">
        <v>2039</v>
      </c>
      <c r="C30" s="244">
        <v>25.725234350245838</v>
      </c>
      <c r="D30" s="245">
        <v>33.503149974151881</v>
      </c>
      <c r="E30" s="245">
        <v>35.005728539889233</v>
      </c>
      <c r="F30" s="245">
        <v>22.005403027582954</v>
      </c>
      <c r="G30" s="245">
        <v>12.605701025250886</v>
      </c>
      <c r="H30" s="246">
        <v>11.548769321907111</v>
      </c>
      <c r="I30" s="247">
        <v>15.418367792591452</v>
      </c>
      <c r="J30" s="245">
        <v>23.513145526160475</v>
      </c>
      <c r="K30" s="245">
        <v>29.239893721180657</v>
      </c>
      <c r="L30" s="246">
        <v>29.542730219435775</v>
      </c>
      <c r="M30" s="247">
        <v>29.035693438831437</v>
      </c>
      <c r="N30" s="245">
        <v>29.42778893706782</v>
      </c>
      <c r="O30" s="246">
        <v>38.241444973812627</v>
      </c>
    </row>
    <row r="31" spans="2:15" ht="12.75" hidden="1" customHeight="1">
      <c r="B31" s="15"/>
      <c r="C31" s="239"/>
      <c r="D31" s="240"/>
      <c r="E31" s="240"/>
      <c r="F31" s="240"/>
      <c r="G31" s="240"/>
      <c r="H31" s="241"/>
      <c r="I31" s="242"/>
      <c r="J31" s="240"/>
      <c r="K31" s="240"/>
      <c r="L31" s="241"/>
      <c r="M31" s="242"/>
      <c r="N31" s="240"/>
      <c r="O31" s="241"/>
    </row>
    <row r="32" spans="2:15" ht="12.75" hidden="1" customHeight="1">
      <c r="B32" s="243"/>
      <c r="C32" s="244"/>
      <c r="D32" s="245"/>
      <c r="E32" s="245"/>
      <c r="F32" s="245"/>
      <c r="G32" s="245"/>
      <c r="H32" s="246"/>
      <c r="I32" s="247"/>
      <c r="J32" s="245"/>
      <c r="K32" s="245"/>
      <c r="L32" s="246"/>
      <c r="M32" s="247"/>
      <c r="N32" s="245"/>
      <c r="O32" s="246"/>
    </row>
    <row r="33" spans="2:16" ht="12.75" customHeight="1">
      <c r="D33" s="10"/>
      <c r="E33" s="10"/>
      <c r="F33" s="10"/>
      <c r="M33" s="248"/>
    </row>
    <row r="34" spans="2:16">
      <c r="B34" s="249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8" spans="2:16" hidden="1">
      <c r="C38" s="250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50"/>
    </row>
    <row r="40" spans="2:16">
      <c r="C40" s="250"/>
    </row>
    <row r="41" spans="2:16">
      <c r="C41" s="250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tabSelected="1" view="pageBreakPreview" topLeftCell="A2" zoomScale="80" zoomScaleNormal="100" zoomScaleSheetLayoutView="80" workbookViewId="0">
      <selection activeCell="D26" sqref="D26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2021.Q3 - 100.0 MW and 100.0% CF</v>
      </c>
      <c r="C5" s="1"/>
      <c r="D5" s="1"/>
      <c r="H5" s="96">
        <v>44469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09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tr">
        <f>IF(_xlfn.SINGLE(_30_Geo_West)&gt;0,"IRP - Wyo NE",IF(_xlfn.SINGLE(_436_CCCT_WestMain)&gt;0,"West Side","IRP - Utah Greenfield"))</f>
        <v>IRP - Utah Greenfield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4.46</v>
      </c>
      <c r="D19" s="27">
        <f t="shared" si="1"/>
        <v>4.47</v>
      </c>
      <c r="E19" s="27">
        <f t="shared" si="2"/>
        <v>4.12</v>
      </c>
      <c r="F19" s="27">
        <f t="shared" si="3"/>
        <v>6.63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4.7</v>
      </c>
      <c r="D20" s="27">
        <f t="shared" si="1"/>
        <v>4.71</v>
      </c>
      <c r="E20" s="27">
        <f t="shared" si="2"/>
        <v>4.22</v>
      </c>
      <c r="F20" s="27">
        <f t="shared" si="3"/>
        <v>4.3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3.55</v>
      </c>
      <c r="D21" s="27">
        <f t="shared" si="1"/>
        <v>3.56</v>
      </c>
      <c r="E21" s="27">
        <f t="shared" si="2"/>
        <v>3.43</v>
      </c>
      <c r="F21" s="27">
        <f t="shared" si="3"/>
        <v>3.29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3.34</v>
      </c>
      <c r="D22" s="27">
        <f t="shared" si="1"/>
        <v>3.35</v>
      </c>
      <c r="E22" s="27">
        <f t="shared" si="2"/>
        <v>3.17</v>
      </c>
      <c r="F22" s="27">
        <f t="shared" si="3"/>
        <v>2.98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3.2</v>
      </c>
      <c r="D23" s="27">
        <f t="shared" si="1"/>
        <v>3.21</v>
      </c>
      <c r="E23" s="27">
        <f t="shared" si="2"/>
        <v>3.07</v>
      </c>
      <c r="F23" s="27">
        <f t="shared" si="3"/>
        <v>2.84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3</v>
      </c>
      <c r="D24" s="27">
        <f t="shared" si="1"/>
        <v>3.01</v>
      </c>
      <c r="E24" s="27">
        <f t="shared" si="2"/>
        <v>2.92</v>
      </c>
      <c r="F24" s="27">
        <f t="shared" si="3"/>
        <v>2.64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3.04</v>
      </c>
      <c r="D25" s="27">
        <f t="shared" si="1"/>
        <v>3.05</v>
      </c>
      <c r="E25" s="27">
        <f t="shared" si="2"/>
        <v>2.98</v>
      </c>
      <c r="F25" s="27">
        <f t="shared" si="3"/>
        <v>2.68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3.11</v>
      </c>
      <c r="D26" s="27">
        <f t="shared" si="1"/>
        <v>3.12</v>
      </c>
      <c r="E26" s="27">
        <f t="shared" si="2"/>
        <v>3.03</v>
      </c>
      <c r="F26" s="27">
        <f t="shared" si="3"/>
        <v>2.75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3.19</v>
      </c>
      <c r="D27" s="27">
        <f t="shared" si="1"/>
        <v>3.2</v>
      </c>
      <c r="E27" s="27">
        <f t="shared" si="2"/>
        <v>3.14</v>
      </c>
      <c r="F27" s="27">
        <f t="shared" si="3"/>
        <v>2.82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3.36</v>
      </c>
      <c r="D28" s="27">
        <f t="shared" si="1"/>
        <v>3.37</v>
      </c>
      <c r="E28" s="27">
        <f t="shared" si="2"/>
        <v>3.27</v>
      </c>
      <c r="F28" s="27">
        <f t="shared" si="3"/>
        <v>2.99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3.5</v>
      </c>
      <c r="D29" s="27">
        <f t="shared" si="1"/>
        <v>3.51</v>
      </c>
      <c r="E29" s="27">
        <f t="shared" si="2"/>
        <v>3.39</v>
      </c>
      <c r="F29" s="27">
        <f t="shared" si="3"/>
        <v>3.14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3.57</v>
      </c>
      <c r="D30" s="27">
        <f t="shared" si="1"/>
        <v>3.58</v>
      </c>
      <c r="E30" s="27">
        <f t="shared" si="2"/>
        <v>3.46</v>
      </c>
      <c r="F30" s="27">
        <f t="shared" si="3"/>
        <v>3.21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3.57</v>
      </c>
      <c r="D31" s="27">
        <f t="shared" si="1"/>
        <v>3.58</v>
      </c>
      <c r="E31" s="27">
        <f t="shared" si="2"/>
        <v>3.47</v>
      </c>
      <c r="F31" s="27">
        <f t="shared" si="3"/>
        <v>3.2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3.72</v>
      </c>
      <c r="D32" s="27">
        <f t="shared" si="1"/>
        <v>3.73</v>
      </c>
      <c r="E32" s="27">
        <f t="shared" si="2"/>
        <v>3.59</v>
      </c>
      <c r="F32" s="27">
        <f t="shared" si="3"/>
        <v>3.35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3.83</v>
      </c>
      <c r="D33" s="27">
        <f t="shared" si="1"/>
        <v>3.84</v>
      </c>
      <c r="E33" s="27">
        <f t="shared" si="2"/>
        <v>3.66</v>
      </c>
      <c r="F33" s="27">
        <f t="shared" si="3"/>
        <v>3.47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3.91</v>
      </c>
      <c r="D34" s="27">
        <f t="shared" si="1"/>
        <v>3.92</v>
      </c>
      <c r="E34" s="27">
        <f t="shared" si="2"/>
        <v>3.71</v>
      </c>
      <c r="F34" s="27">
        <f t="shared" si="3"/>
        <v>3.54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4.0199999999999996</v>
      </c>
      <c r="D35" s="27">
        <f t="shared" si="1"/>
        <v>4.03</v>
      </c>
      <c r="E35" s="27">
        <f t="shared" si="2"/>
        <v>3.83</v>
      </c>
      <c r="F35" s="27">
        <f t="shared" si="3"/>
        <v>3.65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4.21</v>
      </c>
      <c r="D36" s="27">
        <f t="shared" si="1"/>
        <v>4.22</v>
      </c>
      <c r="E36" s="27">
        <f t="shared" si="2"/>
        <v>3.95</v>
      </c>
      <c r="F36" s="27">
        <f t="shared" si="3"/>
        <v>3.84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4.41</v>
      </c>
      <c r="D37" s="27">
        <f t="shared" si="1"/>
        <v>4.42</v>
      </c>
      <c r="E37" s="27">
        <f t="shared" si="2"/>
        <v>4.1500000000000004</v>
      </c>
      <c r="F37" s="27">
        <f t="shared" si="3"/>
        <v>4.04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4.57</v>
      </c>
      <c r="D38" s="27">
        <f t="shared" si="1"/>
        <v>4.59</v>
      </c>
      <c r="E38" s="27">
        <f t="shared" si="2"/>
        <v>4.26</v>
      </c>
      <c r="F38" s="27">
        <f t="shared" si="3"/>
        <v>4.2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Sep 30,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5.4698525915035994</v>
      </c>
      <c r="J86" s="35">
        <v>5.479991494474298</v>
      </c>
      <c r="K86" s="35">
        <v>5.149086659617522</v>
      </c>
      <c r="L86" s="35">
        <v>4.6505166315366857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6.6926042897698474</v>
      </c>
      <c r="J87" s="35">
        <v>6.7027431927405461</v>
      </c>
      <c r="K87" s="35">
        <v>6.0121234629836167</v>
      </c>
      <c r="L87" s="35">
        <v>5.7500850346281238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7.4469386707898213</v>
      </c>
      <c r="J88" s="35">
        <v>7.4570775737605191</v>
      </c>
      <c r="K88" s="35">
        <v>6.6534332853685125</v>
      </c>
      <c r="L88" s="35">
        <v>6.3362538592793332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7.5478207553482717</v>
      </c>
      <c r="J89" s="35">
        <v>7.5579596583189703</v>
      </c>
      <c r="K89" s="35">
        <v>6.1979143101953253</v>
      </c>
      <c r="L89" s="35">
        <v>6.5791525845628822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7.1529104846395626</v>
      </c>
      <c r="J90" s="35">
        <v>7.1630493876102612</v>
      </c>
      <c r="K90" s="35">
        <v>5.9212992862809024</v>
      </c>
      <c r="L90" s="35">
        <v>6.4165509585466225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5.7294085075534831</v>
      </c>
      <c r="J91" s="35">
        <v>5.7395474105241817</v>
      </c>
      <c r="K91" s="35">
        <v>4.9244599329719279</v>
      </c>
      <c r="L91" s="35">
        <v>5.4539894810799963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3.8146766815370579</v>
      </c>
      <c r="J92" s="35">
        <v>3.8248155845077569</v>
      </c>
      <c r="K92" s="35">
        <v>3.6286360891946132</v>
      </c>
      <c r="L92" s="35">
        <v>3.6713938773461807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3.5262248920206836</v>
      </c>
      <c r="J93" s="35">
        <v>3.5363637949913826</v>
      </c>
      <c r="K93" s="35">
        <v>3.3791543997113322</v>
      </c>
      <c r="L93" s="35">
        <v>3.4084208772458093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3.6539750694514854</v>
      </c>
      <c r="J94" s="35">
        <v>3.6641139724221845</v>
      </c>
      <c r="K94" s="35">
        <v>3.3844360793143413</v>
      </c>
      <c r="L94" s="35">
        <v>3.4370267188597809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3.9312740657000913</v>
      </c>
      <c r="J95" s="35">
        <v>3.9414129686707899</v>
      </c>
      <c r="K95" s="35">
        <v>3.6238722213173902</v>
      </c>
      <c r="L95" s="35">
        <v>3.6412824651209474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3.999204715603772</v>
      </c>
      <c r="J96" s="35">
        <v>4.0093436185744711</v>
      </c>
      <c r="K96" s="35">
        <v>3.666488126349507</v>
      </c>
      <c r="L96" s="35">
        <v>3.6608548830673495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3.9571282682753726</v>
      </c>
      <c r="J97" s="35">
        <v>3.9672671712460716</v>
      </c>
      <c r="K97" s="35">
        <v>3.571314331150198</v>
      </c>
      <c r="L97" s="35">
        <v>3.6317471845829568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3.8014961076751494</v>
      </c>
      <c r="J98" s="35">
        <v>3.8116350106458481</v>
      </c>
      <c r="K98" s="35">
        <v>3.7165087390603522</v>
      </c>
      <c r="L98" s="35">
        <v>3.5905949212084711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4.4062816698773188</v>
      </c>
      <c r="J99" s="35">
        <v>4.4164205728480175</v>
      </c>
      <c r="K99" s="35">
        <v>4.1726490883044836</v>
      </c>
      <c r="L99" s="35">
        <v>3.8405196426779082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4.8280600334583799</v>
      </c>
      <c r="J100" s="35">
        <v>4.8381989364290785</v>
      </c>
      <c r="K100" s="35">
        <v>4.4868572435109062</v>
      </c>
      <c r="L100" s="35">
        <v>4.3157780989661747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4.8620253584102207</v>
      </c>
      <c r="J101" s="35">
        <v>4.8721642613809184</v>
      </c>
      <c r="K101" s="35">
        <v>4.6457736621543653</v>
      </c>
      <c r="L101" s="35">
        <v>4.4522831677205659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4.6851015015715305</v>
      </c>
      <c r="J102" s="35">
        <v>4.6952404045422282</v>
      </c>
      <c r="K102" s="35">
        <v>4.4757760725791034</v>
      </c>
      <c r="L102" s="35">
        <v>4.3273208069858473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4.123406276994829</v>
      </c>
      <c r="J103" s="35">
        <v>4.1335451799655276</v>
      </c>
      <c r="K103" s="35">
        <v>3.7751768075918082</v>
      </c>
      <c r="L103" s="35">
        <v>3.7737726789119743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2.895585127243232</v>
      </c>
      <c r="J104" s="35">
        <v>2.9057240302139311</v>
      </c>
      <c r="K104" s="35">
        <v>2.9459013287469054</v>
      </c>
      <c r="L104" s="35">
        <v>2.8041852052594596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2.8235989161512727</v>
      </c>
      <c r="J105" s="35">
        <v>2.8337378191219713</v>
      </c>
      <c r="K105" s="35">
        <v>2.7637869447882712</v>
      </c>
      <c r="L105" s="35">
        <v>2.6802265582655824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2.870744814965021</v>
      </c>
      <c r="J106" s="35">
        <v>2.8808837179357196</v>
      </c>
      <c r="K106" s="35">
        <v>2.7816514493278586</v>
      </c>
      <c r="L106" s="35">
        <v>2.7043156880457691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3.136891017945858</v>
      </c>
      <c r="J107" s="35">
        <v>3.1470299209165571</v>
      </c>
      <c r="K107" s="35">
        <v>3.0333079480594369</v>
      </c>
      <c r="L107" s="35">
        <v>2.8900027301013749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3.1526063175504411</v>
      </c>
      <c r="J108" s="35">
        <v>3.1627452205211402</v>
      </c>
      <c r="K108" s="35">
        <v>3.0663961173371073</v>
      </c>
      <c r="L108" s="35">
        <v>2.9030510087323091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3.1358771276487882</v>
      </c>
      <c r="J109" s="35">
        <v>3.1460160306194873</v>
      </c>
      <c r="K109" s="35">
        <v>3.0622536235308262</v>
      </c>
      <c r="L109" s="35">
        <v>2.9015454381210475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3.0633839714082938</v>
      </c>
      <c r="J110" s="35">
        <v>3.0735228743789924</v>
      </c>
      <c r="K110" s="35">
        <v>3.0678459901693067</v>
      </c>
      <c r="L110" s="35">
        <v>2.9125862892702998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3.7543502088614011</v>
      </c>
      <c r="J111" s="35">
        <v>3.7644891118320998</v>
      </c>
      <c r="K111" s="35">
        <v>3.5778387588950911</v>
      </c>
      <c r="L111" s="35">
        <v>3.4159487303021177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4.0904548423400593</v>
      </c>
      <c r="J112" s="35">
        <v>4.100593745310757</v>
      </c>
      <c r="K112" s="35">
        <v>3.9057171436622422</v>
      </c>
      <c r="L112" s="35">
        <v>3.6984941483488907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4.1251298904998484</v>
      </c>
      <c r="J113" s="35">
        <v>4.135268793470547</v>
      </c>
      <c r="K113" s="35">
        <v>4.0949773294367109</v>
      </c>
      <c r="L113" s="35">
        <v>3.9183074575930945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3.9823741366724121</v>
      </c>
      <c r="J114" s="35">
        <v>3.9925130396431112</v>
      </c>
      <c r="K114" s="35">
        <v>3.979557095759203</v>
      </c>
      <c r="L114" s="35">
        <v>3.8194416541202449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3.5010804126533506</v>
      </c>
      <c r="J115" s="35">
        <v>3.5112193156240497</v>
      </c>
      <c r="K115" s="35">
        <v>3.388630354293201</v>
      </c>
      <c r="L115" s="35">
        <v>3.3431794840911375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2.8480336723106561</v>
      </c>
      <c r="J116" s="35">
        <v>2.8581725752813547</v>
      </c>
      <c r="K116" s="35">
        <v>2.6932092065637563</v>
      </c>
      <c r="L116" s="35">
        <v>2.5492419150858172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2.7726002342086589</v>
      </c>
      <c r="J117" s="35">
        <v>2.7827391371793575</v>
      </c>
      <c r="K117" s="35">
        <v>2.5631349010465292</v>
      </c>
      <c r="L117" s="35">
        <v>2.46141696276222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2.8622281364696343</v>
      </c>
      <c r="J118" s="35">
        <v>2.8723670394403329</v>
      </c>
      <c r="K118" s="35">
        <v>2.5912520777566619</v>
      </c>
      <c r="L118" s="35">
        <v>2.4754689551339957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3.2465939480888166</v>
      </c>
      <c r="J119" s="35">
        <v>3.2567328510595157</v>
      </c>
      <c r="K119" s="35">
        <v>2.819555267655331</v>
      </c>
      <c r="L119" s="35">
        <v>2.6571411422262372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3.2679870333569907</v>
      </c>
      <c r="J120" s="35">
        <v>3.2781259363276898</v>
      </c>
      <c r="K120" s="35">
        <v>2.8472581949848363</v>
      </c>
      <c r="L120" s="35">
        <v>2.6651708521529658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3.2027938872553987</v>
      </c>
      <c r="J121" s="35">
        <v>3.2129327902260978</v>
      </c>
      <c r="K121" s="35">
        <v>2.8404230802044719</v>
      </c>
      <c r="L121" s="35">
        <v>2.6576429990966575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3.0284047561593836</v>
      </c>
      <c r="J122" s="35">
        <v>3.0385436591300823</v>
      </c>
      <c r="K122" s="35">
        <v>2.8491223171976623</v>
      </c>
      <c r="L122" s="35">
        <v>2.6656727090233865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3.506656809287235</v>
      </c>
      <c r="J123" s="35">
        <v>3.5167957122579341</v>
      </c>
      <c r="K123" s="35">
        <v>3.5193778150539488</v>
      </c>
      <c r="L123" s="35">
        <v>3.1707414634146343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3.7840571945655479</v>
      </c>
      <c r="J124" s="35">
        <v>3.794196097536247</v>
      </c>
      <c r="K124" s="35">
        <v>3.8026208290584202</v>
      </c>
      <c r="L124" s="35">
        <v>3.3951718558667063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3.7783794089019569</v>
      </c>
      <c r="J125" s="35">
        <v>3.788518311872656</v>
      </c>
      <c r="K125" s="35">
        <v>4.0896438686611241</v>
      </c>
      <c r="L125" s="35">
        <v>3.5750373582254342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3.6480945057284799</v>
      </c>
      <c r="J126" s="35">
        <v>3.658233408699179</v>
      </c>
      <c r="K126" s="35">
        <v>3.8280453847944713</v>
      </c>
      <c r="L126" s="35">
        <v>3.4885172337649299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3.2541981253168411</v>
      </c>
      <c r="J127" s="35">
        <v>3.2643370282875397</v>
      </c>
      <c r="K127" s="35">
        <v>3.2371704245010466</v>
      </c>
      <c r="L127" s="35">
        <v>3.0987751881963264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2.7326529565041064</v>
      </c>
      <c r="J128" s="35">
        <v>2.7427918594748051</v>
      </c>
      <c r="K128" s="35">
        <v>2.6161070405943492</v>
      </c>
      <c r="L128" s="35">
        <v>2.435019291378099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2.6540764584811924</v>
      </c>
      <c r="J129" s="35">
        <v>2.6642153614518911</v>
      </c>
      <c r="K129" s="35">
        <v>2.6082880835349931</v>
      </c>
      <c r="L129" s="35">
        <v>2.3440828264578943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2.7868960873973436</v>
      </c>
      <c r="J130" s="35">
        <v>2.7970349903680427</v>
      </c>
      <c r="K130" s="35">
        <v>2.6584640397635733</v>
      </c>
      <c r="L130" s="35">
        <v>2.400893024189501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3.2398008830984488</v>
      </c>
      <c r="J131" s="35">
        <v>3.2499397860691475</v>
      </c>
      <c r="K131" s="35">
        <v>2.8225067944923059</v>
      </c>
      <c r="L131" s="35">
        <v>2.6504162601626016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3.295869016526412</v>
      </c>
      <c r="J132" s="35">
        <v>3.3060079194971106</v>
      </c>
      <c r="K132" s="35">
        <v>2.878689366739994</v>
      </c>
      <c r="L132" s="35">
        <v>2.6926726086520123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3.2210439126026564</v>
      </c>
      <c r="J133" s="35">
        <v>3.2311828155733551</v>
      </c>
      <c r="K133" s="35">
        <v>2.7768358002780564</v>
      </c>
      <c r="L133" s="35">
        <v>2.6758102178058816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3.0192797434857552</v>
      </c>
      <c r="J134" s="35">
        <v>3.0294186464564539</v>
      </c>
      <c r="K134" s="35">
        <v>2.7826352916068506</v>
      </c>
      <c r="L134" s="35">
        <v>2.6567396567299002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3.2588620206833623</v>
      </c>
      <c r="J135" s="35">
        <v>3.2690009236540609</v>
      </c>
      <c r="K135" s="35">
        <v>3.1736349257472103</v>
      </c>
      <c r="L135" s="35">
        <v>2.9254338251530663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3.4776595467910374</v>
      </c>
      <c r="J136" s="35">
        <v>3.487798449761736</v>
      </c>
      <c r="K136" s="35">
        <v>3.3559564343961585</v>
      </c>
      <c r="L136" s="35">
        <v>3.0918495633845224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3.4317303163337725</v>
      </c>
      <c r="J137" s="35">
        <v>3.4418692193044715</v>
      </c>
      <c r="K137" s="35">
        <v>3.6650900346898871</v>
      </c>
      <c r="L137" s="35">
        <v>3.2318676302318581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3.3138148747845482</v>
      </c>
      <c r="J138" s="35">
        <v>3.3239537777552473</v>
      </c>
      <c r="K138" s="35">
        <v>3.3519175029350343</v>
      </c>
      <c r="L138" s="35">
        <v>3.1575928134096154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3.0072144489506236</v>
      </c>
      <c r="J139" s="35">
        <v>3.0173533519213223</v>
      </c>
      <c r="K139" s="35">
        <v>2.8641388572454312</v>
      </c>
      <c r="L139" s="35">
        <v>2.8542705209274315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2.5705318980026362</v>
      </c>
      <c r="J140" s="35">
        <v>2.5806708009733352</v>
      </c>
      <c r="K140" s="35">
        <v>2.5390048746249416</v>
      </c>
      <c r="L140" s="35">
        <v>2.2745254642176049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2.5356540717834331</v>
      </c>
      <c r="J141" s="35">
        <v>2.5457929747541317</v>
      </c>
      <c r="K141" s="35">
        <v>2.6533894848508792</v>
      </c>
      <c r="L141" s="35">
        <v>2.2267486901535682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2.6412000517084055</v>
      </c>
      <c r="J142" s="35">
        <v>2.6513389546791042</v>
      </c>
      <c r="K142" s="35">
        <v>2.7256760017704851</v>
      </c>
      <c r="L142" s="35">
        <v>2.2567597310047174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2.9963658227719763</v>
      </c>
      <c r="J143" s="35">
        <v>3.0065047257426749</v>
      </c>
      <c r="K143" s="35">
        <v>2.749754247019494</v>
      </c>
      <c r="L143" s="35">
        <v>2.4094245909866503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3.0769701013890298</v>
      </c>
      <c r="J144" s="35">
        <v>3.0871090043597285</v>
      </c>
      <c r="K144" s="35">
        <v>2.8280473799582073</v>
      </c>
      <c r="L144" s="35">
        <v>2.4760711833785005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3.0290130903376253</v>
      </c>
      <c r="J145" s="35">
        <v>3.0391519933083244</v>
      </c>
      <c r="K145" s="35">
        <v>2.6353178556209782</v>
      </c>
      <c r="L145" s="35">
        <v>2.4856064639164912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2.9203240504917365</v>
      </c>
      <c r="J146" s="35">
        <v>2.9304629534624356</v>
      </c>
      <c r="K146" s="35">
        <v>2.6775195112724668</v>
      </c>
      <c r="L146" s="35">
        <v>2.5586768242497242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3.0779839916860996</v>
      </c>
      <c r="J147" s="35">
        <v>3.0881228946567982</v>
      </c>
      <c r="K147" s="35">
        <v>3.0267317391419657</v>
      </c>
      <c r="L147" s="35">
        <v>2.7463712937870119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3.3845844175200241</v>
      </c>
      <c r="J148" s="35">
        <v>3.3947233204907232</v>
      </c>
      <c r="K148" s="35">
        <v>3.3579759001267204</v>
      </c>
      <c r="L148" s="35">
        <v>2.9997086419753085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3.5178096025550034</v>
      </c>
      <c r="J149" s="35">
        <v>3.5279485055257025</v>
      </c>
      <c r="K149" s="35">
        <v>3.7441081040446997</v>
      </c>
      <c r="L149" s="35">
        <v>3.3170829268292681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3.3848885846091452</v>
      </c>
      <c r="J150" s="35">
        <v>3.3950274875798443</v>
      </c>
      <c r="K150" s="35">
        <v>3.6021241288344141</v>
      </c>
      <c r="L150" s="35">
        <v>3.2278527752684933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3.0223214143769641</v>
      </c>
      <c r="J151" s="35">
        <v>3.0324603173476632</v>
      </c>
      <c r="K151" s="35">
        <v>2.9601929323785754</v>
      </c>
      <c r="L151" s="35">
        <v>2.8691254842918799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2.6459653361046334</v>
      </c>
      <c r="J152" s="35">
        <v>2.656104239075332</v>
      </c>
      <c r="K152" s="35">
        <v>2.6763285443031606</v>
      </c>
      <c r="L152" s="35">
        <v>2.3493021379102679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2.6113916769745513</v>
      </c>
      <c r="J153" s="35">
        <v>2.62153057994525</v>
      </c>
      <c r="K153" s="35">
        <v>2.6392532247369447</v>
      </c>
      <c r="L153" s="35">
        <v>2.3018264779684836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2.705784863631755</v>
      </c>
      <c r="J154" s="35">
        <v>2.715923766602454</v>
      </c>
      <c r="K154" s="35">
        <v>2.6269293056632583</v>
      </c>
      <c r="L154" s="35">
        <v>2.3205959249222121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3.0172519628916152</v>
      </c>
      <c r="J155" s="35">
        <v>3.0273908658623139</v>
      </c>
      <c r="K155" s="35">
        <v>2.750375621090436</v>
      </c>
      <c r="L155" s="35">
        <v>2.4301010940479775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3.0876159495082631</v>
      </c>
      <c r="J156" s="35">
        <v>3.0977548524789618</v>
      </c>
      <c r="K156" s="35">
        <v>2.8799838960544566</v>
      </c>
      <c r="L156" s="35">
        <v>2.4866101776573322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3.0151227932677682</v>
      </c>
      <c r="J157" s="35">
        <v>3.0252616962384673</v>
      </c>
      <c r="K157" s="35">
        <v>2.6639528440568965</v>
      </c>
      <c r="L157" s="35">
        <v>2.4719559570410516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2.9188032150461316</v>
      </c>
      <c r="J158" s="35">
        <v>2.9289421180168307</v>
      </c>
      <c r="K158" s="35">
        <v>2.7442136615535935</v>
      </c>
      <c r="L158" s="35">
        <v>2.5572716250125462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3.131010454222853</v>
      </c>
      <c r="J159" s="35">
        <v>3.141149357193552</v>
      </c>
      <c r="K159" s="35">
        <v>3.0527776689489583</v>
      </c>
      <c r="L159" s="35">
        <v>2.7988655224330024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3.3969538791442764</v>
      </c>
      <c r="J160" s="35">
        <v>3.4070927821149755</v>
      </c>
      <c r="K160" s="35">
        <v>3.4663021131609719</v>
      </c>
      <c r="L160" s="35">
        <v>3.0119539496135701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3.4325414285714286</v>
      </c>
      <c r="J161" s="35">
        <v>3.4426803315421277</v>
      </c>
      <c r="K161" s="35">
        <v>3.5717285805308263</v>
      </c>
      <c r="L161" s="35">
        <v>3.2326706012245308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3.2467967261482307</v>
      </c>
      <c r="J162" s="35">
        <v>3.2569356291189293</v>
      </c>
      <c r="K162" s="35">
        <v>3.3882678860851509</v>
      </c>
      <c r="L162" s="35">
        <v>3.091247335140018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3.0362117114468212</v>
      </c>
      <c r="J163" s="35">
        <v>3.0463506144175203</v>
      </c>
      <c r="K163" s="35">
        <v>2.9517008200756987</v>
      </c>
      <c r="L163" s="35">
        <v>2.8829767339154873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2.7484696451383961</v>
      </c>
      <c r="J164" s="35">
        <v>2.7586085481090947</v>
      </c>
      <c r="K164" s="35">
        <v>2.7618710414028662</v>
      </c>
      <c r="L164" s="35">
        <v>2.4506772257352201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2.6768889901652639</v>
      </c>
      <c r="J165" s="35">
        <v>2.6870278931359626</v>
      </c>
      <c r="K165" s="35">
        <v>2.7112808357936578</v>
      </c>
      <c r="L165" s="35">
        <v>2.3666663856268193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2.7719919000304167</v>
      </c>
      <c r="J166" s="35">
        <v>2.7821308030011158</v>
      </c>
      <c r="K166" s="35">
        <v>2.7555537383482873</v>
      </c>
      <c r="L166" s="35">
        <v>2.3861384321991368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3.0746381537057692</v>
      </c>
      <c r="J167" s="35">
        <v>3.0847770566764678</v>
      </c>
      <c r="K167" s="35">
        <v>2.812564809357232</v>
      </c>
      <c r="L167" s="35">
        <v>2.4869112917795841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3.1588924373922742</v>
      </c>
      <c r="J168" s="35">
        <v>3.1690313403629728</v>
      </c>
      <c r="K168" s="35">
        <v>2.8694723180210184</v>
      </c>
      <c r="L168" s="35">
        <v>2.5571712536384621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3.1474354770353847</v>
      </c>
      <c r="J169" s="35">
        <v>3.1575743800060838</v>
      </c>
      <c r="K169" s="35">
        <v>2.7429191322391295</v>
      </c>
      <c r="L169" s="35">
        <v>2.6029406002208169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3.0518256220216973</v>
      </c>
      <c r="J170" s="35">
        <v>3.0619645249923959</v>
      </c>
      <c r="K170" s="35">
        <v>2.8125130281846529</v>
      </c>
      <c r="L170" s="35">
        <v>2.6888584964368158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3.3334843465477038</v>
      </c>
      <c r="J171" s="35">
        <v>3.3436232495184024</v>
      </c>
      <c r="K171" s="35">
        <v>3.2996702998033136</v>
      </c>
      <c r="L171" s="35">
        <v>2.9993071564789724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3.6555972939267969</v>
      </c>
      <c r="J172" s="35">
        <v>3.665736196897496</v>
      </c>
      <c r="K172" s="35">
        <v>3.6350051734217708</v>
      </c>
      <c r="L172" s="35">
        <v>3.2680013249021376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3.5913166490925681</v>
      </c>
      <c r="J173" s="35">
        <v>3.6014555520632667</v>
      </c>
      <c r="K173" s="35">
        <v>3.7544125573878242</v>
      </c>
      <c r="L173" s="35">
        <v>3.3898521730402491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3.5026012480989555</v>
      </c>
      <c r="J174" s="35">
        <v>3.5127401510696545</v>
      </c>
      <c r="K174" s="35">
        <v>3.611910770451753</v>
      </c>
      <c r="L174" s="35">
        <v>3.3443839405801463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3.160007716719051</v>
      </c>
      <c r="J175" s="35">
        <v>3.1701466196897496</v>
      </c>
      <c r="K175" s="35">
        <v>3.2296621544771624</v>
      </c>
      <c r="L175" s="35">
        <v>3.0055301816721869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2.7374182409003347</v>
      </c>
      <c r="J176" s="35">
        <v>2.7475571438710338</v>
      </c>
      <c r="K176" s="35">
        <v>2.8149985244684217</v>
      </c>
      <c r="L176" s="35">
        <v>2.4397367459600523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2.6653306407786674</v>
      </c>
      <c r="J177" s="35">
        <v>2.6754695437493665</v>
      </c>
      <c r="K177" s="35">
        <v>2.7567447053175931</v>
      </c>
      <c r="L177" s="35">
        <v>2.3552240489812304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2.7609404957923549</v>
      </c>
      <c r="J178" s="35">
        <v>2.771079398763054</v>
      </c>
      <c r="K178" s="35">
        <v>2.7502202775727005</v>
      </c>
      <c r="L178" s="35">
        <v>2.3751979524239686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3.1176271023015314</v>
      </c>
      <c r="J179" s="35">
        <v>3.12776600527223</v>
      </c>
      <c r="K179" s="35">
        <v>2.8085258778961077</v>
      </c>
      <c r="L179" s="35">
        <v>2.5294687543912477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3.2417272746628814</v>
      </c>
      <c r="J180" s="35">
        <v>3.2518661776335804</v>
      </c>
      <c r="K180" s="35">
        <v>2.9251888597155</v>
      </c>
      <c r="L180" s="35">
        <v>2.6391746662651814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3.230878648484234</v>
      </c>
      <c r="J181" s="35">
        <v>3.2410175514549331</v>
      </c>
      <c r="K181" s="35">
        <v>2.8344682453579431</v>
      </c>
      <c r="L181" s="35">
        <v>2.6855462410920405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3.1231021099057084</v>
      </c>
      <c r="J182" s="35">
        <v>3.133241012876407</v>
      </c>
      <c r="K182" s="35">
        <v>2.9834944600389059</v>
      </c>
      <c r="L182" s="35">
        <v>2.7595199437920304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3.4011108293622629</v>
      </c>
      <c r="J183" s="35">
        <v>3.411249732332962</v>
      </c>
      <c r="K183" s="35">
        <v>3.4758298489154185</v>
      </c>
      <c r="L183" s="35">
        <v>3.0662548629930746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3.692807067829261</v>
      </c>
      <c r="J184" s="35">
        <v>3.7029459707999597</v>
      </c>
      <c r="K184" s="35">
        <v>3.7544125573878238</v>
      </c>
      <c r="L184" s="35">
        <v>3.3048376191910065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3.6742528753928827</v>
      </c>
      <c r="J185" s="35">
        <v>3.6843917783635813</v>
      </c>
      <c r="K185" s="35">
        <v>3.7808727365754446</v>
      </c>
      <c r="L185" s="35">
        <v>3.4719559570410516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3.5704305089729291</v>
      </c>
      <c r="J186" s="35">
        <v>3.5805694119436278</v>
      </c>
      <c r="K186" s="35">
        <v>3.6351087357669276</v>
      </c>
      <c r="L186" s="35">
        <v>3.4115323898424168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3.3498079803305281</v>
      </c>
      <c r="J187" s="35">
        <v>3.3599468833012267</v>
      </c>
      <c r="K187" s="35">
        <v>3.3434771718047362</v>
      </c>
      <c r="L187" s="35">
        <v>3.1934253939576434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2.9682810615431414</v>
      </c>
      <c r="J188" s="35">
        <v>2.9784199645138401</v>
      </c>
      <c r="K188" s="35">
        <v>2.9789377168519975</v>
      </c>
      <c r="L188" s="35">
        <v>2.6682823647495733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2.8826073314407381</v>
      </c>
      <c r="J189" s="35">
        <v>2.8927462344114367</v>
      </c>
      <c r="K189" s="35">
        <v>2.9259137961315989</v>
      </c>
      <c r="L189" s="35">
        <v>2.570319903643481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2.9658477248301733</v>
      </c>
      <c r="J190" s="35">
        <v>2.9759866278008724</v>
      </c>
      <c r="K190" s="35">
        <v>2.9921936970320973</v>
      </c>
      <c r="L190" s="35">
        <v>2.5780484994479576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3.3398718554192439</v>
      </c>
      <c r="J191" s="35">
        <v>3.3500107583899426</v>
      </c>
      <c r="K191" s="35">
        <v>3.045217617752495</v>
      </c>
      <c r="L191" s="35">
        <v>2.749482806383619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3.4276747551454929</v>
      </c>
      <c r="J192" s="35">
        <v>3.437813658116192</v>
      </c>
      <c r="K192" s="35">
        <v>3.0584735979325943</v>
      </c>
      <c r="L192" s="35">
        <v>2.823255766335441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3.4044566673425933</v>
      </c>
      <c r="J193" s="35">
        <v>3.4145955703132924</v>
      </c>
      <c r="K193" s="35">
        <v>3.012077667302246</v>
      </c>
      <c r="L193" s="35">
        <v>2.8573820335240385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3.3099620916556827</v>
      </c>
      <c r="J194" s="35">
        <v>3.3201009946263818</v>
      </c>
      <c r="K194" s="35">
        <v>3.0518456078425453</v>
      </c>
      <c r="L194" s="35">
        <v>2.9444040148549631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3.5444749173679408</v>
      </c>
      <c r="J195" s="35">
        <v>3.5546138203386395</v>
      </c>
      <c r="K195" s="35">
        <v>3.5887128051365789</v>
      </c>
      <c r="L195" s="35">
        <v>3.2081799859480076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3.8298850359931054</v>
      </c>
      <c r="J196" s="35">
        <v>3.8400239389638045</v>
      </c>
      <c r="K196" s="35">
        <v>3.880292587926192</v>
      </c>
      <c r="L196" s="35">
        <v>3.440539716952725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3.878450381222752</v>
      </c>
      <c r="J197" s="35">
        <v>3.8885892841934506</v>
      </c>
      <c r="K197" s="35">
        <v>3.9557377563730869</v>
      </c>
      <c r="L197" s="35">
        <v>3.6741039044464521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3.719168215553077</v>
      </c>
      <c r="J198" s="35">
        <v>3.7293071185237761</v>
      </c>
      <c r="K198" s="35">
        <v>3.759124644092469</v>
      </c>
      <c r="L198" s="35">
        <v>3.558877566997892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3.4005024951840213</v>
      </c>
      <c r="J199" s="35">
        <v>3.4106413981547199</v>
      </c>
      <c r="K199" s="35">
        <v>3.4404633080442935</v>
      </c>
      <c r="L199" s="35">
        <v>3.243611080999699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3.1153965436479774</v>
      </c>
      <c r="J200" s="35">
        <v>3.125535446618676</v>
      </c>
      <c r="K200" s="35">
        <v>3.1082353047805467</v>
      </c>
      <c r="L200" s="35">
        <v>2.8139212285456185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3.0553742380614417</v>
      </c>
      <c r="J201" s="35">
        <v>3.0655131410321403</v>
      </c>
      <c r="K201" s="35">
        <v>3.067587084306413</v>
      </c>
      <c r="L201" s="35">
        <v>2.7413527250828063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3.1522007614316134</v>
      </c>
      <c r="J202" s="35">
        <v>3.1623396644023121</v>
      </c>
      <c r="K202" s="35">
        <v>3.1218019719961179</v>
      </c>
      <c r="L202" s="35">
        <v>2.7625310850145541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3.5045276396633884</v>
      </c>
      <c r="J203" s="35">
        <v>3.5146665426340871</v>
      </c>
      <c r="K203" s="35">
        <v>3.2099853088973269</v>
      </c>
      <c r="L203" s="35">
        <v>2.9123855465221316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3.5674902271114264</v>
      </c>
      <c r="J204" s="35">
        <v>3.5776291300821255</v>
      </c>
      <c r="K204" s="35">
        <v>3.2235519761128977</v>
      </c>
      <c r="L204" s="35">
        <v>2.9616678911974303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3.5312943435060329</v>
      </c>
      <c r="J205" s="35">
        <v>3.5414332464767315</v>
      </c>
      <c r="K205" s="35">
        <v>2.9658888613622119</v>
      </c>
      <c r="L205" s="35">
        <v>2.9828462511291778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3.4374081019973639</v>
      </c>
      <c r="J206" s="35">
        <v>3.447547004968063</v>
      </c>
      <c r="K206" s="35">
        <v>3.0946686375649759</v>
      </c>
      <c r="L206" s="35">
        <v>3.0705708320786909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3.692604289769847</v>
      </c>
      <c r="J207" s="35">
        <v>3.7027431927405461</v>
      </c>
      <c r="K207" s="35">
        <v>3.6777764219716231</v>
      </c>
      <c r="L207" s="35">
        <v>3.3548225634848938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3.9978866582175812</v>
      </c>
      <c r="J208" s="35">
        <v>4.0080255611882798</v>
      </c>
      <c r="K208" s="35">
        <v>4.0371377596665106</v>
      </c>
      <c r="L208" s="35">
        <v>3.606855083810097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4.0358061553279931</v>
      </c>
      <c r="J209" s="35">
        <v>4.0459450582986927</v>
      </c>
      <c r="K209" s="35">
        <v>4.1089064648603308</v>
      </c>
      <c r="L209" s="35">
        <v>3.8298802770249925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3.8321155946466594</v>
      </c>
      <c r="J210" s="35">
        <v>3.842254497617358</v>
      </c>
      <c r="K210" s="35">
        <v>3.8592176506867366</v>
      </c>
      <c r="L210" s="35">
        <v>3.6706912777275922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3.6148389039845887</v>
      </c>
      <c r="J211" s="35">
        <v>3.6249778069552878</v>
      </c>
      <c r="K211" s="35">
        <v>3.5818259091836371</v>
      </c>
      <c r="L211" s="35">
        <v>3.4557961658135099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3.1726813454324243</v>
      </c>
      <c r="J212" s="35">
        <v>3.1828202484031234</v>
      </c>
      <c r="K212" s="35">
        <v>3.1379059166680356</v>
      </c>
      <c r="L212" s="35">
        <v>2.8706310549031415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3.0580103528338234</v>
      </c>
      <c r="J213" s="35">
        <v>3.068149255804522</v>
      </c>
      <c r="K213" s="35">
        <v>3.0893351767893895</v>
      </c>
      <c r="L213" s="35">
        <v>2.743962380808993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3.1554452103822364</v>
      </c>
      <c r="J214" s="35">
        <v>3.1655841133529354</v>
      </c>
      <c r="K214" s="35">
        <v>3.1032125310404313</v>
      </c>
      <c r="L214" s="35">
        <v>2.7657429689852453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3.5392026878231779</v>
      </c>
      <c r="J215" s="35">
        <v>3.5493415907938766</v>
      </c>
      <c r="K215" s="35">
        <v>3.2350473964253283</v>
      </c>
      <c r="L215" s="35">
        <v>2.9467125564588978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3.6169680736084353</v>
      </c>
      <c r="J216" s="35">
        <v>3.6271069765791344</v>
      </c>
      <c r="K216" s="35">
        <v>3.2973919282098585</v>
      </c>
      <c r="L216" s="35">
        <v>3.0106491217504767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3.5943583199837779</v>
      </c>
      <c r="J217" s="35">
        <v>3.6044972229544765</v>
      </c>
      <c r="K217" s="35">
        <v>3.0477031140362638</v>
      </c>
      <c r="L217" s="35">
        <v>3.045277245809495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3.4739081526918789</v>
      </c>
      <c r="J218" s="35">
        <v>3.4840470556625776</v>
      </c>
      <c r="K218" s="35">
        <v>3.1864766565466818</v>
      </c>
      <c r="L218" s="35">
        <v>3.1067045267489712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3.7234265548007706</v>
      </c>
      <c r="J219" s="35">
        <v>3.7335654577714692</v>
      </c>
      <c r="K219" s="35">
        <v>3.7621279521020226</v>
      </c>
      <c r="L219" s="35">
        <v>3.3853354612064637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4.0765645452702017</v>
      </c>
      <c r="J220" s="35">
        <v>4.0867034482409004</v>
      </c>
      <c r="K220" s="35">
        <v>4.0950808917818691</v>
      </c>
      <c r="L220" s="35">
        <v>3.6847432700993674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4.1149909875291497</v>
      </c>
      <c r="J221" s="35">
        <v>4.1251298904998484</v>
      </c>
      <c r="K221" s="35">
        <v>4.1890637200118706</v>
      </c>
      <c r="L221" s="35">
        <v>3.9082703201846831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3.9344171256210076</v>
      </c>
      <c r="J222" s="35">
        <v>3.9445560285917067</v>
      </c>
      <c r="K222" s="35">
        <v>3.8981053112932003</v>
      </c>
      <c r="L222" s="35">
        <v>3.7719659941784598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3.545387418635304</v>
      </c>
      <c r="J223" s="35">
        <v>3.5555263216060027</v>
      </c>
      <c r="K223" s="35">
        <v>3.5788226011740827</v>
      </c>
      <c r="L223" s="35">
        <v>3.3870417745658936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3.0919756777856637</v>
      </c>
      <c r="J224" s="35">
        <v>3.1021145807563624</v>
      </c>
      <c r="K224" s="35">
        <v>3.1105136763740013</v>
      </c>
      <c r="L224" s="35">
        <v>2.7907354411321892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2.989674146811315</v>
      </c>
      <c r="J225" s="35">
        <v>2.9998130497820137</v>
      </c>
      <c r="K225" s="35">
        <v>3.0537615112279499</v>
      </c>
      <c r="L225" s="35">
        <v>2.6763120746763023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3.073827041468113</v>
      </c>
      <c r="J226" s="35">
        <v>3.0839659444388121</v>
      </c>
      <c r="K226" s="35">
        <v>3.0963256350874886</v>
      </c>
      <c r="L226" s="35">
        <v>2.6849440128475357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3.5042234725742678</v>
      </c>
      <c r="J227" s="35">
        <v>3.5143623755449664</v>
      </c>
      <c r="K227" s="35">
        <v>3.1956419240930787</v>
      </c>
      <c r="L227" s="35">
        <v>2.9121848037739637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3.5975013799046942</v>
      </c>
      <c r="J228" s="35">
        <v>3.6076402828753928</v>
      </c>
      <c r="K228" s="35">
        <v>3.2594881098823869</v>
      </c>
      <c r="L228" s="35">
        <v>2.9913778179263271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3.5890860904390145</v>
      </c>
      <c r="J229" s="35">
        <v>3.5992249934097136</v>
      </c>
      <c r="K229" s="35">
        <v>3.0750435731577195</v>
      </c>
      <c r="L229" s="35">
        <v>3.0400579343571215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3.4686359231471156</v>
      </c>
      <c r="J230" s="35">
        <v>3.4787748261178142</v>
      </c>
      <c r="K230" s="35">
        <v>3.1814538828065659</v>
      </c>
      <c r="L230" s="35">
        <v>3.1014852152965973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3.7677335607827236</v>
      </c>
      <c r="J231" s="35">
        <v>3.7778724637534222</v>
      </c>
      <c r="K231" s="35">
        <v>3.7775069603578411</v>
      </c>
      <c r="L231" s="35">
        <v>3.4291977516812202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4.1288812845990064</v>
      </c>
      <c r="J232" s="35">
        <v>4.1390201875697041</v>
      </c>
      <c r="K232" s="35">
        <v>4.2458158851579224</v>
      </c>
      <c r="L232" s="35">
        <v>3.7365348991267688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4.1673077268579544</v>
      </c>
      <c r="J233" s="35">
        <v>4.1774466298286521</v>
      </c>
      <c r="K233" s="35">
        <v>4.2851177951450143</v>
      </c>
      <c r="L233" s="35">
        <v>3.9600619492120845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4.0535492355267158</v>
      </c>
      <c r="J234" s="35">
        <v>4.0636881384974153</v>
      </c>
      <c r="K234" s="35">
        <v>4.0746273286133547</v>
      </c>
      <c r="L234" s="35">
        <v>3.8899023587272907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3.8119391777349692</v>
      </c>
      <c r="J235" s="35">
        <v>3.8220780807056678</v>
      </c>
      <c r="K235" s="35">
        <v>3.7988408034601893</v>
      </c>
      <c r="L235" s="35">
        <v>3.6509181170330223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3.2475064493561798</v>
      </c>
      <c r="J236" s="35">
        <v>3.2576453523268785</v>
      </c>
      <c r="K236" s="35">
        <v>3.2326136813141382</v>
      </c>
      <c r="L236" s="35">
        <v>2.9448055003513001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3.1154979326776844</v>
      </c>
      <c r="J237" s="35">
        <v>3.1256368356483835</v>
      </c>
      <c r="K237" s="35">
        <v>3.1673176226926314</v>
      </c>
      <c r="L237" s="35">
        <v>2.8008729499146843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3.2000563834533104</v>
      </c>
      <c r="J238" s="35">
        <v>3.2101952864240091</v>
      </c>
      <c r="K238" s="35">
        <v>3.1673176226926314</v>
      </c>
      <c r="L238" s="35">
        <v>2.8099063735822543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3.6365361563418839</v>
      </c>
      <c r="J239" s="35">
        <v>3.646675059312583</v>
      </c>
      <c r="K239" s="35">
        <v>3.2036162246701698</v>
      </c>
      <c r="L239" s="35">
        <v>3.0430690755796443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3.7601293835546992</v>
      </c>
      <c r="J240" s="35">
        <v>3.7702682865253982</v>
      </c>
      <c r="K240" s="35">
        <v>3.2907639381198086</v>
      </c>
      <c r="L240" s="35">
        <v>3.1523735019572419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3.7381279641082834</v>
      </c>
      <c r="J241" s="35">
        <v>3.748266867078982</v>
      </c>
      <c r="K241" s="35">
        <v>3.1890657151756074</v>
      </c>
      <c r="L241" s="35">
        <v>3.1876038542607645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3.6318722609753622</v>
      </c>
      <c r="J242" s="35">
        <v>3.6420111639460613</v>
      </c>
      <c r="K242" s="35">
        <v>3.3052626664417928</v>
      </c>
      <c r="L242" s="35">
        <v>3.2630831275720165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3.9682810615431414</v>
      </c>
      <c r="J243" s="35">
        <v>3.9784199645138401</v>
      </c>
      <c r="K243" s="35">
        <v>4.002081905830857</v>
      </c>
      <c r="L243" s="35">
        <v>3.627732329619592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4.3093537574774414</v>
      </c>
      <c r="J244" s="35">
        <v>4.3194926604481401</v>
      </c>
      <c r="K244" s="35">
        <v>4.4230628388941762</v>
      </c>
      <c r="L244" s="35">
        <v>3.9151959449964866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4.3506190925681842</v>
      </c>
      <c r="J245" s="35">
        <v>4.360757995538882</v>
      </c>
      <c r="K245" s="35">
        <v>4.5245539371480641</v>
      </c>
      <c r="L245" s="35">
        <v>4.1415333935561573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4.2052272239683663</v>
      </c>
      <c r="J246" s="35">
        <v>4.215366126939065</v>
      </c>
      <c r="K246" s="35">
        <v>4.2349418389164342</v>
      </c>
      <c r="L246" s="35">
        <v>4.0400579343571215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3.7254543353949106</v>
      </c>
      <c r="J247" s="35">
        <v>3.7355932383656092</v>
      </c>
      <c r="K247" s="35">
        <v>3.722618917424616</v>
      </c>
      <c r="L247" s="35">
        <v>3.5653013349392753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3.4232136378383857</v>
      </c>
      <c r="J248" s="35">
        <v>3.4333525408090848</v>
      </c>
      <c r="K248" s="35">
        <v>3.314220809297876</v>
      </c>
      <c r="L248" s="35">
        <v>3.1186487202649804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3.3619746638953663</v>
      </c>
      <c r="J249" s="35">
        <v>3.3721135668660653</v>
      </c>
      <c r="K249" s="35">
        <v>3.2919031239165366</v>
      </c>
      <c r="L249" s="35">
        <v>3.0447753889390743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3.3740399584304979</v>
      </c>
      <c r="J250" s="35">
        <v>3.3841788614011969</v>
      </c>
      <c r="K250" s="35">
        <v>3.2696890008803541</v>
      </c>
      <c r="L250" s="35">
        <v>2.9821436515105892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3.8313044824090037</v>
      </c>
      <c r="J251" s="35">
        <v>3.8414433853797023</v>
      </c>
      <c r="K251" s="35">
        <v>3.2844984162378088</v>
      </c>
      <c r="L251" s="35">
        <v>3.2358824851952224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3.9865310868903987</v>
      </c>
      <c r="J252" s="35">
        <v>3.9966699898610973</v>
      </c>
      <c r="K252" s="35">
        <v>3.4181456226629536</v>
      </c>
      <c r="L252" s="35">
        <v>3.376502780287062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3.8340419862110919</v>
      </c>
      <c r="J253" s="35">
        <v>3.844180889181791</v>
      </c>
      <c r="K253" s="35">
        <v>3.2176489224389471</v>
      </c>
      <c r="L253" s="35">
        <v>3.282555174144334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3.713591818919193</v>
      </c>
      <c r="J254" s="35">
        <v>3.7237307218898916</v>
      </c>
      <c r="K254" s="35">
        <v>3.3364349323340585</v>
      </c>
      <c r="L254" s="35">
        <v>3.3439824550838102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3.9144434867687319</v>
      </c>
      <c r="J255" s="35">
        <v>3.9245823897394305</v>
      </c>
      <c r="K255" s="35">
        <v>3.9453815218573842</v>
      </c>
      <c r="L255" s="35">
        <v>3.5744351299809294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4.2779231582682753</v>
      </c>
      <c r="J256" s="35">
        <v>4.2880620612389739</v>
      </c>
      <c r="K256" s="35">
        <v>4.3834502418716133</v>
      </c>
      <c r="L256" s="35">
        <v>3.8840808190304124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4.3468676984690262</v>
      </c>
      <c r="J257" s="35">
        <v>4.3570066014397248</v>
      </c>
      <c r="K257" s="35">
        <v>4.4840610601916655</v>
      </c>
      <c r="L257" s="35">
        <v>4.1378196527150459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4.1832258045219506</v>
      </c>
      <c r="J258" s="35">
        <v>4.1933647074926492</v>
      </c>
      <c r="K258" s="35">
        <v>4.0662905598282144</v>
      </c>
      <c r="L258" s="35">
        <v>4.0182773461808692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3.8262350309236539</v>
      </c>
      <c r="J259" s="35">
        <v>3.8363739338943526</v>
      </c>
      <c r="K259" s="35">
        <v>3.7623868579649153</v>
      </c>
      <c r="L259" s="35">
        <v>3.6650704807788821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3.4267622538781306</v>
      </c>
      <c r="J260" s="35">
        <v>3.4369011568488292</v>
      </c>
      <c r="K260" s="35">
        <v>3.2838252609942877</v>
      </c>
      <c r="L260" s="35">
        <v>3.1221617183579244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3.3800219111832099</v>
      </c>
      <c r="J261" s="35">
        <v>3.390160814153909</v>
      </c>
      <c r="K261" s="35">
        <v>3.2838770421668668</v>
      </c>
      <c r="L261" s="35">
        <v>3.0627418649001301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3.4056733356990776</v>
      </c>
      <c r="J262" s="35">
        <v>3.4158122386697762</v>
      </c>
      <c r="K262" s="35">
        <v>3.2762134286252467</v>
      </c>
      <c r="L262" s="35">
        <v>3.0134595202248318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3.8249169735374635</v>
      </c>
      <c r="J263" s="35">
        <v>3.8350558765081622</v>
      </c>
      <c r="K263" s="35">
        <v>3.2990489257323716</v>
      </c>
      <c r="L263" s="35">
        <v>3.2296594600020074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3.9687880066916761</v>
      </c>
      <c r="J264" s="35">
        <v>3.9789269096623747</v>
      </c>
      <c r="K264" s="35">
        <v>3.3826237382740931</v>
      </c>
      <c r="L264" s="35">
        <v>3.3588374184482581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3.9324907340565751</v>
      </c>
      <c r="J265" s="35">
        <v>3.9426296370272738</v>
      </c>
      <c r="K265" s="35">
        <v>3.3218326416669175</v>
      </c>
      <c r="L265" s="35">
        <v>3.3801161497540901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3.7972377684274559</v>
      </c>
      <c r="J266" s="35">
        <v>3.8073766713981549</v>
      </c>
      <c r="K266" s="35">
        <v>3.5193260338813706</v>
      </c>
      <c r="L266" s="35">
        <v>3.4267888387032017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4.2278369775930251</v>
      </c>
      <c r="J267" s="35">
        <v>4.2379758805637229</v>
      </c>
      <c r="K267" s="35">
        <v>4.2410002361081203</v>
      </c>
      <c r="L267" s="35">
        <v>3.8846830472749172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4.5699235638243945</v>
      </c>
      <c r="J268" s="35">
        <v>4.5800624667950931</v>
      </c>
      <c r="K268" s="35">
        <v>4.6132550857750587</v>
      </c>
      <c r="L268" s="35">
        <v>4.1731503763926527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4.6296417023218082</v>
      </c>
      <c r="J269" s="35">
        <v>4.6397806052925068</v>
      </c>
      <c r="K269" s="35">
        <v>4.7968193425658905</v>
      </c>
      <c r="L269" s="35">
        <v>4.4177554150356322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4.5231832211294742</v>
      </c>
      <c r="J270" s="35">
        <v>4.533322124100172</v>
      </c>
      <c r="K270" s="35">
        <v>4.524812843010956</v>
      </c>
      <c r="L270" s="35">
        <v>4.3547221921108097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3.9905866480786778</v>
      </c>
      <c r="J271" s="35">
        <v>4.0007255510493769</v>
      </c>
      <c r="K271" s="35">
        <v>3.8642404244268524</v>
      </c>
      <c r="L271" s="35">
        <v>3.8277724781692259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3.5047304177228025</v>
      </c>
      <c r="J272" s="35">
        <v>3.5148693206935011</v>
      </c>
      <c r="K272" s="35">
        <v>3.3591150859234475</v>
      </c>
      <c r="L272" s="35">
        <v>3.1993473050286054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3.4427817205718343</v>
      </c>
      <c r="J273" s="35">
        <v>3.4529206235425334</v>
      </c>
      <c r="K273" s="35">
        <v>3.3668822618102245</v>
      </c>
      <c r="L273" s="35">
        <v>3.1248717454581953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3.4826276092466797</v>
      </c>
      <c r="J274" s="35">
        <v>3.4927665122173783</v>
      </c>
      <c r="K274" s="35">
        <v>3.3513996912092492</v>
      </c>
      <c r="L274" s="35">
        <v>3.0896413931546722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3.8621267474399268</v>
      </c>
      <c r="J275" s="35">
        <v>3.8722656504106259</v>
      </c>
      <c r="K275" s="35">
        <v>3.3669340429828032</v>
      </c>
      <c r="L275" s="35">
        <v>3.2664957542908764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4.054563125823786</v>
      </c>
      <c r="J276" s="35">
        <v>4.0647020287944846</v>
      </c>
      <c r="K276" s="35">
        <v>3.4912606383438156</v>
      </c>
      <c r="L276" s="35">
        <v>3.4438519722975007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3.9879505333062961</v>
      </c>
      <c r="J277" s="35">
        <v>3.9980894362769948</v>
      </c>
      <c r="K277" s="35">
        <v>3.3435807341498931</v>
      </c>
      <c r="L277" s="35">
        <v>3.4349189200040149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3.8675003660143972</v>
      </c>
      <c r="J278" s="35">
        <v>3.8776392689850963</v>
      </c>
      <c r="K278" s="35">
        <v>3.5689323972115865</v>
      </c>
      <c r="L278" s="35">
        <v>3.4963462009434907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4.2948551262293417</v>
      </c>
      <c r="J279" s="35">
        <v>4.3049940292000404</v>
      </c>
      <c r="K279" s="35">
        <v>4.3149955317228175</v>
      </c>
      <c r="L279" s="35">
        <v>3.9510285255445146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4.644850056777857</v>
      </c>
      <c r="J280" s="35">
        <v>4.6549889597485556</v>
      </c>
      <c r="K280" s="35">
        <v>4.6413722624851914</v>
      </c>
      <c r="L280" s="35">
        <v>4.2473248218408113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4.8453975575382744</v>
      </c>
      <c r="J281" s="35">
        <v>4.855536460508973</v>
      </c>
      <c r="K281" s="35">
        <v>4.8671899561000913</v>
      </c>
      <c r="L281" s="35">
        <v>4.6313456990866202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4.6585375757882996</v>
      </c>
      <c r="J282" s="35">
        <v>4.6686764787589983</v>
      </c>
      <c r="K282" s="35">
        <v>4.5571242946999497</v>
      </c>
      <c r="L282" s="35">
        <v>4.4888183478871824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4.1760271834127547</v>
      </c>
      <c r="J283" s="35">
        <v>4.1861660863834524</v>
      </c>
      <c r="K283" s="35">
        <v>4.0245031535573528</v>
      </c>
      <c r="L283" s="35">
        <v>4.0113517213690653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3.6935167910372098</v>
      </c>
      <c r="J284" s="35">
        <v>3.7036556940079084</v>
      </c>
      <c r="K284" s="35">
        <v>3.5157013518008742</v>
      </c>
      <c r="L284" s="35">
        <v>3.3862388035732209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3.6156500162222445</v>
      </c>
      <c r="J285" s="35">
        <v>3.6257889191929435</v>
      </c>
      <c r="K285" s="35">
        <v>3.5315981717824778</v>
      </c>
      <c r="L285" s="35">
        <v>3.2960049382716048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3.6547861816891412</v>
      </c>
      <c r="J286" s="35">
        <v>3.6649250846598402</v>
      </c>
      <c r="K286" s="35">
        <v>3.5236238712053871</v>
      </c>
      <c r="L286" s="35">
        <v>3.2600719863494931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4.039151993308324</v>
      </c>
      <c r="J287" s="35">
        <v>4.0492908962790235</v>
      </c>
      <c r="K287" s="35">
        <v>3.5315981717824783</v>
      </c>
      <c r="L287" s="35">
        <v>3.4417441734417342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4.2047202788198321</v>
      </c>
      <c r="J288" s="35">
        <v>4.2148591817905308</v>
      </c>
      <c r="K288" s="35">
        <v>3.6031597522859844</v>
      </c>
      <c r="L288" s="35">
        <v>3.5925019773160694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4.1529104846395626</v>
      </c>
      <c r="J289" s="35">
        <v>4.1630493876102603</v>
      </c>
      <c r="K289" s="35">
        <v>3.4361654707202769</v>
      </c>
      <c r="L289" s="35">
        <v>3.5983235170129482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4.0480742279225392</v>
      </c>
      <c r="J290" s="35">
        <v>4.0582131308932379</v>
      </c>
      <c r="K290" s="35">
        <v>3.5713661123227771</v>
      </c>
      <c r="L290" s="35">
        <v>3.675107618187293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4.5029054151880761</v>
      </c>
      <c r="J291" s="35">
        <v>4.5130443181587747</v>
      </c>
      <c r="K291" s="35">
        <v>4.3981043137113325</v>
      </c>
      <c r="L291" s="35">
        <v>4.1569905851651106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4.8920365112034885</v>
      </c>
      <c r="J292" s="35">
        <v>4.9021754141741871</v>
      </c>
      <c r="K292" s="35">
        <v>4.8751124755046042</v>
      </c>
      <c r="L292" s="35">
        <v>4.492030231857874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4.9570268792456664</v>
      </c>
      <c r="J293" s="35">
        <v>4.9671657822163642</v>
      </c>
      <c r="K293" s="35">
        <v>4.962570875989714</v>
      </c>
      <c r="L293" s="35">
        <v>4.741854581953227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4.8137641802696951</v>
      </c>
      <c r="J294" s="35">
        <v>4.8239030832403937</v>
      </c>
      <c r="K294" s="35">
        <v>4.629203686929241</v>
      </c>
      <c r="L294" s="35">
        <v>4.6424869216099562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4.3519371499543755</v>
      </c>
      <c r="J295" s="35">
        <v>4.3620760529250733</v>
      </c>
      <c r="K295" s="35">
        <v>4.1818661370234578</v>
      </c>
      <c r="L295" s="35">
        <v>4.1854960554049985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3.905014307005982</v>
      </c>
      <c r="J296" s="35">
        <v>3.9151532099766806</v>
      </c>
      <c r="K296" s="35">
        <v>3.7020100107383676</v>
      </c>
      <c r="L296" s="35">
        <v>3.5956134899126768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3.8423558866470651</v>
      </c>
      <c r="J297" s="35">
        <v>3.8524947896177637</v>
      </c>
      <c r="K297" s="35">
        <v>3.7263989430228479</v>
      </c>
      <c r="L297" s="35">
        <v>3.5204353307236773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3.9126184842340064</v>
      </c>
      <c r="J298" s="35">
        <v>3.922757387204705</v>
      </c>
      <c r="K298" s="35">
        <v>3.7101914360057733</v>
      </c>
      <c r="L298" s="35">
        <v>3.5153163906453879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4.2701162029808373</v>
      </c>
      <c r="J299" s="35">
        <v>4.2802551059515359</v>
      </c>
      <c r="K299" s="35">
        <v>3.7183210801006004</v>
      </c>
      <c r="L299" s="35">
        <v>3.6703901636053393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4.4234164158978002</v>
      </c>
      <c r="J300" s="35">
        <v>4.4335553188684989</v>
      </c>
      <c r="K300" s="35">
        <v>3.7996693022214458</v>
      </c>
      <c r="L300" s="35">
        <v>3.809003031215497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4.3713024546284096</v>
      </c>
      <c r="J301" s="35">
        <v>4.3814413575991074</v>
      </c>
      <c r="K301" s="35">
        <v>3.7263989430228479</v>
      </c>
      <c r="L301" s="35">
        <v>3.8144230854160392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4.2667703650005064</v>
      </c>
      <c r="J302" s="35">
        <v>4.2769092679712051</v>
      </c>
      <c r="K302" s="35">
        <v>4.0192214739543441</v>
      </c>
      <c r="L302" s="35">
        <v>3.8916086720867207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4.7340724029200043</v>
      </c>
      <c r="J303" s="35">
        <v>4.7442113058907029</v>
      </c>
      <c r="K303" s="35">
        <v>4.515336888429089</v>
      </c>
      <c r="L303" s="35">
        <v>4.3858373180768844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5.1003909672513439</v>
      </c>
      <c r="J304" s="35">
        <v>5.1105298702220425</v>
      </c>
      <c r="K304" s="35">
        <v>5.0601783863002137</v>
      </c>
      <c r="L304" s="35">
        <v>4.6982934056007224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5.3319635111020984</v>
      </c>
      <c r="J305" s="35">
        <v>5.3421024140727971</v>
      </c>
      <c r="K305" s="35">
        <v>5.1264582872007125</v>
      </c>
      <c r="L305" s="35">
        <v>5.1130279233162703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5.0224228034066716</v>
      </c>
      <c r="J306" s="35">
        <v>5.0325617063773702</v>
      </c>
      <c r="K306" s="35">
        <v>4.7604171782431948</v>
      </c>
      <c r="L306" s="35">
        <v>4.849051209475058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4.5825971925377678</v>
      </c>
      <c r="J307" s="35">
        <v>4.5927360955084664</v>
      </c>
      <c r="K307" s="35">
        <v>4.2695316621988821</v>
      </c>
      <c r="L307" s="35">
        <v>4.4138409314463507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4.0265797536246577</v>
      </c>
      <c r="J308" s="35">
        <v>4.0367186565953563</v>
      </c>
      <c r="K308" s="35">
        <v>3.7869311337671308</v>
      </c>
      <c r="L308" s="35">
        <v>3.7159587674395262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3.9636171661766202</v>
      </c>
      <c r="J309" s="35">
        <v>3.9737560691473188</v>
      </c>
      <c r="K309" s="35">
        <v>3.8036046713374123</v>
      </c>
      <c r="L309" s="35">
        <v>3.6404794941282743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4.0338797637635606</v>
      </c>
      <c r="J310" s="35">
        <v>4.0440186667342592</v>
      </c>
      <c r="K310" s="35">
        <v>3.7786461461545686</v>
      </c>
      <c r="L310" s="35">
        <v>3.6353605540499849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4.3795149660346748</v>
      </c>
      <c r="J311" s="35">
        <v>4.3896538690053735</v>
      </c>
      <c r="K311" s="35">
        <v>3.7869829149397094</v>
      </c>
      <c r="L311" s="35">
        <v>3.7786908762420959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4.4871901155834939</v>
      </c>
      <c r="J312" s="35">
        <v>4.4973290185541925</v>
      </c>
      <c r="K312" s="35">
        <v>3.8618067093156618</v>
      </c>
      <c r="L312" s="35">
        <v>3.872036254140319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4.483540110514042</v>
      </c>
      <c r="J313" s="35">
        <v>4.4936790134847406</v>
      </c>
      <c r="K313" s="35">
        <v>3.7953196837248502</v>
      </c>
      <c r="L313" s="35">
        <v>3.92553419652715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4.395635821758086</v>
      </c>
      <c r="J314" s="35">
        <v>4.4057747247287846</v>
      </c>
      <c r="K314" s="35">
        <v>4.0614749107784123</v>
      </c>
      <c r="L314" s="35">
        <v>4.0191806885476264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4.9084615340160198</v>
      </c>
      <c r="J315" s="35">
        <v>4.9186004369867176</v>
      </c>
      <c r="K315" s="35">
        <v>4.7687021658557578</v>
      </c>
      <c r="L315" s="35">
        <v>4.5584760815015555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5.2830939987833325</v>
      </c>
      <c r="J316" s="35">
        <v>5.2932329017540303</v>
      </c>
      <c r="K316" s="35">
        <v>5.3177897198783208</v>
      </c>
      <c r="L316" s="35">
        <v>4.8791626217002912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5.3662330031430603</v>
      </c>
      <c r="J317" s="35">
        <v>5.3763719061137589</v>
      </c>
      <c r="K317" s="35">
        <v>5.2729990055979066</v>
      </c>
      <c r="L317" s="35">
        <v>5.1469534477567001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5.2164814062658422</v>
      </c>
      <c r="J318" s="35">
        <v>5.22662030923654</v>
      </c>
      <c r="K318" s="35">
        <v>4.8478755787283063</v>
      </c>
      <c r="L318" s="35">
        <v>5.041061648097962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4.7336668468011762</v>
      </c>
      <c r="J319" s="35">
        <v>4.7438057497718749</v>
      </c>
      <c r="K319" s="35">
        <v>4.4312442641615819</v>
      </c>
      <c r="L319" s="35">
        <v>4.5633942788316766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4.2143522366419957</v>
      </c>
      <c r="J320" s="35">
        <v>4.2244911396126943</v>
      </c>
      <c r="K320" s="35">
        <v>3.9721006069078975</v>
      </c>
      <c r="L320" s="35">
        <v>3.9018465522433003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4.1176271023015305</v>
      </c>
      <c r="J321" s="35">
        <v>4.1277660052722291</v>
      </c>
      <c r="K321" s="35">
        <v>3.9975769438165258</v>
      </c>
      <c r="L321" s="35">
        <v>3.7929436113620394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4.1878896998884718</v>
      </c>
      <c r="J322" s="35">
        <v>4.1980286028591705</v>
      </c>
      <c r="K322" s="35">
        <v>3.9126040396151849</v>
      </c>
      <c r="L322" s="35">
        <v>3.7878246712837496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4.537479074318159</v>
      </c>
      <c r="J323" s="35">
        <v>4.5476179772888576</v>
      </c>
      <c r="K323" s="35">
        <v>3.9380803765238133</v>
      </c>
      <c r="L323" s="35">
        <v>3.9350694770651407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4.6805389952347154</v>
      </c>
      <c r="J324" s="35">
        <v>4.690677898205414</v>
      </c>
      <c r="K324" s="35">
        <v>3.9975769438165258</v>
      </c>
      <c r="L324" s="35">
        <v>4.0635448358928041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4.6777001024029206</v>
      </c>
      <c r="J325" s="35">
        <v>4.6878390053736183</v>
      </c>
      <c r="K325" s="35">
        <v>3.8700916969282244</v>
      </c>
      <c r="L325" s="35">
        <v>4.1177453778982231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4.5905055368549119</v>
      </c>
      <c r="J326" s="35">
        <v>4.6006444398256106</v>
      </c>
      <c r="K326" s="35">
        <v>4.1251139718774068</v>
      </c>
      <c r="L326" s="35">
        <v>4.2120944695372877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5.0666284203589171</v>
      </c>
      <c r="J327" s="35">
        <v>5.0767673233296149</v>
      </c>
      <c r="K327" s="35">
        <v>4.7118464383645486</v>
      </c>
      <c r="L327" s="35">
        <v>4.7150554250727694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5.4328455956605497</v>
      </c>
      <c r="J328" s="35">
        <v>5.4429844986312483</v>
      </c>
      <c r="K328" s="35">
        <v>5.2304866629109465</v>
      </c>
      <c r="L328" s="35">
        <v>5.0274111412225233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5.6207194677075938</v>
      </c>
      <c r="J329" s="35">
        <v>5.6308583706782924</v>
      </c>
      <c r="K329" s="35">
        <v>5.2931936629035272</v>
      </c>
      <c r="L329" s="35">
        <v>5.3988855967078182</v>
      </c>
      <c r="M329" s="104">
        <f t="shared" ref="M329:M340" si="13">YEAR(H329)</f>
        <v>2042</v>
      </c>
    </row>
    <row r="330" spans="8:15">
      <c r="H330" s="31">
        <v>51898</v>
      </c>
      <c r="I330" s="35">
        <v>5.4505886758592723</v>
      </c>
      <c r="J330" s="35">
        <v>5.4607275788299701</v>
      </c>
      <c r="K330" s="35">
        <v>4.9890828363499145</v>
      </c>
      <c r="L330" s="35">
        <v>5.2729195222322591</v>
      </c>
      <c r="M330" s="104">
        <f t="shared" si="13"/>
        <v>2042</v>
      </c>
    </row>
    <row r="331" spans="8:15">
      <c r="H331" s="31">
        <v>51926</v>
      </c>
      <c r="I331" s="35">
        <v>4.8550295153604379</v>
      </c>
      <c r="J331" s="35">
        <v>4.8651684183311366</v>
      </c>
      <c r="K331" s="35">
        <v>4.4850966836432367</v>
      </c>
      <c r="L331" s="35">
        <v>4.6835388136103582</v>
      </c>
      <c r="M331" s="104">
        <f t="shared" si="13"/>
        <v>2042</v>
      </c>
    </row>
    <row r="332" spans="8:15">
      <c r="H332" s="31">
        <v>51957</v>
      </c>
      <c r="I332" s="35">
        <v>4.2891773405657503</v>
      </c>
      <c r="J332" s="35">
        <v>4.2993162435364489</v>
      </c>
      <c r="K332" s="35">
        <v>4.0332023905505441</v>
      </c>
      <c r="L332" s="35">
        <v>3.976020997691458</v>
      </c>
      <c r="M332" s="104">
        <f t="shared" si="13"/>
        <v>2042</v>
      </c>
    </row>
    <row r="333" spans="8:15">
      <c r="H333" s="31">
        <v>51987</v>
      </c>
      <c r="I333" s="35">
        <v>4.1914383159282167</v>
      </c>
      <c r="J333" s="35">
        <v>4.2015772188989144</v>
      </c>
      <c r="K333" s="35">
        <v>4.0332023905505441</v>
      </c>
      <c r="L333" s="35">
        <v>3.8660139716952724</v>
      </c>
      <c r="M333" s="104">
        <f t="shared" si="13"/>
        <v>2042</v>
      </c>
    </row>
    <row r="334" spans="8:15">
      <c r="H334" s="31">
        <v>52018</v>
      </c>
      <c r="I334" s="35">
        <v>4.261700913515158</v>
      </c>
      <c r="J334" s="35">
        <v>4.2718398164858558</v>
      </c>
      <c r="K334" s="35">
        <v>3.9376143459706072</v>
      </c>
      <c r="L334" s="35">
        <v>3.8608950316169826</v>
      </c>
      <c r="M334" s="104">
        <f t="shared" si="13"/>
        <v>2042</v>
      </c>
    </row>
    <row r="335" spans="8:15">
      <c r="H335" s="31">
        <v>52048</v>
      </c>
      <c r="I335" s="35">
        <v>4.6493111740849642</v>
      </c>
      <c r="J335" s="35">
        <v>4.6594500770556619</v>
      </c>
      <c r="K335" s="35">
        <v>3.9897579867571711</v>
      </c>
      <c r="L335" s="35">
        <v>4.0457791026799157</v>
      </c>
      <c r="M335" s="104">
        <f t="shared" si="13"/>
        <v>2042</v>
      </c>
    </row>
    <row r="336" spans="8:15">
      <c r="H336" s="31">
        <v>52079</v>
      </c>
      <c r="I336" s="35">
        <v>4.7783794089019569</v>
      </c>
      <c r="J336" s="35">
        <v>4.7885183118726546</v>
      </c>
      <c r="K336" s="35">
        <v>4.0419016275437336</v>
      </c>
      <c r="L336" s="35">
        <v>4.1604032118839704</v>
      </c>
      <c r="M336" s="104">
        <f t="shared" si="13"/>
        <v>2042</v>
      </c>
    </row>
    <row r="337" spans="8:13">
      <c r="H337" s="31">
        <v>52110</v>
      </c>
      <c r="I337" s="35">
        <v>4.7591154932576298</v>
      </c>
      <c r="J337" s="35">
        <v>4.7692543962283285</v>
      </c>
      <c r="K337" s="35">
        <v>3.9289151089774164</v>
      </c>
      <c r="L337" s="35">
        <v>4.1984439626618482</v>
      </c>
      <c r="M337" s="104">
        <f t="shared" si="13"/>
        <v>2042</v>
      </c>
    </row>
    <row r="338" spans="8:13">
      <c r="H338" s="31">
        <v>52140</v>
      </c>
      <c r="I338" s="35">
        <v>4.6727320399472783</v>
      </c>
      <c r="J338" s="35">
        <v>4.682870942917976</v>
      </c>
      <c r="K338" s="35">
        <v>4.2417769536967995</v>
      </c>
      <c r="L338" s="35">
        <v>4.2935960252935859</v>
      </c>
      <c r="M338" s="104">
        <f t="shared" si="13"/>
        <v>2042</v>
      </c>
    </row>
    <row r="339" spans="8:13">
      <c r="H339" s="31">
        <v>52171</v>
      </c>
      <c r="I339" s="35">
        <v>5.1783591310960162</v>
      </c>
      <c r="J339" s="35">
        <v>5.1884980340667139</v>
      </c>
      <c r="K339" s="35">
        <v>4.936939195563351</v>
      </c>
      <c r="L339" s="35">
        <v>4.8256646793134594</v>
      </c>
      <c r="M339" s="104">
        <f t="shared" si="13"/>
        <v>2042</v>
      </c>
    </row>
    <row r="340" spans="8:13">
      <c r="H340" s="31">
        <v>52201</v>
      </c>
      <c r="I340" s="35">
        <v>5.6546847926594346</v>
      </c>
      <c r="J340" s="35">
        <v>5.6648236956301323</v>
      </c>
      <c r="K340" s="35">
        <v>5.3105921368899072</v>
      </c>
      <c r="L340" s="35">
        <v>5.247023707718558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26" t="s">
        <v>130</v>
      </c>
      <c r="C1" s="426"/>
      <c r="D1" s="426"/>
      <c r="E1" s="426"/>
      <c r="F1" s="426"/>
      <c r="G1" s="426"/>
      <c r="H1" s="426"/>
      <c r="I1" s="426"/>
      <c r="J1" s="426"/>
      <c r="K1" s="426"/>
      <c r="M1" s="336"/>
    </row>
    <row r="2" spans="1:14">
      <c r="B2" s="163"/>
      <c r="C2" s="163"/>
      <c r="D2" s="163"/>
      <c r="E2" s="163"/>
      <c r="F2" s="163"/>
      <c r="G2" s="163"/>
      <c r="H2" s="163"/>
      <c r="I2" s="163"/>
      <c r="J2" s="163"/>
      <c r="K2" s="163"/>
      <c r="M2" s="163"/>
    </row>
    <row r="3" spans="1:14">
      <c r="A3" s="333" t="s">
        <v>98</v>
      </c>
      <c r="B3" s="334">
        <v>2024</v>
      </c>
      <c r="C3" s="334">
        <v>2030</v>
      </c>
      <c r="D3" s="334">
        <v>2024</v>
      </c>
      <c r="E3" s="334">
        <v>2024</v>
      </c>
      <c r="F3" s="334">
        <v>2024</v>
      </c>
      <c r="G3" s="334">
        <v>2024</v>
      </c>
      <c r="H3" s="334">
        <v>2029</v>
      </c>
      <c r="I3" s="334">
        <v>2024</v>
      </c>
      <c r="J3" s="334">
        <v>2030</v>
      </c>
      <c r="K3" s="334">
        <v>2026</v>
      </c>
      <c r="L3" s="334">
        <v>2029</v>
      </c>
      <c r="M3" s="334">
        <v>2032</v>
      </c>
    </row>
    <row r="4" spans="1:14" ht="51">
      <c r="B4" s="197" t="s">
        <v>129</v>
      </c>
      <c r="C4" s="197" t="s">
        <v>137</v>
      </c>
      <c r="D4" s="197" t="s">
        <v>136</v>
      </c>
      <c r="E4" s="197" t="s">
        <v>135</v>
      </c>
      <c r="F4" s="197" t="s">
        <v>133</v>
      </c>
      <c r="G4" s="197" t="s">
        <v>134</v>
      </c>
      <c r="H4" s="197" t="s">
        <v>134</v>
      </c>
      <c r="I4" s="197" t="s">
        <v>132</v>
      </c>
      <c r="J4" s="197" t="s">
        <v>132</v>
      </c>
      <c r="K4" s="197" t="s">
        <v>138</v>
      </c>
      <c r="L4" s="197" t="s">
        <v>141</v>
      </c>
      <c r="M4" s="197" t="s">
        <v>140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WYE Wind_2030'!$J$10:$J$36,MATCH($A11,'Table 3 WYE Wind_2030'!$B$10:$B$36,0),1)</f>
        <v>0</v>
      </c>
      <c r="C11" s="130"/>
      <c r="D11" s="130" t="e">
        <f>INDEX(#REF!,MATCH($A11,#REF!,0),1)</f>
        <v>#REF!</v>
      </c>
      <c r="E11" s="130" t="e">
        <f>INDEX(#REF!,MATCH($A11,#REF!,0),1)</f>
        <v>#REF!</v>
      </c>
      <c r="F11" s="130" t="e">
        <f>INDEX(#REF!,MATCH($A11,#REF!,0),1)</f>
        <v>#REF!</v>
      </c>
      <c r="G11" s="130" t="e">
        <f>INDEX(#REF!,MATCH($A11,#REF!,0),1)</f>
        <v>#REF!</v>
      </c>
      <c r="H11" s="130"/>
      <c r="I11" s="130">
        <f>INDEX('Table 3 PV wS Borah_2026'!$I$10:$I$36,MATCH($A11,'Table 3 PV wS Borah_2026'!$B$10:$B$36,0),1)</f>
        <v>0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WYE Wind_2030'!$J$10:$J$36,MATCH($A12,'Table 3 WYE Wind_2030'!$B$10:$B$36,0),1)</f>
        <v>0</v>
      </c>
      <c r="C12" s="130"/>
      <c r="D12" s="130" t="e">
        <f>INDEX(#REF!,MATCH($A12,#REF!,0),1)</f>
        <v>#REF!</v>
      </c>
      <c r="E12" s="130" t="e">
        <f>INDEX(#REF!,MATCH($A12,#REF!,0),1)</f>
        <v>#REF!</v>
      </c>
      <c r="F12" s="130" t="e">
        <f>INDEX(#REF!,MATCH($A12,#REF!,0),1)</f>
        <v>#REF!</v>
      </c>
      <c r="G12" s="130" t="e">
        <f>INDEX(#REF!,MATCH($A12,#REF!,0),1)</f>
        <v>#REF!</v>
      </c>
      <c r="H12" s="130"/>
      <c r="I12" s="130">
        <f>INDEX('Table 3 PV wS Borah_2026'!$I$10:$I$36,MATCH($A12,'Table 3 PV wS Borah_2026'!$B$10:$B$36,0),1)</f>
        <v>0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WYE Wind_2030'!$J$10:$J$36,MATCH($A13,'Table 3 WYE Wind_2030'!$B$10:$B$36,0),1)</f>
        <v>0</v>
      </c>
      <c r="C13" s="130"/>
      <c r="D13" s="130" t="e">
        <f>INDEX(#REF!,MATCH($A13,#REF!,0),1)</f>
        <v>#REF!</v>
      </c>
      <c r="E13" s="130" t="e">
        <f>INDEX(#REF!,MATCH($A13,#REF!,0),1)</f>
        <v>#REF!</v>
      </c>
      <c r="F13" s="130" t="e">
        <f>INDEX(#REF!,MATCH($A13,#REF!,0),1)</f>
        <v>#REF!</v>
      </c>
      <c r="G13" s="130" t="e">
        <f>INDEX(#REF!,MATCH($A13,#REF!,0),1)</f>
        <v>#REF!</v>
      </c>
      <c r="H13" s="130"/>
      <c r="I13" s="130">
        <f>INDEX('Table 3 PV wS Borah_2026'!$I$10:$I$36,MATCH($A13,'Table 3 PV wS Borah_2026'!$B$10:$B$36,0),1)</f>
        <v>97.414140198064302</v>
      </c>
      <c r="J13" s="130"/>
      <c r="K13" s="130">
        <f>INDEX('Table 3 NonE 206MW (UTN) 2033'!$L$14:$L$37,MATCH($A13,'Table 3 NonE 206MW (UTN) 2033'!$B$14:$B$37,0),1)</f>
        <v>0</v>
      </c>
      <c r="L13" s="130"/>
      <c r="M13" s="130"/>
      <c r="N13" t="s">
        <v>139</v>
      </c>
    </row>
    <row r="14" spans="1:14">
      <c r="A14" s="135">
        <f t="shared" si="0"/>
        <v>2027</v>
      </c>
      <c r="B14" s="130">
        <f>INDEX('Table 3 WYE Wind_2030'!$J$10:$J$36,MATCH($A14,'Table 3 WYE Wind_2030'!$B$10:$B$36,0),1)</f>
        <v>0</v>
      </c>
      <c r="C14" s="130"/>
      <c r="D14" s="130" t="e">
        <f>INDEX(#REF!,MATCH($A14,#REF!,0),1)</f>
        <v>#REF!</v>
      </c>
      <c r="E14" s="130" t="e">
        <f>INDEX(#REF!,MATCH($A14,#REF!,0),1)</f>
        <v>#REF!</v>
      </c>
      <c r="F14" s="130" t="e">
        <f>INDEX(#REF!,MATCH($A14,#REF!,0),1)</f>
        <v>#REF!</v>
      </c>
      <c r="G14" s="130" t="e">
        <f>INDEX(#REF!,MATCH($A14,#REF!,0),1)</f>
        <v>#REF!</v>
      </c>
      <c r="H14" s="130"/>
      <c r="I14" s="130">
        <f>INDEX('Table 3 PV wS Borah_2026'!$I$10:$I$36,MATCH($A14,'Table 3 PV wS Borah_2026'!$B$10:$B$36,0),1)</f>
        <v>99.515556210209311</v>
      </c>
      <c r="J14" s="130"/>
      <c r="K14" s="130">
        <f>INDEX('Table 3 NonE 206MW (UTN) 2033'!$L$14:$L$37,MATCH($A14,'Table 3 NonE 206MW (UTN) 2033'!$B$14:$B$37,0),1)</f>
        <v>0</v>
      </c>
      <c r="L14" s="130"/>
      <c r="M14" s="130"/>
      <c r="N14" s="266">
        <v>2.2750000000000006E-2</v>
      </c>
    </row>
    <row r="15" spans="1:14">
      <c r="A15" s="135">
        <f t="shared" si="0"/>
        <v>2028</v>
      </c>
      <c r="B15" s="130">
        <f>INDEX('Table 3 WYE Wind_2030'!$J$10:$J$36,MATCH($A15,'Table 3 WYE Wind_2030'!$B$10:$B$36,0),1)</f>
        <v>0</v>
      </c>
      <c r="C15" s="130"/>
      <c r="D15" s="130" t="e">
        <f>INDEX(#REF!,MATCH($A15,#REF!,0),1)</f>
        <v>#REF!</v>
      </c>
      <c r="E15" s="130" t="e">
        <f>INDEX(#REF!,MATCH($A15,#REF!,0),1)</f>
        <v>#REF!</v>
      </c>
      <c r="F15" s="130" t="e">
        <f>INDEX(#REF!,MATCH($A15,#REF!,0),1)</f>
        <v>#REF!</v>
      </c>
      <c r="G15" s="130" t="e">
        <f>INDEX(#REF!,MATCH($A15,#REF!,0),1)</f>
        <v>#REF!</v>
      </c>
      <c r="H15" s="130"/>
      <c r="I15" s="130">
        <f>INDEX('Table 3 PV wS Borah_2026'!$I$10:$I$36,MATCH($A15,'Table 3 PV wS Borah_2026'!$B$10:$B$36,0),1)</f>
        <v>101.66363889298047</v>
      </c>
      <c r="J15" s="130"/>
      <c r="K15" s="130">
        <f>INDEX('Table 3 NonE 206MW (UTN) 2033'!$L$14:$L$37,MATCH($A15,'Table 3 NonE 206MW (UTN) 2033'!$B$14:$B$37,0),1)</f>
        <v>0</v>
      </c>
      <c r="L15" s="130"/>
      <c r="M15" s="130"/>
    </row>
    <row r="16" spans="1:14">
      <c r="A16" s="135">
        <f t="shared" si="0"/>
        <v>2029</v>
      </c>
      <c r="B16" s="130">
        <f>INDEX('Table 3 WYE Wind_2030'!$J$10:$J$36,MATCH($A16,'Table 3 WYE Wind_2030'!$B$10:$B$36,0),1)</f>
        <v>0</v>
      </c>
      <c r="C16" s="130"/>
      <c r="D16" s="130" t="e">
        <f>INDEX(#REF!,MATCH($A16,#REF!,0),1)</f>
        <v>#REF!</v>
      </c>
      <c r="E16" s="130" t="e">
        <f>INDEX(#REF!,MATCH($A16,#REF!,0),1)</f>
        <v>#REF!</v>
      </c>
      <c r="F16" s="130" t="e">
        <f>INDEX(#REF!,MATCH($A16,#REF!,0),1)</f>
        <v>#REF!</v>
      </c>
      <c r="G16" s="130" t="e">
        <f>INDEX(#REF!,MATCH($A16,#REF!,0),1)</f>
        <v>#REF!</v>
      </c>
      <c r="H16" s="130" t="e">
        <f>INDEX(#REF!,MATCH($A16,#REF!,0),1)</f>
        <v>#REF!</v>
      </c>
      <c r="I16" s="130">
        <f>INDEX('Table 3 PV wS Borah_2026'!$I$10:$I$36,MATCH($A16,'Table 3 PV wS Borah_2026'!$B$10:$B$36,0),1)</f>
        <v>103.85263743637584</v>
      </c>
      <c r="J16" s="130"/>
      <c r="K16" s="130">
        <f>INDEX('Table 3 NonE 206MW (UTN) 2033'!$L$14:$L$37,MATCH($A16,'Table 3 NonE 206MW (UTN) 2033'!$B$14:$B$37,0),1)</f>
        <v>0</v>
      </c>
      <c r="L16" s="130" t="e">
        <f>INDEX(#REF!,MATCH($A16,#REF!,0),1)</f>
        <v>#REF!</v>
      </c>
      <c r="M16" s="130"/>
    </row>
    <row r="17" spans="1:13">
      <c r="A17" s="135">
        <f t="shared" si="0"/>
        <v>2030</v>
      </c>
      <c r="B17" s="130">
        <f>INDEX('Table 3 WYE Wind_2030'!$J$10:$J$36,MATCH($A17,'Table 3 WYE Wind_2030'!$B$10:$B$36,0),1)</f>
        <v>54.575213862693296</v>
      </c>
      <c r="C17" s="130" t="e">
        <f>IF($A17&lt;C$3,0,INDEX(#REF!,MATCH($A17,#REF!,0),1))</f>
        <v>#REF!</v>
      </c>
      <c r="D17" s="130" t="e">
        <f>INDEX(#REF!,MATCH($A17,#REF!,0),1)</f>
        <v>#REF!</v>
      </c>
      <c r="E17" s="130" t="e">
        <f>INDEX(#REF!,MATCH($A17,#REF!,0),1)</f>
        <v>#REF!</v>
      </c>
      <c r="F17" s="130" t="e">
        <f>INDEX(#REF!,MATCH($A17,#REF!,0),1)</f>
        <v>#REF!</v>
      </c>
      <c r="G17" s="130" t="e">
        <f>INDEX(#REF!,MATCH($A17,#REF!,0),1)</f>
        <v>#REF!</v>
      </c>
      <c r="H17" s="130" t="e">
        <f>INDEX(#REF!,MATCH($A17,#REF!,0),1)</f>
        <v>#REF!</v>
      </c>
      <c r="I17" s="130">
        <f>INDEX('Table 3 PV wS Borah_2026'!$I$10:$I$36,MATCH($A17,'Table 3 PV wS Borah_2026'!$B$10:$B$36,0),1)</f>
        <v>106.09073501252023</v>
      </c>
      <c r="J17" s="130" t="e">
        <f>INDEX(#REF!,MATCH($A17,#REF!,0),1)</f>
        <v>#REF!</v>
      </c>
      <c r="K17" s="130">
        <f>INDEX('Table 3 NonE 206MW (UTN) 2033'!$L$14:$L$37,MATCH($A17,'Table 3 NonE 206MW (UTN) 2033'!$B$14:$B$37,0),1)</f>
        <v>0</v>
      </c>
      <c r="L17" s="130" t="e">
        <f>INDEX(#REF!,MATCH($A17,#REF!,0),1)</f>
        <v>#REF!</v>
      </c>
      <c r="M17" s="130"/>
    </row>
    <row r="18" spans="1:13">
      <c r="A18" s="135">
        <f t="shared" si="0"/>
        <v>2031</v>
      </c>
      <c r="B18" s="130">
        <f>INDEX('Table 3 WYE Wind_2030'!$J$10:$J$36,MATCH($A18,'Table 3 WYE Wind_2030'!$B$10:$B$36,0),1)</f>
        <v>55.749036364252142</v>
      </c>
      <c r="C18" s="130" t="e">
        <f>IF($A18&lt;C$3,0,INDEX(#REF!,MATCH($A18,#REF!,0),1))</f>
        <v>#REF!</v>
      </c>
      <c r="D18" s="130" t="e">
        <f>INDEX(#REF!,MATCH($A18,#REF!,0),1)</f>
        <v>#REF!</v>
      </c>
      <c r="E18" s="130" t="e">
        <f>INDEX(#REF!,MATCH($A18,#REF!,0),1)</f>
        <v>#REF!</v>
      </c>
      <c r="F18" s="130" t="e">
        <f>INDEX(#REF!,MATCH($A18,#REF!,0),1)</f>
        <v>#REF!</v>
      </c>
      <c r="G18" s="130" t="e">
        <f>INDEX(#REF!,MATCH($A18,#REF!,0),1)</f>
        <v>#REF!</v>
      </c>
      <c r="H18" s="130" t="e">
        <f>INDEX(#REF!,MATCH($A18,#REF!,0),1)</f>
        <v>#REF!</v>
      </c>
      <c r="I18" s="130">
        <f>INDEX('Table 3 PV wS Borah_2026'!$I$10:$I$36,MATCH($A18,'Table 3 PV wS Borah_2026'!$B$10:$B$36,0),1)</f>
        <v>108.37793162141371</v>
      </c>
      <c r="J18" s="130" t="e">
        <f>INDEX(#REF!,MATCH($A18,#REF!,0),1)</f>
        <v>#REF!</v>
      </c>
      <c r="K18" s="130">
        <f>INDEX('Table 3 NonE 206MW (UTN) 2033'!$L$14:$L$37,MATCH($A18,'Table 3 NonE 206MW (UTN) 2033'!$B$14:$B$37,0),1)</f>
        <v>0</v>
      </c>
      <c r="L18" s="130" t="e">
        <f>INDEX(#REF!,MATCH($A18,#REF!,0),1)</f>
        <v>#REF!</v>
      </c>
      <c r="M18" s="130"/>
    </row>
    <row r="19" spans="1:13">
      <c r="A19" s="135">
        <f t="shared" si="0"/>
        <v>2032</v>
      </c>
      <c r="B19" s="130">
        <f>INDEX('Table 3 WYE Wind_2030'!$J$10:$J$36,MATCH($A19,'Table 3 WYE Wind_2030'!$B$10:$B$36,0),1)</f>
        <v>56.951938095475263</v>
      </c>
      <c r="C19" s="130" t="e">
        <f>IF($A19&lt;C$3,0,INDEX(#REF!,MATCH($A19,#REF!,0),1))</f>
        <v>#REF!</v>
      </c>
      <c r="D19" s="130" t="e">
        <f>INDEX(#REF!,MATCH($A19,#REF!,0),1)</f>
        <v>#REF!</v>
      </c>
      <c r="E19" s="130" t="e">
        <f>INDEX(#REF!,MATCH($A19,#REF!,0),1)</f>
        <v>#REF!</v>
      </c>
      <c r="F19" s="130" t="e">
        <f>INDEX(#REF!,MATCH($A19,#REF!,0),1)</f>
        <v>#REF!</v>
      </c>
      <c r="G19" s="130" t="e">
        <f>INDEX(#REF!,MATCH($A19,#REF!,0),1)</f>
        <v>#REF!</v>
      </c>
      <c r="H19" s="130" t="e">
        <f>INDEX(#REF!,MATCH($A19,#REF!,0),1)</f>
        <v>#REF!</v>
      </c>
      <c r="I19" s="130">
        <f>INDEX('Table 3 PV wS Borah_2026'!$I$10:$I$36,MATCH($A19,'Table 3 PV wS Borah_2026'!$B$10:$B$36,0),1)</f>
        <v>110.71422726305623</v>
      </c>
      <c r="J19" s="130" t="e">
        <f>INDEX(#REF!,MATCH($A19,#REF!,0),1)</f>
        <v>#REF!</v>
      </c>
      <c r="K19" s="130">
        <f>INDEX('Table 3 NonE 206MW (UTN) 2033'!$L$14:$L$37,MATCH($A19,'Table 3 NonE 206MW (UTN) 2033'!$B$14:$B$37,0),1)</f>
        <v>0</v>
      </c>
      <c r="L19" s="130" t="e">
        <f>INDEX(#REF!,MATCH($A19,#REF!,0),1)</f>
        <v>#REF!</v>
      </c>
      <c r="M19" s="130" t="e">
        <f>INDEX(#REF!,MATCH($A19,#REF!,0),1)</f>
        <v>#REF!</v>
      </c>
    </row>
    <row r="20" spans="1:13">
      <c r="A20" s="135">
        <f t="shared" si="0"/>
        <v>2033</v>
      </c>
      <c r="B20" s="130">
        <f>INDEX('Table 3 WYE Wind_2030'!$J$10:$J$36,MATCH($A20,'Table 3 WYE Wind_2030'!$B$10:$B$36,0),1)</f>
        <v>58.181010218982081</v>
      </c>
      <c r="C20" s="130" t="e">
        <f>IF($A20&lt;C$3,0,INDEX(#REF!,MATCH($A20,#REF!,0),1))</f>
        <v>#REF!</v>
      </c>
      <c r="D20" s="130" t="e">
        <f>INDEX(#REF!,MATCH($A20,#REF!,0),1)</f>
        <v>#REF!</v>
      </c>
      <c r="E20" s="130" t="e">
        <f>INDEX(#REF!,MATCH($A20,#REF!,0),1)</f>
        <v>#REF!</v>
      </c>
      <c r="F20" s="130" t="e">
        <f>INDEX(#REF!,MATCH($A20,#REF!,0),1)</f>
        <v>#REF!</v>
      </c>
      <c r="G20" s="130" t="e">
        <f>INDEX(#REF!,MATCH($A20,#REF!,0),1)</f>
        <v>#REF!</v>
      </c>
      <c r="H20" s="130" t="e">
        <f>INDEX(#REF!,MATCH($A20,#REF!,0),1)</f>
        <v>#REF!</v>
      </c>
      <c r="I20" s="130">
        <f>INDEX('Table 3 PV wS Borah_2026'!$I$10:$I$36,MATCH($A20,'Table 3 PV wS Borah_2026'!$B$10:$B$36,0),1)</f>
        <v>113.09962193744784</v>
      </c>
      <c r="J20" s="130" t="e">
        <f>INDEX(#REF!,MATCH($A20,#REF!,0),1)</f>
        <v>#REF!</v>
      </c>
      <c r="K20" s="130">
        <f>INDEX('Table 3 NonE 206MW (UTN) 2033'!$L$14:$L$37,MATCH($A20,'Table 3 NonE 206MW (UTN) 2033'!$B$14:$B$37,0),1)</f>
        <v>417.06</v>
      </c>
      <c r="L20" s="130" t="e">
        <f>INDEX(#REF!,MATCH($A20,#REF!,0),1)</f>
        <v>#REF!</v>
      </c>
      <c r="M20" s="130" t="e">
        <f>INDEX(#REF!,MATCH($A20,#REF!,0),1)</f>
        <v>#REF!</v>
      </c>
    </row>
    <row r="21" spans="1:13">
      <c r="A21" s="135">
        <f t="shared" si="0"/>
        <v>2034</v>
      </c>
      <c r="B21" s="130">
        <f>INDEX('Table 3 WYE Wind_2030'!$J$10:$J$36,MATCH($A21,'Table 3 WYE Wind_2030'!$B$10:$B$36,0),1)</f>
        <v>59.436252734772587</v>
      </c>
      <c r="C21" s="130" t="e">
        <f>IF($A21&lt;C$3,0,INDEX(#REF!,MATCH($A21,#REF!,0),1))</f>
        <v>#REF!</v>
      </c>
      <c r="D21" s="130" t="e">
        <f>INDEX(#REF!,MATCH($A21,#REF!,0),1)</f>
        <v>#REF!</v>
      </c>
      <c r="E21" s="130" t="e">
        <f>INDEX(#REF!,MATCH($A21,#REF!,0),1)</f>
        <v>#REF!</v>
      </c>
      <c r="F21" s="130" t="e">
        <f>INDEX(#REF!,MATCH($A21,#REF!,0),1)</f>
        <v>#REF!</v>
      </c>
      <c r="G21" s="130" t="e">
        <f>INDEX(#REF!,MATCH($A21,#REF!,0),1)</f>
        <v>#REF!</v>
      </c>
      <c r="H21" s="130" t="e">
        <f>INDEX(#REF!,MATCH($A21,#REF!,0),1)</f>
        <v>#REF!</v>
      </c>
      <c r="I21" s="130">
        <f>INDEX('Table 3 PV wS Borah_2026'!$I$10:$I$36,MATCH($A21,'Table 3 PV wS Borah_2026'!$B$10:$B$36,0),1)</f>
        <v>115.53820723065088</v>
      </c>
      <c r="J21" s="130" t="e">
        <f>INDEX(#REF!,MATCH($A21,#REF!,0),1)</f>
        <v>#REF!</v>
      </c>
      <c r="K21" s="130">
        <f>INDEX('Table 3 NonE 206MW (UTN) 2033'!$L$14:$L$37,MATCH($A21,'Table 3 NonE 206MW (UTN) 2033'!$B$14:$B$37,0),1)</f>
        <v>426.06</v>
      </c>
      <c r="L21" s="130" t="e">
        <f>INDEX(#REF!,MATCH($A21,#REF!,0),1)</f>
        <v>#REF!</v>
      </c>
      <c r="M21" s="130" t="e">
        <f>INDEX(#REF!,MATCH($A21,#REF!,0),1)</f>
        <v>#REF!</v>
      </c>
    </row>
    <row r="22" spans="1:13">
      <c r="A22" s="135">
        <f t="shared" si="0"/>
        <v>2035</v>
      </c>
      <c r="B22" s="130">
        <f>INDEX('Table 3 WYE Wind_2030'!$J$10:$J$36,MATCH($A22,'Table 3 WYE Wind_2030'!$B$10:$B$36,0),1)</f>
        <v>60.717665642846782</v>
      </c>
      <c r="C22" s="130" t="e">
        <f>IF($A22&lt;C$3,0,INDEX(#REF!,MATCH($A22,#REF!,0),1))</f>
        <v>#REF!</v>
      </c>
      <c r="D22" s="130" t="e">
        <f>INDEX(#REF!,MATCH($A22,#REF!,0),1)</f>
        <v>#REF!</v>
      </c>
      <c r="E22" s="130" t="e">
        <f>INDEX(#REF!,MATCH($A22,#REF!,0),1)</f>
        <v>#REF!</v>
      </c>
      <c r="F22" s="130" t="e">
        <f>INDEX(#REF!,MATCH($A22,#REF!,0),1)</f>
        <v>#REF!</v>
      </c>
      <c r="G22" s="130" t="e">
        <f>INDEX(#REF!,MATCH($A22,#REF!,0),1)</f>
        <v>#REF!</v>
      </c>
      <c r="H22" s="130" t="e">
        <f>INDEX(#REF!,MATCH($A22,#REF!,0),1)</f>
        <v>#REF!</v>
      </c>
      <c r="I22" s="130">
        <f>INDEX('Table 3 PV wS Borah_2026'!$I$10:$I$36,MATCH($A22,'Table 3 PV wS Borah_2026'!$B$10:$B$36,0),1)</f>
        <v>118.02589155660299</v>
      </c>
      <c r="J22" s="130" t="e">
        <f>INDEX(#REF!,MATCH($A22,#REF!,0),1)</f>
        <v>#REF!</v>
      </c>
      <c r="K22" s="130">
        <f>INDEX('Table 3 NonE 206MW (UTN) 2033'!$L$14:$L$37,MATCH($A22,'Table 3 NonE 206MW (UTN) 2033'!$B$14:$B$37,0),1)</f>
        <v>435.29</v>
      </c>
      <c r="L22" s="130" t="e">
        <f>INDEX(#REF!,MATCH($A22,#REF!,0),1)</f>
        <v>#REF!</v>
      </c>
      <c r="M22" s="130" t="e">
        <f>INDEX(#REF!,MATCH($A22,#REF!,0),1)</f>
        <v>#REF!</v>
      </c>
    </row>
    <row r="23" spans="1:13">
      <c r="A23" s="135">
        <f t="shared" si="0"/>
        <v>2036</v>
      </c>
      <c r="B23" s="130">
        <f>INDEX('Table 3 WYE Wind_2030'!$J$10:$J$36,MATCH($A23,'Table 3 WYE Wind_2030'!$B$10:$B$36,0),1)</f>
        <v>62.027865982433063</v>
      </c>
      <c r="C23" s="130" t="e">
        <f>IF($A23&lt;C$3,0,INDEX(#REF!,MATCH($A23,#REF!,0),1))</f>
        <v>#REF!</v>
      </c>
      <c r="D23" s="130" t="e">
        <f>INDEX(#REF!,MATCH($A23,#REF!,0),1)</f>
        <v>#REF!</v>
      </c>
      <c r="E23" s="130" t="e">
        <f>INDEX(#REF!,MATCH($A23,#REF!,0),1)</f>
        <v>#REF!</v>
      </c>
      <c r="F23" s="130" t="e">
        <f>INDEX(#REF!,MATCH($A23,#REF!,0),1)</f>
        <v>#REF!</v>
      </c>
      <c r="G23" s="130" t="e">
        <f>INDEX(#REF!,MATCH($A23,#REF!,0),1)</f>
        <v>#REF!</v>
      </c>
      <c r="H23" s="130" t="e">
        <f>INDEX(#REF!,MATCH($A23,#REF!,0),1)</f>
        <v>#REF!</v>
      </c>
      <c r="I23" s="130">
        <f>INDEX('Table 3 PV wS Borah_2026'!$I$10:$I$36,MATCH($A23,'Table 3 PV wS Borah_2026'!$B$10:$B$36,0),1)</f>
        <v>120.56676650136659</v>
      </c>
      <c r="J23" s="130" t="e">
        <f>INDEX(#REF!,MATCH($A23,#REF!,0),1)</f>
        <v>#REF!</v>
      </c>
      <c r="K23" s="130">
        <f>INDEX('Table 3 NonE 206MW (UTN) 2033'!$L$14:$L$37,MATCH($A23,'Table 3 NonE 206MW (UTN) 2033'!$B$14:$B$37,0),1)</f>
        <v>444.63</v>
      </c>
      <c r="L23" s="130" t="e">
        <f>INDEX(#REF!,MATCH($A23,#REF!,0),1)</f>
        <v>#REF!</v>
      </c>
      <c r="M23" s="130" t="e">
        <f>INDEX(#REF!,MATCH($A23,#REF!,0),1)</f>
        <v>#REF!</v>
      </c>
    </row>
    <row r="24" spans="1:13">
      <c r="A24" s="135">
        <f t="shared" si="0"/>
        <v>2037</v>
      </c>
      <c r="B24" s="130">
        <f>INDEX('Table 3 WYE Wind_2030'!$J$10:$J$36,MATCH($A24,'Table 3 WYE Wind_2030'!$B$10:$B$36,0),1)</f>
        <v>63.364236714303033</v>
      </c>
      <c r="C24" s="130" t="e">
        <f>IF($A24&lt;C$3,0,INDEX(#REF!,MATCH($A24,#REF!,0),1))</f>
        <v>#REF!</v>
      </c>
      <c r="D24" s="130" t="e">
        <f>INDEX(#REF!,MATCH($A24,#REF!,0),1)</f>
        <v>#REF!</v>
      </c>
      <c r="E24" s="130" t="e">
        <f>INDEX(#REF!,MATCH($A24,#REF!,0),1)</f>
        <v>#REF!</v>
      </c>
      <c r="F24" s="130" t="e">
        <f>INDEX(#REF!,MATCH($A24,#REF!,0),1)</f>
        <v>#REF!</v>
      </c>
      <c r="G24" s="130" t="e">
        <f>INDEX(#REF!,MATCH($A24,#REF!,0),1)</f>
        <v>#REF!</v>
      </c>
      <c r="H24" s="130" t="e">
        <f>INDEX(#REF!,MATCH($A24,#REF!,0),1)</f>
        <v>#REF!</v>
      </c>
      <c r="I24" s="130">
        <f>INDEX('Table 3 PV wS Borah_2026'!$I$10:$I$36,MATCH($A24,'Table 3 PV wS Borah_2026'!$B$10:$B$36,0),1)</f>
        <v>123.16492365100406</v>
      </c>
      <c r="J24" s="130" t="e">
        <f>INDEX(#REF!,MATCH($A24,#REF!,0),1)</f>
        <v>#REF!</v>
      </c>
      <c r="K24" s="130">
        <f>INDEX('Table 3 NonE 206MW (UTN) 2033'!$L$14:$L$37,MATCH($A24,'Table 3 NonE 206MW (UTN) 2033'!$B$14:$B$37,0),1)</f>
        <v>454.22</v>
      </c>
      <c r="L24" s="130" t="e">
        <f>INDEX(#REF!,MATCH($A24,#REF!,0),1)</f>
        <v>#REF!</v>
      </c>
      <c r="M24" s="130" t="e">
        <f>INDEX(#REF!,MATCH($A24,#REF!,0),1)</f>
        <v>#REF!</v>
      </c>
    </row>
    <row r="25" spans="1:13">
      <c r="A25" s="135">
        <f t="shared" si="0"/>
        <v>2038</v>
      </c>
      <c r="B25" s="130">
        <f>INDEX('Table 3 WYE Wind_2030'!$J$10:$J$36,MATCH($A25,'Table 3 WYE Wind_2030'!$B$10:$B$36,0),1)</f>
        <v>64.729394877685067</v>
      </c>
      <c r="C25" s="130" t="e">
        <f>IF($A25&lt;C$3,0,INDEX(#REF!,MATCH($A25,#REF!,0),1))</f>
        <v>#REF!</v>
      </c>
      <c r="D25" s="130" t="e">
        <f>INDEX(#REF!,MATCH($A25,#REF!,0),1)</f>
        <v>#REF!</v>
      </c>
      <c r="E25" s="130" t="e">
        <f>INDEX(#REF!,MATCH($A25,#REF!,0),1)</f>
        <v>#REF!</v>
      </c>
      <c r="F25" s="130" t="e">
        <f>INDEX(#REF!,MATCH($A25,#REF!,0),1)</f>
        <v>#REF!</v>
      </c>
      <c r="G25" s="130" t="e">
        <f>INDEX(#REF!,MATCH($A25,#REF!,0),1)</f>
        <v>#REF!</v>
      </c>
      <c r="H25" s="130" t="e">
        <f>INDEX(#REF!,MATCH($A25,#REF!,0),1)</f>
        <v>#REF!</v>
      </c>
      <c r="I25" s="130">
        <f>INDEX('Table 3 PV wS Borah_2026'!$I$10:$I$36,MATCH($A25,'Table 3 PV wS Borah_2026'!$B$10:$B$36,0),1)</f>
        <v>125.81627141945303</v>
      </c>
      <c r="J25" s="130" t="e">
        <f>INDEX(#REF!,MATCH($A25,#REF!,0),1)</f>
        <v>#REF!</v>
      </c>
      <c r="K25" s="130">
        <f>INDEX('Table 3 NonE 206MW (UTN) 2033'!$L$14:$L$37,MATCH($A25,'Table 3 NonE 206MW (UTN) 2033'!$B$14:$B$37,0),1)</f>
        <v>464.03</v>
      </c>
      <c r="L25" s="130" t="e">
        <f>INDEX(#REF!,MATCH($A25,#REF!,0),1)</f>
        <v>#REF!</v>
      </c>
      <c r="M25" s="130" t="e">
        <f>INDEX(#REF!,MATCH($A25,#REF!,0),1)</f>
        <v>#REF!</v>
      </c>
    </row>
    <row r="26" spans="1:13">
      <c r="A26" s="135">
        <f t="shared" si="0"/>
        <v>2039</v>
      </c>
      <c r="B26" s="330">
        <f>B25*(1+$N$14)</f>
        <v>66.201988611152402</v>
      </c>
      <c r="C26" s="330" t="e">
        <f t="shared" ref="C26:C40" si="1">C25*(1+$N$14)</f>
        <v>#REF!</v>
      </c>
      <c r="D26" s="330" t="e">
        <f t="shared" ref="D26:D40" si="2">D25*(1+$N$14)</f>
        <v>#REF!</v>
      </c>
      <c r="E26" s="330" t="e">
        <f t="shared" ref="E26:E40" si="3">E25*(1+$N$14)</f>
        <v>#REF!</v>
      </c>
      <c r="F26" s="330" t="e">
        <f t="shared" ref="F26:F40" si="4">F25*(1+$N$14)</f>
        <v>#REF!</v>
      </c>
      <c r="G26" s="330" t="e">
        <f t="shared" ref="G26:G40" si="5">G25*(1+$N$14)</f>
        <v>#REF!</v>
      </c>
      <c r="H26" s="330" t="e">
        <f t="shared" ref="H26:H40" si="6">H25*(1+$N$14)</f>
        <v>#REF!</v>
      </c>
      <c r="I26" s="330">
        <f t="shared" ref="I26:I40" si="7">I25*(1+$N$14)</f>
        <v>128.6785915942456</v>
      </c>
      <c r="J26" s="330" t="e">
        <f t="shared" ref="J26:J40" si="8">J25*(1+$N$14)</f>
        <v>#REF!</v>
      </c>
      <c r="K26" s="330">
        <f t="shared" ref="K26:K40" si="9">K25*(1+$N$14)</f>
        <v>474.58668249999999</v>
      </c>
      <c r="L26" s="330" t="e">
        <f t="shared" ref="L26:L40" si="10">L25*(1+$N$14)</f>
        <v>#REF!</v>
      </c>
      <c r="M26" s="330" t="e">
        <f t="shared" ref="M26:M46" si="11">M25*(1+$N$14)</f>
        <v>#REF!</v>
      </c>
    </row>
    <row r="27" spans="1:13">
      <c r="A27" s="135">
        <f t="shared" si="0"/>
        <v>2040</v>
      </c>
      <c r="B27" s="330">
        <f t="shared" ref="B27:B40" si="12">B26*(1+$N$14)</f>
        <v>67.70808385205612</v>
      </c>
      <c r="C27" s="330" t="e">
        <f t="shared" si="1"/>
        <v>#REF!</v>
      </c>
      <c r="D27" s="330" t="e">
        <f t="shared" si="2"/>
        <v>#REF!</v>
      </c>
      <c r="E27" s="330" t="e">
        <f t="shared" si="3"/>
        <v>#REF!</v>
      </c>
      <c r="F27" s="330" t="e">
        <f t="shared" si="4"/>
        <v>#REF!</v>
      </c>
      <c r="G27" s="330" t="e">
        <f t="shared" si="5"/>
        <v>#REF!</v>
      </c>
      <c r="H27" s="330" t="e">
        <f t="shared" si="6"/>
        <v>#REF!</v>
      </c>
      <c r="I27" s="330">
        <f t="shared" si="7"/>
        <v>131.60602955301471</v>
      </c>
      <c r="J27" s="330" t="e">
        <f t="shared" si="8"/>
        <v>#REF!</v>
      </c>
      <c r="K27" s="330">
        <f t="shared" si="9"/>
        <v>485.38352952687501</v>
      </c>
      <c r="L27" s="330" t="e">
        <f t="shared" si="10"/>
        <v>#REF!</v>
      </c>
      <c r="M27" s="330" t="e">
        <f t="shared" si="11"/>
        <v>#REF!</v>
      </c>
    </row>
    <row r="28" spans="1:13">
      <c r="A28" s="135">
        <f t="shared" si="0"/>
        <v>2041</v>
      </c>
      <c r="B28" s="330">
        <f t="shared" si="12"/>
        <v>69.248442759690406</v>
      </c>
      <c r="C28" s="330" t="e">
        <f t="shared" si="1"/>
        <v>#REF!</v>
      </c>
      <c r="D28" s="330" t="e">
        <f t="shared" si="2"/>
        <v>#REF!</v>
      </c>
      <c r="E28" s="330" t="e">
        <f t="shared" si="3"/>
        <v>#REF!</v>
      </c>
      <c r="F28" s="330" t="e">
        <f t="shared" si="4"/>
        <v>#REF!</v>
      </c>
      <c r="G28" s="330" t="e">
        <f t="shared" si="5"/>
        <v>#REF!</v>
      </c>
      <c r="H28" s="330" t="e">
        <f t="shared" si="6"/>
        <v>#REF!</v>
      </c>
      <c r="I28" s="330">
        <f t="shared" si="7"/>
        <v>134.60006672534581</v>
      </c>
      <c r="J28" s="330" t="e">
        <f t="shared" si="8"/>
        <v>#REF!</v>
      </c>
      <c r="K28" s="330">
        <f t="shared" si="9"/>
        <v>496.42600482361144</v>
      </c>
      <c r="L28" s="330" t="e">
        <f t="shared" si="10"/>
        <v>#REF!</v>
      </c>
      <c r="M28" s="330" t="e">
        <f t="shared" si="11"/>
        <v>#REF!</v>
      </c>
    </row>
    <row r="29" spans="1:13">
      <c r="A29" s="135">
        <f t="shared" si="0"/>
        <v>2042</v>
      </c>
      <c r="B29" s="330">
        <f t="shared" si="12"/>
        <v>70.82384483247337</v>
      </c>
      <c r="C29" s="330" t="e">
        <f t="shared" si="1"/>
        <v>#REF!</v>
      </c>
      <c r="D29" s="330" t="e">
        <f t="shared" si="2"/>
        <v>#REF!</v>
      </c>
      <c r="E29" s="330" t="e">
        <f t="shared" si="3"/>
        <v>#REF!</v>
      </c>
      <c r="F29" s="330" t="e">
        <f t="shared" si="4"/>
        <v>#REF!</v>
      </c>
      <c r="G29" s="330" t="e">
        <f t="shared" si="5"/>
        <v>#REF!</v>
      </c>
      <c r="H29" s="330" t="e">
        <f t="shared" si="6"/>
        <v>#REF!</v>
      </c>
      <c r="I29" s="330">
        <f t="shared" si="7"/>
        <v>137.66221824334744</v>
      </c>
      <c r="J29" s="330" t="e">
        <f t="shared" si="8"/>
        <v>#REF!</v>
      </c>
      <c r="K29" s="330">
        <f t="shared" si="9"/>
        <v>507.71969643334864</v>
      </c>
      <c r="L29" s="330" t="e">
        <f t="shared" si="10"/>
        <v>#REF!</v>
      </c>
      <c r="M29" s="330" t="e">
        <f t="shared" si="11"/>
        <v>#REF!</v>
      </c>
    </row>
    <row r="30" spans="1:13">
      <c r="A30" s="135">
        <f t="shared" si="0"/>
        <v>2043</v>
      </c>
      <c r="B30" s="330">
        <f t="shared" si="12"/>
        <v>72.435087302412143</v>
      </c>
      <c r="C30" s="330" t="e">
        <f t="shared" si="1"/>
        <v>#REF!</v>
      </c>
      <c r="D30" s="330" t="e">
        <f t="shared" si="2"/>
        <v>#REF!</v>
      </c>
      <c r="E30" s="330" t="e">
        <f t="shared" si="3"/>
        <v>#REF!</v>
      </c>
      <c r="F30" s="330" t="e">
        <f t="shared" si="4"/>
        <v>#REF!</v>
      </c>
      <c r="G30" s="330" t="e">
        <f t="shared" si="5"/>
        <v>#REF!</v>
      </c>
      <c r="H30" s="330" t="e">
        <f t="shared" si="6"/>
        <v>#REF!</v>
      </c>
      <c r="I30" s="330">
        <f t="shared" si="7"/>
        <v>140.79403370838361</v>
      </c>
      <c r="J30" s="330" t="e">
        <f t="shared" si="8"/>
        <v>#REF!</v>
      </c>
      <c r="K30" s="330">
        <f t="shared" si="9"/>
        <v>519.27031952720733</v>
      </c>
      <c r="L30" s="330" t="e">
        <f t="shared" si="10"/>
        <v>#REF!</v>
      </c>
      <c r="M30" s="330" t="e">
        <f t="shared" si="11"/>
        <v>#REF!</v>
      </c>
    </row>
    <row r="31" spans="1:13">
      <c r="A31" s="135">
        <f t="shared" si="0"/>
        <v>2044</v>
      </c>
      <c r="B31" s="330">
        <f t="shared" si="12"/>
        <v>74.082985538542019</v>
      </c>
      <c r="C31" s="330" t="e">
        <f t="shared" si="1"/>
        <v>#REF!</v>
      </c>
      <c r="D31" s="330" t="e">
        <f t="shared" si="2"/>
        <v>#REF!</v>
      </c>
      <c r="E31" s="330" t="e">
        <f t="shared" si="3"/>
        <v>#REF!</v>
      </c>
      <c r="F31" s="330" t="e">
        <f t="shared" si="4"/>
        <v>#REF!</v>
      </c>
      <c r="G31" s="330" t="e">
        <f t="shared" si="5"/>
        <v>#REF!</v>
      </c>
      <c r="H31" s="330" t="e">
        <f t="shared" si="6"/>
        <v>#REF!</v>
      </c>
      <c r="I31" s="330">
        <f t="shared" si="7"/>
        <v>143.99709797524935</v>
      </c>
      <c r="J31" s="330" t="e">
        <f t="shared" si="8"/>
        <v>#REF!</v>
      </c>
      <c r="K31" s="330">
        <f t="shared" si="9"/>
        <v>531.08371929645136</v>
      </c>
      <c r="L31" s="330" t="e">
        <f t="shared" si="10"/>
        <v>#REF!</v>
      </c>
      <c r="M31" s="330" t="e">
        <f t="shared" si="11"/>
        <v>#REF!</v>
      </c>
    </row>
    <row r="32" spans="1:13">
      <c r="A32" s="135">
        <f t="shared" si="0"/>
        <v>2045</v>
      </c>
      <c r="B32" s="330">
        <f t="shared" si="12"/>
        <v>75.768373459543852</v>
      </c>
      <c r="C32" s="330" t="e">
        <f t="shared" si="1"/>
        <v>#REF!</v>
      </c>
      <c r="D32" s="330" t="e">
        <f t="shared" si="2"/>
        <v>#REF!</v>
      </c>
      <c r="E32" s="330" t="e">
        <f t="shared" si="3"/>
        <v>#REF!</v>
      </c>
      <c r="F32" s="330" t="e">
        <f t="shared" si="4"/>
        <v>#REF!</v>
      </c>
      <c r="G32" s="330" t="e">
        <f t="shared" si="5"/>
        <v>#REF!</v>
      </c>
      <c r="H32" s="330" t="e">
        <f t="shared" si="6"/>
        <v>#REF!</v>
      </c>
      <c r="I32" s="330">
        <f t="shared" si="7"/>
        <v>147.27303195418628</v>
      </c>
      <c r="J32" s="330" t="e">
        <f t="shared" si="8"/>
        <v>#REF!</v>
      </c>
      <c r="K32" s="330">
        <f t="shared" si="9"/>
        <v>543.16587391044561</v>
      </c>
      <c r="L32" s="330" t="e">
        <f t="shared" si="10"/>
        <v>#REF!</v>
      </c>
      <c r="M32" s="330" t="e">
        <f t="shared" si="11"/>
        <v>#REF!</v>
      </c>
    </row>
    <row r="33" spans="1:13">
      <c r="A33" s="135">
        <f t="shared" si="0"/>
        <v>2046</v>
      </c>
      <c r="B33" s="330">
        <f t="shared" si="12"/>
        <v>77.492103955748476</v>
      </c>
      <c r="C33" s="330" t="e">
        <f t="shared" si="1"/>
        <v>#REF!</v>
      </c>
      <c r="D33" s="330" t="e">
        <f t="shared" si="2"/>
        <v>#REF!</v>
      </c>
      <c r="E33" s="330" t="e">
        <f t="shared" si="3"/>
        <v>#REF!</v>
      </c>
      <c r="F33" s="330" t="e">
        <f t="shared" si="4"/>
        <v>#REF!</v>
      </c>
      <c r="G33" s="330" t="e">
        <f t="shared" si="5"/>
        <v>#REF!</v>
      </c>
      <c r="H33" s="330" t="e">
        <f t="shared" si="6"/>
        <v>#REF!</v>
      </c>
      <c r="I33" s="330">
        <f t="shared" si="7"/>
        <v>150.62349343114403</v>
      </c>
      <c r="J33" s="330" t="e">
        <f t="shared" si="8"/>
        <v>#REF!</v>
      </c>
      <c r="K33" s="330">
        <f t="shared" si="9"/>
        <v>555.52289754190826</v>
      </c>
      <c r="L33" s="330" t="e">
        <f t="shared" si="10"/>
        <v>#REF!</v>
      </c>
      <c r="M33" s="330" t="e">
        <f t="shared" si="11"/>
        <v>#REF!</v>
      </c>
    </row>
    <row r="34" spans="1:13">
      <c r="A34" s="135">
        <f t="shared" si="0"/>
        <v>2047</v>
      </c>
      <c r="B34" s="330">
        <f t="shared" si="12"/>
        <v>79.255049320741762</v>
      </c>
      <c r="C34" s="330" t="e">
        <f t="shared" si="1"/>
        <v>#REF!</v>
      </c>
      <c r="D34" s="330" t="e">
        <f t="shared" si="2"/>
        <v>#REF!</v>
      </c>
      <c r="E34" s="330" t="e">
        <f t="shared" si="3"/>
        <v>#REF!</v>
      </c>
      <c r="F34" s="330" t="e">
        <f t="shared" si="4"/>
        <v>#REF!</v>
      </c>
      <c r="G34" s="330" t="e">
        <f t="shared" si="5"/>
        <v>#REF!</v>
      </c>
      <c r="H34" s="330" t="e">
        <f t="shared" si="6"/>
        <v>#REF!</v>
      </c>
      <c r="I34" s="330">
        <f t="shared" si="7"/>
        <v>154.05017790670257</v>
      </c>
      <c r="J34" s="330" t="e">
        <f t="shared" si="8"/>
        <v>#REF!</v>
      </c>
      <c r="K34" s="330">
        <f t="shared" si="9"/>
        <v>568.16104346098666</v>
      </c>
      <c r="L34" s="330" t="e">
        <f t="shared" si="10"/>
        <v>#REF!</v>
      </c>
      <c r="M34" s="330" t="e">
        <f t="shared" si="11"/>
        <v>#REF!</v>
      </c>
    </row>
    <row r="35" spans="1:13">
      <c r="A35" s="135">
        <f t="shared" si="0"/>
        <v>2048</v>
      </c>
      <c r="B35" s="330">
        <f t="shared" si="12"/>
        <v>81.05810169278864</v>
      </c>
      <c r="C35" s="330" t="e">
        <f t="shared" si="1"/>
        <v>#REF!</v>
      </c>
      <c r="D35" s="330" t="e">
        <f t="shared" si="2"/>
        <v>#REF!</v>
      </c>
      <c r="E35" s="330" t="e">
        <f t="shared" si="3"/>
        <v>#REF!</v>
      </c>
      <c r="F35" s="330" t="e">
        <f t="shared" si="4"/>
        <v>#REF!</v>
      </c>
      <c r="G35" s="330" t="e">
        <f t="shared" si="5"/>
        <v>#REF!</v>
      </c>
      <c r="H35" s="330" t="e">
        <f t="shared" si="6"/>
        <v>#REF!</v>
      </c>
      <c r="I35" s="330">
        <f t="shared" si="7"/>
        <v>157.55481945408008</v>
      </c>
      <c r="J35" s="330" t="e">
        <f t="shared" si="8"/>
        <v>#REF!</v>
      </c>
      <c r="K35" s="330">
        <f t="shared" si="9"/>
        <v>581.08670719972417</v>
      </c>
      <c r="L35" s="330" t="e">
        <f t="shared" si="10"/>
        <v>#REF!</v>
      </c>
      <c r="M35" s="330" t="e">
        <f t="shared" si="11"/>
        <v>#REF!</v>
      </c>
    </row>
    <row r="36" spans="1:13">
      <c r="A36" s="135">
        <f t="shared" si="0"/>
        <v>2049</v>
      </c>
      <c r="B36" s="330">
        <f t="shared" si="12"/>
        <v>82.90217350629959</v>
      </c>
      <c r="C36" s="330" t="e">
        <f t="shared" si="1"/>
        <v>#REF!</v>
      </c>
      <c r="D36" s="330" t="e">
        <f t="shared" si="2"/>
        <v>#REF!</v>
      </c>
      <c r="E36" s="330" t="e">
        <f t="shared" si="3"/>
        <v>#REF!</v>
      </c>
      <c r="F36" s="330" t="e">
        <f t="shared" si="4"/>
        <v>#REF!</v>
      </c>
      <c r="G36" s="330" t="e">
        <f t="shared" si="5"/>
        <v>#REF!</v>
      </c>
      <c r="H36" s="330" t="e">
        <f t="shared" si="6"/>
        <v>#REF!</v>
      </c>
      <c r="I36" s="330">
        <f t="shared" si="7"/>
        <v>161.1391915966604</v>
      </c>
      <c r="J36" s="330" t="e">
        <f t="shared" si="8"/>
        <v>#REF!</v>
      </c>
      <c r="K36" s="330">
        <f t="shared" si="9"/>
        <v>594.3064297885179</v>
      </c>
      <c r="L36" s="330" t="e">
        <f t="shared" si="10"/>
        <v>#REF!</v>
      </c>
      <c r="M36" s="330" t="e">
        <f t="shared" si="11"/>
        <v>#REF!</v>
      </c>
    </row>
    <row r="37" spans="1:13">
      <c r="A37" s="135">
        <f t="shared" si="0"/>
        <v>2050</v>
      </c>
      <c r="B37" s="330">
        <f t="shared" si="12"/>
        <v>84.788197953567916</v>
      </c>
      <c r="C37" s="330" t="e">
        <f t="shared" si="1"/>
        <v>#REF!</v>
      </c>
      <c r="D37" s="330" t="e">
        <f t="shared" si="2"/>
        <v>#REF!</v>
      </c>
      <c r="E37" s="330" t="e">
        <f t="shared" si="3"/>
        <v>#REF!</v>
      </c>
      <c r="F37" s="330" t="e">
        <f t="shared" si="4"/>
        <v>#REF!</v>
      </c>
      <c r="G37" s="330" t="e">
        <f t="shared" si="5"/>
        <v>#REF!</v>
      </c>
      <c r="H37" s="330" t="e">
        <f t="shared" si="6"/>
        <v>#REF!</v>
      </c>
      <c r="I37" s="330">
        <f t="shared" si="7"/>
        <v>164.80510820548443</v>
      </c>
      <c r="J37" s="330" t="e">
        <f t="shared" si="8"/>
        <v>#REF!</v>
      </c>
      <c r="K37" s="330">
        <f t="shared" si="9"/>
        <v>607.82690106620669</v>
      </c>
      <c r="L37" s="330" t="e">
        <f t="shared" si="10"/>
        <v>#REF!</v>
      </c>
      <c r="M37" s="330" t="e">
        <f t="shared" si="11"/>
        <v>#REF!</v>
      </c>
    </row>
    <row r="38" spans="1:13">
      <c r="A38" s="135">
        <f t="shared" si="0"/>
        <v>2051</v>
      </c>
      <c r="B38" s="330">
        <f t="shared" si="12"/>
        <v>86.717129457011595</v>
      </c>
      <c r="C38" s="330" t="e">
        <f t="shared" si="1"/>
        <v>#REF!</v>
      </c>
      <c r="D38" s="330" t="e">
        <f t="shared" si="2"/>
        <v>#REF!</v>
      </c>
      <c r="E38" s="330" t="e">
        <f t="shared" si="3"/>
        <v>#REF!</v>
      </c>
      <c r="F38" s="330" t="e">
        <f t="shared" si="4"/>
        <v>#REF!</v>
      </c>
      <c r="G38" s="330" t="e">
        <f t="shared" si="5"/>
        <v>#REF!</v>
      </c>
      <c r="H38" s="330" t="e">
        <f t="shared" si="6"/>
        <v>#REF!</v>
      </c>
      <c r="I38" s="330">
        <f t="shared" si="7"/>
        <v>168.5544244171592</v>
      </c>
      <c r="J38" s="330" t="e">
        <f t="shared" si="8"/>
        <v>#REF!</v>
      </c>
      <c r="K38" s="330">
        <f t="shared" si="9"/>
        <v>621.65496306546288</v>
      </c>
      <c r="L38" s="330" t="e">
        <f t="shared" si="10"/>
        <v>#REF!</v>
      </c>
      <c r="M38" s="330" t="e">
        <f t="shared" si="11"/>
        <v>#REF!</v>
      </c>
    </row>
    <row r="39" spans="1:13">
      <c r="A39" s="135">
        <f t="shared" si="0"/>
        <v>2052</v>
      </c>
      <c r="B39" s="330">
        <f t="shared" si="12"/>
        <v>88.689944152158617</v>
      </c>
      <c r="C39" s="330" t="e">
        <f t="shared" si="1"/>
        <v>#REF!</v>
      </c>
      <c r="D39" s="330" t="e">
        <f t="shared" si="2"/>
        <v>#REF!</v>
      </c>
      <c r="E39" s="330" t="e">
        <f t="shared" si="3"/>
        <v>#REF!</v>
      </c>
      <c r="F39" s="330" t="e">
        <f t="shared" si="4"/>
        <v>#REF!</v>
      </c>
      <c r="G39" s="330" t="e">
        <f t="shared" si="5"/>
        <v>#REF!</v>
      </c>
      <c r="H39" s="330" t="e">
        <f t="shared" si="6"/>
        <v>#REF!</v>
      </c>
      <c r="I39" s="330">
        <f t="shared" si="7"/>
        <v>172.38903757264958</v>
      </c>
      <c r="J39" s="330" t="e">
        <f t="shared" si="8"/>
        <v>#REF!</v>
      </c>
      <c r="K39" s="330">
        <f t="shared" si="9"/>
        <v>635.79761347520218</v>
      </c>
      <c r="L39" s="330" t="e">
        <f t="shared" si="10"/>
        <v>#REF!</v>
      </c>
      <c r="M39" s="330" t="e">
        <f t="shared" si="11"/>
        <v>#REF!</v>
      </c>
    </row>
    <row r="40" spans="1:13">
      <c r="A40" s="135">
        <f t="shared" si="0"/>
        <v>2053</v>
      </c>
      <c r="B40" s="330">
        <f t="shared" si="12"/>
        <v>90.707640381620223</v>
      </c>
      <c r="C40" s="330" t="e">
        <f t="shared" si="1"/>
        <v>#REF!</v>
      </c>
      <c r="D40" s="330" t="e">
        <f t="shared" si="2"/>
        <v>#REF!</v>
      </c>
      <c r="E40" s="330" t="e">
        <f t="shared" si="3"/>
        <v>#REF!</v>
      </c>
      <c r="F40" s="330" t="e">
        <f t="shared" si="4"/>
        <v>#REF!</v>
      </c>
      <c r="G40" s="330" t="e">
        <f t="shared" si="5"/>
        <v>#REF!</v>
      </c>
      <c r="H40" s="330" t="e">
        <f t="shared" si="6"/>
        <v>#REF!</v>
      </c>
      <c r="I40" s="330">
        <f t="shared" si="7"/>
        <v>176.31088817742736</v>
      </c>
      <c r="J40" s="330" t="e">
        <f t="shared" si="8"/>
        <v>#REF!</v>
      </c>
      <c r="K40" s="330">
        <f t="shared" si="9"/>
        <v>650.26200918176312</v>
      </c>
      <c r="L40" s="330" t="e">
        <f t="shared" si="10"/>
        <v>#REF!</v>
      </c>
      <c r="M40" s="330" t="e">
        <f t="shared" si="11"/>
        <v>#REF!</v>
      </c>
    </row>
    <row r="41" spans="1:13">
      <c r="A41" s="135">
        <f t="shared" si="0"/>
        <v>2054</v>
      </c>
      <c r="B41" s="330"/>
      <c r="C41" s="330" t="e">
        <f t="shared" ref="C41:C46" si="13">C40*(1+$N$14)</f>
        <v>#REF!</v>
      </c>
      <c r="D41" s="330"/>
      <c r="E41" s="330"/>
      <c r="F41" s="330"/>
      <c r="G41" s="330"/>
      <c r="H41" s="330" t="e">
        <f t="shared" ref="H41:H45" si="14">H40*(1+$N$14)</f>
        <v>#REF!</v>
      </c>
      <c r="I41" s="330"/>
      <c r="J41" s="330" t="e">
        <f t="shared" ref="J41:J46" si="15">J40*(1+$N$14)</f>
        <v>#REF!</v>
      </c>
      <c r="K41" s="330">
        <f>K40*(1+$N$14)</f>
        <v>665.05546989064828</v>
      </c>
      <c r="L41" s="330" t="e">
        <f>L40*(1+$N$14)</f>
        <v>#REF!</v>
      </c>
      <c r="M41" s="330" t="e">
        <f t="shared" si="11"/>
        <v>#REF!</v>
      </c>
    </row>
    <row r="42" spans="1:13">
      <c r="A42" s="135">
        <f t="shared" si="0"/>
        <v>2055</v>
      </c>
      <c r="B42" s="330"/>
      <c r="C42" s="330" t="e">
        <f t="shared" si="13"/>
        <v>#REF!</v>
      </c>
      <c r="D42" s="330"/>
      <c r="E42" s="330"/>
      <c r="F42" s="330"/>
      <c r="G42" s="330"/>
      <c r="H42" s="330" t="e">
        <f t="shared" si="14"/>
        <v>#REF!</v>
      </c>
      <c r="I42" s="330"/>
      <c r="J42" s="330" t="e">
        <f t="shared" si="15"/>
        <v>#REF!</v>
      </c>
      <c r="K42" s="330">
        <f>K41*(1+$N$14)</f>
        <v>680.18548183066059</v>
      </c>
      <c r="L42" s="330" t="e">
        <f>L41*(1+$N$14)</f>
        <v>#REF!</v>
      </c>
      <c r="M42" s="330" t="e">
        <f t="shared" si="11"/>
        <v>#REF!</v>
      </c>
    </row>
    <row r="43" spans="1:13">
      <c r="A43" s="135">
        <f t="shared" si="0"/>
        <v>2056</v>
      </c>
      <c r="B43" s="330"/>
      <c r="C43" s="330" t="e">
        <f t="shared" si="13"/>
        <v>#REF!</v>
      </c>
      <c r="D43" s="330"/>
      <c r="E43" s="330"/>
      <c r="F43" s="330"/>
      <c r="G43" s="330"/>
      <c r="H43" s="330" t="e">
        <f t="shared" si="14"/>
        <v>#REF!</v>
      </c>
      <c r="I43" s="330"/>
      <c r="J43" s="330" t="e">
        <f t="shared" si="15"/>
        <v>#REF!</v>
      </c>
      <c r="K43" s="335"/>
      <c r="L43" s="330" t="e">
        <f>L42*(1+$N$14)</f>
        <v>#REF!</v>
      </c>
      <c r="M43" s="330" t="e">
        <f t="shared" si="11"/>
        <v>#REF!</v>
      </c>
    </row>
    <row r="44" spans="1:13">
      <c r="A44" s="135">
        <f t="shared" si="0"/>
        <v>2057</v>
      </c>
      <c r="B44" s="330"/>
      <c r="C44" s="330" t="e">
        <f t="shared" si="13"/>
        <v>#REF!</v>
      </c>
      <c r="D44" s="330"/>
      <c r="E44" s="330"/>
      <c r="F44" s="330"/>
      <c r="G44" s="330"/>
      <c r="H44" s="330" t="e">
        <f t="shared" si="14"/>
        <v>#REF!</v>
      </c>
      <c r="I44" s="330"/>
      <c r="J44" s="330" t="e">
        <f t="shared" si="15"/>
        <v>#REF!</v>
      </c>
      <c r="K44" s="335"/>
      <c r="L44" s="330" t="e">
        <f>L43*(1+$N$14)</f>
        <v>#REF!</v>
      </c>
      <c r="M44" s="330" t="e">
        <f t="shared" si="11"/>
        <v>#REF!</v>
      </c>
    </row>
    <row r="45" spans="1:13">
      <c r="A45" s="135">
        <f t="shared" si="0"/>
        <v>2058</v>
      </c>
      <c r="B45" s="330"/>
      <c r="C45" s="330" t="e">
        <f t="shared" si="13"/>
        <v>#REF!</v>
      </c>
      <c r="D45" s="330"/>
      <c r="E45" s="330"/>
      <c r="F45" s="330"/>
      <c r="G45" s="330"/>
      <c r="H45" s="330" t="e">
        <f t="shared" si="14"/>
        <v>#REF!</v>
      </c>
      <c r="I45" s="330"/>
      <c r="J45" s="330" t="e">
        <f t="shared" si="15"/>
        <v>#REF!</v>
      </c>
      <c r="K45" s="335"/>
      <c r="L45" s="330" t="e">
        <f>L44*(1+$N$14)</f>
        <v>#REF!</v>
      </c>
      <c r="M45" s="330" t="e">
        <f t="shared" si="11"/>
        <v>#REF!</v>
      </c>
    </row>
    <row r="46" spans="1:13">
      <c r="A46" s="135">
        <f t="shared" si="0"/>
        <v>2059</v>
      </c>
      <c r="B46" s="330"/>
      <c r="C46" s="330" t="e">
        <f t="shared" si="13"/>
        <v>#REF!</v>
      </c>
      <c r="D46" s="330"/>
      <c r="E46" s="330"/>
      <c r="F46" s="330"/>
      <c r="G46" s="330"/>
      <c r="H46" s="330"/>
      <c r="I46" s="330"/>
      <c r="J46" s="330" t="e">
        <f t="shared" si="15"/>
        <v>#REF!</v>
      </c>
      <c r="K46" s="335"/>
      <c r="L46" s="335"/>
      <c r="M46" s="330" t="e">
        <f t="shared" si="11"/>
        <v>#REF!</v>
      </c>
    </row>
    <row r="47" spans="1:13">
      <c r="A47" s="135">
        <f t="shared" ref="A47:A48" si="16">A46+1</f>
        <v>2060</v>
      </c>
      <c r="B47" s="330"/>
      <c r="C47" s="330" t="e">
        <f t="shared" ref="C47:C48" si="17">C46*(1+$N$14)</f>
        <v>#REF!</v>
      </c>
      <c r="D47" s="330"/>
      <c r="E47" s="330"/>
      <c r="F47" s="330"/>
      <c r="G47" s="330"/>
      <c r="H47" s="330"/>
      <c r="I47" s="330"/>
      <c r="J47" s="330"/>
      <c r="K47" s="335"/>
      <c r="L47" s="335"/>
      <c r="M47" s="330" t="e">
        <f t="shared" ref="M47:M48" si="18">M46*(1+$N$14)</f>
        <v>#REF!</v>
      </c>
    </row>
    <row r="48" spans="1:13">
      <c r="A48" s="135">
        <f t="shared" si="16"/>
        <v>2061</v>
      </c>
      <c r="B48" s="330"/>
      <c r="C48" s="330" t="e">
        <f t="shared" si="17"/>
        <v>#REF!</v>
      </c>
      <c r="D48" s="330"/>
      <c r="E48" s="330"/>
      <c r="F48" s="330"/>
      <c r="G48" s="330"/>
      <c r="H48" s="330"/>
      <c r="I48" s="330"/>
      <c r="J48" s="330"/>
      <c r="K48" s="335"/>
      <c r="L48" s="335"/>
      <c r="M48" s="330" t="e">
        <f t="shared" si="18"/>
        <v>#REF!</v>
      </c>
    </row>
    <row r="49" spans="1:13" ht="12" customHeight="1">
      <c r="A49" s="135"/>
    </row>
    <row r="50" spans="1:13" ht="12" customHeight="1">
      <c r="A50" s="331" t="s">
        <v>131</v>
      </c>
      <c r="B50" s="332">
        <f>PMT(Discount_Rate,30,-NPV(Discount_Rate,Table3ACsummary!B$11:B$40))</f>
        <v>41.021971753820665</v>
      </c>
      <c r="C50" s="332" t="e">
        <f>PMT(Discount_Rate,30,-NPV(Discount_Rate,Table3ACsummary!C$17:C$46))</f>
        <v>#REF!</v>
      </c>
      <c r="D50" s="332" t="e">
        <f>PMT(Discount_Rate,30,-NPV(Discount_Rate,Table3ACsummary!D$11:D$40))</f>
        <v>#REF!</v>
      </c>
      <c r="E50" s="332" t="e">
        <f>PMT(Discount_Rate,30,-NPV(Discount_Rate,Table3ACsummary!E$11:E$40))</f>
        <v>#REF!</v>
      </c>
      <c r="F50" s="332" t="e">
        <f>PMT(Discount_Rate,30,-NPV(Discount_Rate,Table3ACsummary!F$11:F$40))</f>
        <v>#REF!</v>
      </c>
      <c r="G50" s="332" t="e">
        <f>PMT(Discount_Rate,30,-NPV(Discount_Rate,Table3ACsummary!G$11:G$40))</f>
        <v>#REF!</v>
      </c>
      <c r="H50" s="332" t="e">
        <f>PMT(Discount_Rate,30,-NPV(Discount_Rate,Table3ACsummary!H$16:H$45))</f>
        <v>#REF!</v>
      </c>
      <c r="I50" s="332">
        <f>PMT(Discount_Rate,30,-NPV(Discount_Rate,Table3ACsummary!I$11:I$40))</f>
        <v>103.51328397293038</v>
      </c>
      <c r="J50" s="332" t="e">
        <f>PMT(Discount_Rate,30,-NPV(Discount_Rate,Table3ACsummary!J$11:J$40))</f>
        <v>#REF!</v>
      </c>
      <c r="K50" s="332">
        <f>PMT(Discount_Rate,30,-NPV(Discount_Rate,Table3ACsummary!K$13:K$42))</f>
        <v>286.89485255122923</v>
      </c>
      <c r="L50" s="332" t="e">
        <f>PMT(Discount_Rate,30,-NPV(Discount_Rate,Table3ACsummary!L$16:L$45))</f>
        <v>#REF!</v>
      </c>
      <c r="M50" s="332" t="e">
        <f>PMT(Discount_Rate,30,-NPV(Discount_Rate,Table3ACsummary!M$19:M$48))</f>
        <v>#REF!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41"/>
  <sheetViews>
    <sheetView tabSelected="1" view="pageBreakPreview" topLeftCell="A2" zoomScale="70" zoomScaleNormal="70" zoomScaleSheetLayoutView="70" workbookViewId="0">
      <pane xSplit="2" ySplit="11" topLeftCell="C13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Utah 2021.Q3 - 100.0 MW and 100.0% CF</v>
      </c>
      <c r="C4" s="83"/>
      <c r="D4" s="83"/>
      <c r="E4" s="83"/>
      <c r="F4" s="83"/>
      <c r="G4" s="83"/>
      <c r="K4" s="56">
        <f>MIN(K13:K24)</f>
        <v>44562</v>
      </c>
      <c r="M4" s="353" t="s">
        <v>244</v>
      </c>
      <c r="P4" s="203" t="s">
        <v>224</v>
      </c>
      <c r="Q4" s="203" t="s">
        <v>225</v>
      </c>
      <c r="R4" s="203" t="s">
        <v>157</v>
      </c>
      <c r="S4" s="203" t="s">
        <v>226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77">
        <f>MIN(K13:K24)</f>
        <v>44562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77">
        <f>EDATE(K5,15*12-1)</f>
        <v>50010</v>
      </c>
      <c r="M6" s="57">
        <v>100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 t="str">
        <f>R4</f>
        <v>15 Year Starting 2023</v>
      </c>
      <c r="C7" s="58">
        <f ca="1">NPV($K$9,INDIRECT("C"&amp;$R$5&amp;":C"&amp;$R$6))</f>
        <v>194238254.84733608</v>
      </c>
      <c r="D7" s="58">
        <f ca="1">NPV($K$9,INDIRECT("d"&amp;$R$5&amp;":d"&amp;$R$6))</f>
        <v>27210097.942010954</v>
      </c>
      <c r="E7" s="58">
        <f ca="1">NPV($K$9,INDIRECT("e"&amp;$R$5&amp;":e"&amp;$R$6))</f>
        <v>221448352.78934717</v>
      </c>
      <c r="F7" s="351">
        <f ca="1">NPV($K$9,INDIRECT("f"&amp;$R$5&amp;":f"&amp;$R$6))</f>
        <v>8294847.6621627575</v>
      </c>
      <c r="G7" s="91">
        <f ca="1">($C7+D7)/$F7</f>
        <v>26.697097018368595</v>
      </c>
      <c r="M7" s="352">
        <f ca="1">SUM(OFFSET(F12,MATCH(K5,B13:B24,0),0,12))/(EDATE(K5,12)-K5)/24/Study_MW</f>
        <v>1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</v>
      </c>
    </row>
    <row r="9" spans="1:19">
      <c r="A9" s="107" t="str">
        <f>S4</f>
        <v>15 Year Starting 2022</v>
      </c>
      <c r="C9" s="58">
        <f ca="1">NPV($K$9,INDIRECT("C"&amp;$S$5&amp;":C"&amp;$S$6))</f>
        <v>201869848.67971331</v>
      </c>
      <c r="D9" s="58">
        <f ca="1">NPV($K$9,INDIRECT("d"&amp;$S$5&amp;":d"&amp;$S$6))</f>
        <v>20816511.504092492</v>
      </c>
      <c r="E9" s="58">
        <f ca="1">NPV($K$9,INDIRECT("e"&amp;$S$5&amp;":e"&amp;$S$6))</f>
        <v>222686360.18380585</v>
      </c>
      <c r="F9" s="351">
        <f ca="1">NPV($K$9,INDIRECT("f"&amp;$S$5&amp;":f"&amp;$S$6))</f>
        <v>8294446.879245895</v>
      </c>
      <c r="G9" s="91">
        <f ca="1">($C9+D9)/$F9</f>
        <v>26.847644384944417</v>
      </c>
      <c r="J9" s="110">
        <f>'Table 1'!I43</f>
        <v>6.88E-2</v>
      </c>
      <c r="K9" s="93">
        <f>((1+J9)^(1/12))-1</f>
        <v>5.560110673283658E-3</v>
      </c>
    </row>
    <row r="10" spans="1:19">
      <c r="A10" s="107" t="str">
        <f>Q4</f>
        <v>15 Year Starting 2024</v>
      </c>
      <c r="C10" s="58">
        <f ca="1">NPV($K$9,INDIRECT("C"&amp;$Q$5&amp;":C"&amp;$Q$6))</f>
        <v>188433108.50094095</v>
      </c>
      <c r="D10" s="58">
        <f ca="1">NPV($K$9,INDIRECT("d"&amp;$Q$5&amp;":d"&amp;$Q$6))</f>
        <v>34150181.363157943</v>
      </c>
      <c r="E10" s="58">
        <f ca="1">NPV($K$9,INDIRECT("e"&amp;$Q$5&amp;":e"&amp;$Q$6))</f>
        <v>222583289.86409888</v>
      </c>
      <c r="F10" s="351">
        <f ca="1">NPV($K$9,INDIRECT("f"&amp;$Q$5&amp;":f"&amp;$Q$6))</f>
        <v>8295276.0189443026</v>
      </c>
      <c r="G10" s="91">
        <f ca="1">($C10+D10)/$F10</f>
        <v>26.832535693300045</v>
      </c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100.0% CF</v>
      </c>
      <c r="E12" s="66" t="s">
        <v>50</v>
      </c>
      <c r="F12" s="67" t="s">
        <v>46</v>
      </c>
      <c r="G12" s="65" t="str">
        <f>D12</f>
        <v>100.0%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44562</v>
      </c>
      <c r="C13" s="69">
        <v>2011549.0042078197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2011549.0042078197</v>
      </c>
      <c r="F13" s="69">
        <v>74400</v>
      </c>
      <c r="G13" s="72">
        <f t="shared" ref="G13:G17" si="1">IF(ISNUMBER($F13),E13/$F13,"")</f>
        <v>27.0369489812879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384</v>
      </c>
      <c r="M13" s="56" t="s">
        <v>49</v>
      </c>
    </row>
    <row r="14" spans="1:19">
      <c r="B14" s="78">
        <f t="shared" ref="B14:B77" si="3">EDATE(B13,1)</f>
        <v>44593</v>
      </c>
      <c r="C14" s="75">
        <v>2015472.6223032027</v>
      </c>
      <c r="D14" s="71">
        <f>IF(ISNUMBER($F14),VLOOKUP($J14,'Table 1'!$B$13:$C$33,2,FALSE)/12*1000*Study_MW,"")</f>
        <v>0</v>
      </c>
      <c r="E14" s="71">
        <f t="shared" si="0"/>
        <v>2015472.6223032027</v>
      </c>
      <c r="F14" s="75">
        <v>67200</v>
      </c>
      <c r="G14" s="76">
        <f t="shared" si="1"/>
        <v>29.992152117607183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502</v>
      </c>
      <c r="M14" s="90" t="s">
        <v>258</v>
      </c>
    </row>
    <row r="15" spans="1:19">
      <c r="B15" s="78">
        <f t="shared" si="3"/>
        <v>44621</v>
      </c>
      <c r="C15" s="75">
        <v>2114224.9156094939</v>
      </c>
      <c r="D15" s="71">
        <f>IF(ISNUMBER($F15),VLOOKUP($J15,'Table 1'!$B$13:$C$33,2,FALSE)/12*1000*Study_MW,"")</f>
        <v>0</v>
      </c>
      <c r="E15" s="71">
        <f t="shared" si="0"/>
        <v>2114224.9156094939</v>
      </c>
      <c r="F15" s="75">
        <v>74400</v>
      </c>
      <c r="G15" s="76">
        <f t="shared" si="1"/>
        <v>28.417001553891048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1517793.9082961828</v>
      </c>
      <c r="D16" s="71">
        <f>IF(ISNUMBER($F16),VLOOKUP($J16,'Table 1'!$B$13:$C$33,2,FALSE)/12*1000*Study_MW,"")</f>
        <v>0</v>
      </c>
      <c r="E16" s="71">
        <f t="shared" si="0"/>
        <v>1517793.9082961828</v>
      </c>
      <c r="F16" s="75">
        <v>72000</v>
      </c>
      <c r="G16" s="76">
        <f t="shared" si="1"/>
        <v>21.080470948558094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 t="shared" ref="M16:M38" si="6">SUMIF($J$13:$J$240,L16,$C$13:$C$240)</f>
        <v>29214351.589639932</v>
      </c>
      <c r="N16" s="56">
        <f t="shared" ref="N16:N38" si="7">SUMIF($J$13:$J$240,L16,$D$13:$D$240)</f>
        <v>0</v>
      </c>
      <c r="O16" s="56">
        <f t="shared" ref="O16:O38" si="8">SUMIF($J$13:$J$240,L16,$F$13:$F$240)</f>
        <v>876000</v>
      </c>
      <c r="P16" s="113">
        <f t="shared" ref="P16:P25" si="9">(M16+N16)/O16</f>
        <v>33.349716426529604</v>
      </c>
      <c r="Q16" s="164">
        <f>M16/O16</f>
        <v>33.349716426529604</v>
      </c>
      <c r="R16" s="164">
        <f>IFERROR(N16/O16,0)</f>
        <v>0</v>
      </c>
    </row>
    <row r="17" spans="2:20">
      <c r="B17" s="78">
        <f t="shared" si="3"/>
        <v>44682</v>
      </c>
      <c r="C17" s="75">
        <v>1361306.8877672553</v>
      </c>
      <c r="D17" s="71">
        <f>IF(ISNUMBER($F17),VLOOKUP($J17,'Table 1'!$B$13:$C$33,2,FALSE)/12*1000*Study_MW,"")</f>
        <v>0</v>
      </c>
      <c r="E17" s="71">
        <f t="shared" si="0"/>
        <v>1361306.8877672553</v>
      </c>
      <c r="F17" s="75">
        <v>74400</v>
      </c>
      <c r="G17" s="76">
        <f t="shared" si="1"/>
        <v>18.297135588269562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 t="shared" si="6"/>
        <v>26591102.502600446</v>
      </c>
      <c r="N17" s="56">
        <f t="shared" si="7"/>
        <v>0</v>
      </c>
      <c r="O17" s="56">
        <f t="shared" si="8"/>
        <v>876000</v>
      </c>
      <c r="P17" s="113">
        <f t="shared" si="9"/>
        <v>30.355139843151193</v>
      </c>
      <c r="Q17" s="164">
        <f t="shared" ref="Q17:Q33" si="10">M17/O17</f>
        <v>30.355139843151193</v>
      </c>
      <c r="R17" s="164">
        <f t="shared" ref="R17:R33" si="11">IFERROR(N17/O17,0)</f>
        <v>0</v>
      </c>
    </row>
    <row r="18" spans="2:20">
      <c r="B18" s="78">
        <f t="shared" si="3"/>
        <v>44713</v>
      </c>
      <c r="C18" s="75">
        <v>1774889.4854449928</v>
      </c>
      <c r="D18" s="71">
        <f>IF(ISNUMBER($F18),VLOOKUP($J18,'Table 1'!$B$13:$C$33,2,FALSE)/12*1000*Study_MW,"")</f>
        <v>0</v>
      </c>
      <c r="E18" s="71">
        <f t="shared" ref="E18:E19" si="12">IF(ISNUMBER(C18+D18),C18+D18,"")</f>
        <v>1774889.4854449928</v>
      </c>
      <c r="F18" s="75">
        <v>72000</v>
      </c>
      <c r="G18" s="76">
        <f t="shared" ref="G18:G19" si="13">IF(ISNUMBER($F18),E18/$F18,"")</f>
        <v>24.651242853402678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4">L17+1</f>
        <v>2024</v>
      </c>
      <c r="M18" s="56">
        <f t="shared" si="6"/>
        <v>27737884.341748819</v>
      </c>
      <c r="N18" s="56">
        <f t="shared" si="7"/>
        <v>0</v>
      </c>
      <c r="O18" s="56">
        <f t="shared" si="8"/>
        <v>878400</v>
      </c>
      <c r="P18" s="113">
        <f t="shared" si="9"/>
        <v>31.57773718322953</v>
      </c>
      <c r="Q18" s="164">
        <f t="shared" si="10"/>
        <v>31.57773718322953</v>
      </c>
      <c r="R18" s="164">
        <f t="shared" si="11"/>
        <v>0</v>
      </c>
    </row>
    <row r="19" spans="2:20">
      <c r="B19" s="78">
        <f t="shared" si="3"/>
        <v>44743</v>
      </c>
      <c r="C19" s="75">
        <v>5828681.5442266464</v>
      </c>
      <c r="D19" s="71">
        <f>IF(ISNUMBER($F19),VLOOKUP($J19,'Table 1'!$B$13:$C$33,2,FALSE)/12*1000*Study_MW,"")</f>
        <v>0</v>
      </c>
      <c r="E19" s="71">
        <f t="shared" si="12"/>
        <v>5828681.5442266464</v>
      </c>
      <c r="F19" s="75">
        <v>74400</v>
      </c>
      <c r="G19" s="76">
        <f t="shared" si="13"/>
        <v>78.342493874014068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4"/>
        <v>2025</v>
      </c>
      <c r="M19" s="56">
        <f t="shared" si="6"/>
        <v>18577305.281270012</v>
      </c>
      <c r="N19" s="56">
        <f t="shared" si="7"/>
        <v>0</v>
      </c>
      <c r="O19" s="56">
        <f t="shared" si="8"/>
        <v>876000</v>
      </c>
      <c r="P19" s="113">
        <f t="shared" si="9"/>
        <v>21.206969499166682</v>
      </c>
      <c r="Q19" s="164">
        <f t="shared" si="10"/>
        <v>21.206969499166682</v>
      </c>
      <c r="R19" s="164">
        <f t="shared" si="11"/>
        <v>0</v>
      </c>
    </row>
    <row r="20" spans="2:20">
      <c r="B20" s="78">
        <f t="shared" si="3"/>
        <v>44774</v>
      </c>
      <c r="C20" s="75">
        <v>3871145.7443241775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3871145.7443241775</v>
      </c>
      <c r="F20" s="75">
        <v>74400</v>
      </c>
      <c r="G20" s="76">
        <f t="shared" ref="G20:G77" si="16">IF(ISNUMBER($F20),E20/$F20,"")</f>
        <v>52.031528821561523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4"/>
        <v>2026</v>
      </c>
      <c r="M20" s="56">
        <f t="shared" si="6"/>
        <v>17004519.687580124</v>
      </c>
      <c r="N20" s="56">
        <f t="shared" si="7"/>
        <v>0</v>
      </c>
      <c r="O20" s="56">
        <f t="shared" si="8"/>
        <v>876000</v>
      </c>
      <c r="P20" s="113">
        <f t="shared" si="9"/>
        <v>19.411552154771829</v>
      </c>
      <c r="Q20" s="164">
        <f t="shared" si="10"/>
        <v>19.411552154771829</v>
      </c>
      <c r="R20" s="164">
        <f t="shared" si="11"/>
        <v>0</v>
      </c>
    </row>
    <row r="21" spans="2:20">
      <c r="B21" s="78">
        <f t="shared" si="3"/>
        <v>44805</v>
      </c>
      <c r="C21" s="75">
        <v>2695468.1574023664</v>
      </c>
      <c r="D21" s="71">
        <f>IF(ISNUMBER($F21),VLOOKUP($J21,'Table 1'!$B$13:$C$33,2,FALSE)/12*1000*Study_MW,"")</f>
        <v>0</v>
      </c>
      <c r="E21" s="71">
        <f t="shared" si="15"/>
        <v>2695468.1574023664</v>
      </c>
      <c r="F21" s="75">
        <v>72000</v>
      </c>
      <c r="G21" s="76">
        <f t="shared" si="16"/>
        <v>37.437057741699533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4"/>
        <v>2027</v>
      </c>
      <c r="M21" s="56">
        <f t="shared" si="6"/>
        <v>17556205.489553615</v>
      </c>
      <c r="N21" s="56">
        <f t="shared" si="7"/>
        <v>0</v>
      </c>
      <c r="O21" s="56">
        <f t="shared" si="8"/>
        <v>876000</v>
      </c>
      <c r="P21" s="113">
        <f t="shared" si="9"/>
        <v>20.041330467526958</v>
      </c>
      <c r="Q21" s="164">
        <f t="shared" si="10"/>
        <v>20.041330467526958</v>
      </c>
      <c r="R21" s="164">
        <f t="shared" si="11"/>
        <v>0</v>
      </c>
    </row>
    <row r="22" spans="2:20">
      <c r="B22" s="78">
        <f t="shared" si="3"/>
        <v>44835</v>
      </c>
      <c r="C22" s="75">
        <v>2011937.7515758276</v>
      </c>
      <c r="D22" s="71">
        <f>IF(ISNUMBER($F22),VLOOKUP($J22,'Table 1'!$B$13:$C$33,2,FALSE)/12*1000*Study_MW,"")</f>
        <v>0</v>
      </c>
      <c r="E22" s="71">
        <f t="shared" si="15"/>
        <v>2011937.7515758276</v>
      </c>
      <c r="F22" s="75">
        <v>74400</v>
      </c>
      <c r="G22" s="76">
        <f t="shared" si="16"/>
        <v>27.042174080320262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4"/>
        <v>2028</v>
      </c>
      <c r="M22" s="56">
        <f t="shared" si="6"/>
        <v>18517689.089838266</v>
      </c>
      <c r="N22" s="56">
        <f t="shared" si="7"/>
        <v>0</v>
      </c>
      <c r="O22" s="56">
        <f t="shared" si="8"/>
        <v>878400</v>
      </c>
      <c r="P22" s="113">
        <f t="shared" si="9"/>
        <v>21.081157889160139</v>
      </c>
      <c r="Q22" s="164">
        <f t="shared" si="10"/>
        <v>21.081157889160139</v>
      </c>
      <c r="R22" s="164">
        <f t="shared" si="11"/>
        <v>0</v>
      </c>
    </row>
    <row r="23" spans="2:20">
      <c r="B23" s="78">
        <f t="shared" si="3"/>
        <v>44866</v>
      </c>
      <c r="C23" s="75">
        <v>1743657.5305491984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1743657.5305491984</v>
      </c>
      <c r="F23" s="75">
        <v>72000</v>
      </c>
      <c r="G23" s="76">
        <f t="shared" ref="G23" si="18">IF(ISNUMBER($F23),E23/$F23,"")</f>
        <v>24.2174657020722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4"/>
        <v>2029</v>
      </c>
      <c r="M23" s="56">
        <f t="shared" si="6"/>
        <v>19423780.383566156</v>
      </c>
      <c r="N23" s="56">
        <f t="shared" si="7"/>
        <v>0</v>
      </c>
      <c r="O23" s="56">
        <f t="shared" si="8"/>
        <v>876000</v>
      </c>
      <c r="P23" s="113">
        <f t="shared" si="9"/>
        <v>22.173265278043559</v>
      </c>
      <c r="Q23" s="164">
        <f t="shared" si="10"/>
        <v>22.173265278043559</v>
      </c>
      <c r="R23" s="164">
        <f t="shared" si="11"/>
        <v>0</v>
      </c>
      <c r="T23" s="41">
        <v>2.5000000000000001E-2</v>
      </c>
    </row>
    <row r="24" spans="2:20">
      <c r="B24" s="82">
        <f t="shared" si="3"/>
        <v>44896</v>
      </c>
      <c r="C24" s="79">
        <v>2268224.0379327685</v>
      </c>
      <c r="D24" s="80">
        <f>IF(F24&lt;&gt;0,VLOOKUP($J24,'Table 1'!$B$13:$C$33,2,FALSE)/12*1000*Study_MW,0)</f>
        <v>0</v>
      </c>
      <c r="E24" s="80">
        <f t="shared" ref="E24" si="19">IF(ISNUMBER(C24+D24),C24+D24,"")</f>
        <v>2268224.0379327685</v>
      </c>
      <c r="F24" s="79">
        <v>74400</v>
      </c>
      <c r="G24" s="81">
        <f t="shared" ref="G24" si="20">IF(ISNUMBER($F24),E24/$F24,"")</f>
        <v>30.486882230279146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4"/>
        <v>2030</v>
      </c>
      <c r="M24" s="56">
        <f t="shared" si="6"/>
        <v>19560684.230848253</v>
      </c>
      <c r="N24" s="56">
        <f t="shared" si="7"/>
        <v>0</v>
      </c>
      <c r="O24" s="56">
        <f t="shared" si="8"/>
        <v>876000</v>
      </c>
      <c r="P24" s="113">
        <f t="shared" si="9"/>
        <v>22.329548208730881</v>
      </c>
      <c r="Q24" s="164">
        <f t="shared" si="10"/>
        <v>22.329548208730881</v>
      </c>
      <c r="R24" s="164">
        <f t="shared" si="11"/>
        <v>0</v>
      </c>
    </row>
    <row r="25" spans="2:20" hidden="1" outlineLevel="1">
      <c r="B25" s="74">
        <f t="shared" si="3"/>
        <v>44927</v>
      </c>
      <c r="C25" s="69">
        <v>1514500.6395413876</v>
      </c>
      <c r="D25" s="70">
        <f>IF(F25&lt;&gt;0,VLOOKUP($J25,'Table 1'!$B$13:$C$33,2,FALSE)/12*1000*Study_MW,0)</f>
        <v>0</v>
      </c>
      <c r="E25" s="70">
        <f t="shared" ref="E25:E77" si="21">C25+D25</f>
        <v>1514500.6395413876</v>
      </c>
      <c r="F25" s="69">
        <v>74400</v>
      </c>
      <c r="G25" s="72">
        <f t="shared" si="16"/>
        <v>20.356191391685318</v>
      </c>
      <c r="I25" s="60">
        <f>I13+13</f>
        <v>14</v>
      </c>
      <c r="J25" s="73">
        <f t="shared" si="4"/>
        <v>2023</v>
      </c>
      <c r="K25" s="74">
        <f>IF(ISNUMBER(F25),IF(F25&lt;&gt;0,B25,""),"")</f>
        <v>44927</v>
      </c>
      <c r="L25" s="73">
        <f t="shared" si="14"/>
        <v>2031</v>
      </c>
      <c r="M25" s="56">
        <f t="shared" si="6"/>
        <v>18990787.839611024</v>
      </c>
      <c r="N25" s="56">
        <f t="shared" si="7"/>
        <v>0</v>
      </c>
      <c r="O25" s="56">
        <f t="shared" si="8"/>
        <v>876000</v>
      </c>
      <c r="P25" s="113">
        <f t="shared" si="9"/>
        <v>21.678981552067377</v>
      </c>
      <c r="Q25" s="164">
        <f t="shared" si="10"/>
        <v>21.678981552067377</v>
      </c>
      <c r="R25" s="164">
        <f t="shared" si="11"/>
        <v>0</v>
      </c>
    </row>
    <row r="26" spans="2:20" hidden="1" outlineLevel="1">
      <c r="B26" s="78">
        <f t="shared" si="3"/>
        <v>44958</v>
      </c>
      <c r="C26" s="75">
        <v>1672389.2585187256</v>
      </c>
      <c r="D26" s="71">
        <f>IF(F26&lt;&gt;0,VLOOKUP($J26,'Table 1'!$B$13:$C$33,2,FALSE)/12*1000*Study_MW,0)</f>
        <v>0</v>
      </c>
      <c r="E26" s="71">
        <f t="shared" si="21"/>
        <v>1672389.2585187256</v>
      </c>
      <c r="F26" s="75">
        <v>67200</v>
      </c>
      <c r="G26" s="76">
        <f t="shared" si="16"/>
        <v>24.886744918433418</v>
      </c>
      <c r="I26" s="77">
        <f t="shared" ref="I26:I89" si="22">I14+13</f>
        <v>15</v>
      </c>
      <c r="J26" s="73">
        <f t="shared" si="4"/>
        <v>2023</v>
      </c>
      <c r="K26" s="78">
        <f t="shared" ref="K26:K89" si="23">IF(ISNUMBER(F26),IF(F26&lt;&gt;0,B26,""),"")</f>
        <v>44958</v>
      </c>
      <c r="L26" s="73">
        <f t="shared" si="14"/>
        <v>2032</v>
      </c>
      <c r="M26" s="56">
        <f t="shared" si="6"/>
        <v>19238769.650173485</v>
      </c>
      <c r="N26" s="56">
        <f t="shared" si="7"/>
        <v>0</v>
      </c>
      <c r="O26" s="56">
        <f t="shared" si="8"/>
        <v>878400</v>
      </c>
      <c r="P26" s="113">
        <f>(M26+N26)/O26</f>
        <v>21.902060166408795</v>
      </c>
      <c r="Q26" s="164">
        <f t="shared" si="10"/>
        <v>21.902060166408795</v>
      </c>
      <c r="R26" s="164">
        <f t="shared" si="11"/>
        <v>0</v>
      </c>
    </row>
    <row r="27" spans="2:20" hidden="1" outlineLevel="1">
      <c r="B27" s="78">
        <f t="shared" si="3"/>
        <v>44986</v>
      </c>
      <c r="C27" s="75">
        <v>1705993.4813557714</v>
      </c>
      <c r="D27" s="71">
        <f>IF(F27&lt;&gt;0,VLOOKUP($J27,'Table 1'!$B$13:$C$33,2,FALSE)/12*1000*Study_MW,0)</f>
        <v>0</v>
      </c>
      <c r="E27" s="71">
        <f t="shared" si="21"/>
        <v>1705993.4813557714</v>
      </c>
      <c r="F27" s="75">
        <v>74400</v>
      </c>
      <c r="G27" s="76">
        <f t="shared" si="16"/>
        <v>22.930019910695851</v>
      </c>
      <c r="I27" s="77">
        <f t="shared" si="22"/>
        <v>16</v>
      </c>
      <c r="J27" s="73">
        <f t="shared" si="4"/>
        <v>2023</v>
      </c>
      <c r="K27" s="78">
        <f t="shared" si="23"/>
        <v>44986</v>
      </c>
      <c r="L27" s="73">
        <f t="shared" si="14"/>
        <v>2033</v>
      </c>
      <c r="M27" s="56">
        <f t="shared" si="6"/>
        <v>18464266.032436967</v>
      </c>
      <c r="N27" s="56">
        <f t="shared" si="7"/>
        <v>11986081.370449683</v>
      </c>
      <c r="O27" s="56">
        <f t="shared" si="8"/>
        <v>876000</v>
      </c>
      <c r="P27" s="113">
        <f t="shared" ref="P27:P31" si="24">(M27+N27)/O27</f>
        <v>34.760670551240473</v>
      </c>
      <c r="Q27" s="164">
        <f t="shared" si="10"/>
        <v>21.077929260772795</v>
      </c>
      <c r="R27" s="164">
        <f t="shared" si="11"/>
        <v>13.682741290467675</v>
      </c>
    </row>
    <row r="28" spans="2:20" hidden="1" outlineLevel="1">
      <c r="B28" s="78">
        <f t="shared" si="3"/>
        <v>45017</v>
      </c>
      <c r="C28" s="75">
        <v>1442706.2824967504</v>
      </c>
      <c r="D28" s="71">
        <f>IF(F28&lt;&gt;0,VLOOKUP($J28,'Table 1'!$B$13:$C$33,2,FALSE)/12*1000*Study_MW,0)</f>
        <v>0</v>
      </c>
      <c r="E28" s="71">
        <f t="shared" si="21"/>
        <v>1442706.2824967504</v>
      </c>
      <c r="F28" s="75">
        <v>72000</v>
      </c>
      <c r="G28" s="76">
        <f t="shared" si="16"/>
        <v>20.037587256899311</v>
      </c>
      <c r="I28" s="77">
        <f t="shared" si="22"/>
        <v>17</v>
      </c>
      <c r="J28" s="73">
        <f t="shared" si="4"/>
        <v>2023</v>
      </c>
      <c r="K28" s="78">
        <f t="shared" si="23"/>
        <v>45017</v>
      </c>
      <c r="L28" s="73">
        <f t="shared" si="14"/>
        <v>2034</v>
      </c>
      <c r="M28" s="56">
        <f t="shared" si="6"/>
        <v>19149844.115402222</v>
      </c>
      <c r="N28" s="56">
        <f t="shared" si="7"/>
        <v>12244111.349036401</v>
      </c>
      <c r="O28" s="56">
        <f t="shared" si="8"/>
        <v>876000</v>
      </c>
      <c r="P28" s="113">
        <f t="shared" si="24"/>
        <v>35.837848703697063</v>
      </c>
      <c r="Q28" s="164">
        <f t="shared" si="10"/>
        <v>21.86055264315322</v>
      </c>
      <c r="R28" s="164">
        <f t="shared" si="11"/>
        <v>13.977296060543837</v>
      </c>
    </row>
    <row r="29" spans="2:20" hidden="1" outlineLevel="1">
      <c r="B29" s="78">
        <f t="shared" si="3"/>
        <v>45047</v>
      </c>
      <c r="C29" s="75">
        <v>1382507.1374452859</v>
      </c>
      <c r="D29" s="71">
        <f>IF(F29&lt;&gt;0,VLOOKUP($J29,'Table 1'!$B$13:$C$33,2,FALSE)/12*1000*Study_MW,0)</f>
        <v>0</v>
      </c>
      <c r="E29" s="71">
        <f t="shared" si="21"/>
        <v>1382507.1374452859</v>
      </c>
      <c r="F29" s="75">
        <v>74400</v>
      </c>
      <c r="G29" s="76">
        <f t="shared" si="16"/>
        <v>18.582085180716209</v>
      </c>
      <c r="I29" s="77">
        <f t="shared" si="22"/>
        <v>18</v>
      </c>
      <c r="J29" s="73">
        <f t="shared" si="4"/>
        <v>2023</v>
      </c>
      <c r="K29" s="78">
        <f t="shared" si="23"/>
        <v>45047</v>
      </c>
      <c r="L29" s="73">
        <f t="shared" si="14"/>
        <v>2035</v>
      </c>
      <c r="M29" s="56">
        <f t="shared" si="6"/>
        <v>19690770.643164158</v>
      </c>
      <c r="N29" s="56">
        <f t="shared" si="7"/>
        <v>12508565.310492506</v>
      </c>
      <c r="O29" s="56">
        <f t="shared" si="8"/>
        <v>876000</v>
      </c>
      <c r="P29" s="113">
        <f t="shared" si="24"/>
        <v>36.757232823808977</v>
      </c>
      <c r="Q29" s="164">
        <f t="shared" si="10"/>
        <v>22.478048679411138</v>
      </c>
      <c r="R29" s="164">
        <f t="shared" si="11"/>
        <v>14.279184144397838</v>
      </c>
    </row>
    <row r="30" spans="2:20" hidden="1" outlineLevel="1">
      <c r="B30" s="78">
        <f t="shared" si="3"/>
        <v>45078</v>
      </c>
      <c r="C30" s="75">
        <v>1479748.6973548383</v>
      </c>
      <c r="D30" s="71">
        <f>IF(F30&lt;&gt;0,VLOOKUP($J30,'Table 1'!$B$13:$C$33,2,FALSE)/12*1000*Study_MW,0)</f>
        <v>0</v>
      </c>
      <c r="E30" s="71">
        <f t="shared" si="21"/>
        <v>1479748.6973548383</v>
      </c>
      <c r="F30" s="75">
        <v>72000</v>
      </c>
      <c r="G30" s="76">
        <f t="shared" si="16"/>
        <v>20.552065241039418</v>
      </c>
      <c r="I30" s="77">
        <f t="shared" si="22"/>
        <v>19</v>
      </c>
      <c r="J30" s="73">
        <f t="shared" si="4"/>
        <v>2023</v>
      </c>
      <c r="K30" s="78">
        <f t="shared" si="23"/>
        <v>45078</v>
      </c>
      <c r="L30" s="73">
        <f t="shared" si="14"/>
        <v>2036</v>
      </c>
      <c r="M30" s="56">
        <f t="shared" si="6"/>
        <v>20800095.387808993</v>
      </c>
      <c r="N30" s="56">
        <f t="shared" si="7"/>
        <v>12778372.591006421</v>
      </c>
      <c r="O30" s="56">
        <f t="shared" si="8"/>
        <v>878400</v>
      </c>
      <c r="P30" s="113">
        <f t="shared" si="24"/>
        <v>38.226853345645964</v>
      </c>
      <c r="Q30" s="164">
        <f t="shared" si="10"/>
        <v>23.6795257147188</v>
      </c>
      <c r="R30" s="164">
        <f t="shared" si="11"/>
        <v>14.547327630927164</v>
      </c>
    </row>
    <row r="31" spans="2:20" hidden="1" outlineLevel="1">
      <c r="B31" s="78">
        <f t="shared" si="3"/>
        <v>45108</v>
      </c>
      <c r="C31" s="75">
        <v>5722694.1670008004</v>
      </c>
      <c r="D31" s="71">
        <f>IF(F31&lt;&gt;0,VLOOKUP($J31,'Table 1'!$B$13:$C$33,2,FALSE)/12*1000*Study_MW,0)</f>
        <v>0</v>
      </c>
      <c r="E31" s="71">
        <f t="shared" si="21"/>
        <v>5722694.1670008004</v>
      </c>
      <c r="F31" s="75">
        <v>74400</v>
      </c>
      <c r="G31" s="76">
        <f t="shared" si="16"/>
        <v>76.917932352161301</v>
      </c>
      <c r="I31" s="77">
        <f t="shared" si="22"/>
        <v>20</v>
      </c>
      <c r="J31" s="73">
        <f t="shared" si="4"/>
        <v>2023</v>
      </c>
      <c r="K31" s="78">
        <f t="shared" si="23"/>
        <v>45108</v>
      </c>
      <c r="L31" s="73">
        <f t="shared" si="14"/>
        <v>2037</v>
      </c>
      <c r="M31" s="56">
        <f t="shared" si="6"/>
        <v>22540841.113652989</v>
      </c>
      <c r="N31" s="56">
        <f t="shared" si="7"/>
        <v>13053533.190578161</v>
      </c>
      <c r="O31" s="56">
        <f t="shared" si="8"/>
        <v>876000</v>
      </c>
      <c r="P31" s="113">
        <f t="shared" si="24"/>
        <v>40.632847379259303</v>
      </c>
      <c r="Q31" s="164">
        <f t="shared" si="10"/>
        <v>25.731553782708893</v>
      </c>
      <c r="R31" s="164">
        <f t="shared" si="11"/>
        <v>14.901293596550412</v>
      </c>
    </row>
    <row r="32" spans="2:20" hidden="1" outlineLevel="1">
      <c r="B32" s="78">
        <f t="shared" si="3"/>
        <v>45139</v>
      </c>
      <c r="C32" s="75">
        <v>3294549.5140294135</v>
      </c>
      <c r="D32" s="71">
        <f>IF(F32&lt;&gt;0,VLOOKUP($J32,'Table 1'!$B$13:$C$33,2,FALSE)/12*1000*Study_MW,0)</f>
        <v>0</v>
      </c>
      <c r="E32" s="71">
        <f t="shared" si="21"/>
        <v>3294549.5140294135</v>
      </c>
      <c r="F32" s="75">
        <v>74400</v>
      </c>
      <c r="G32" s="76">
        <f t="shared" si="16"/>
        <v>44.281579489642652</v>
      </c>
      <c r="I32" s="77">
        <f t="shared" si="22"/>
        <v>21</v>
      </c>
      <c r="J32" s="73">
        <f t="shared" si="4"/>
        <v>2023</v>
      </c>
      <c r="K32" s="78">
        <f t="shared" si="23"/>
        <v>45139</v>
      </c>
      <c r="L32" s="73">
        <f t="shared" si="14"/>
        <v>2038</v>
      </c>
      <c r="M32" s="56">
        <f t="shared" si="6"/>
        <v>21566738.744008467</v>
      </c>
      <c r="N32" s="56">
        <f t="shared" si="7"/>
        <v>13334047.109207712</v>
      </c>
      <c r="O32" s="56">
        <f t="shared" si="8"/>
        <v>876000</v>
      </c>
      <c r="P32" s="113">
        <f t="shared" ref="P32:P34" si="25">(M32+N32)/O32</f>
        <v>39.841079741114356</v>
      </c>
      <c r="Q32" s="164">
        <f t="shared" si="10"/>
        <v>24.619564776265374</v>
      </c>
      <c r="R32" s="164">
        <f t="shared" si="11"/>
        <v>15.221514964848986</v>
      </c>
    </row>
    <row r="33" spans="2:20" hidden="1" outlineLevel="1">
      <c r="B33" s="78">
        <f t="shared" si="3"/>
        <v>45170</v>
      </c>
      <c r="C33" s="75">
        <v>2618090.3717775941</v>
      </c>
      <c r="D33" s="71">
        <f>IF(F33&lt;&gt;0,VLOOKUP($J33,'Table 1'!$B$13:$C$33,2,FALSE)/12*1000*Study_MW,0)</f>
        <v>0</v>
      </c>
      <c r="E33" s="71">
        <f t="shared" si="21"/>
        <v>2618090.3717775941</v>
      </c>
      <c r="F33" s="75">
        <v>72000</v>
      </c>
      <c r="G33" s="76">
        <f t="shared" si="16"/>
        <v>36.36236627468881</v>
      </c>
      <c r="I33" s="77">
        <f t="shared" si="22"/>
        <v>22</v>
      </c>
      <c r="J33" s="73">
        <f t="shared" si="4"/>
        <v>2023</v>
      </c>
      <c r="K33" s="78">
        <f t="shared" si="23"/>
        <v>45170</v>
      </c>
      <c r="L33" s="73">
        <f t="shared" si="14"/>
        <v>2039</v>
      </c>
      <c r="M33" s="56">
        <f t="shared" si="6"/>
        <v>22535305.290815324</v>
      </c>
      <c r="N33" s="56">
        <f t="shared" si="7"/>
        <v>13620985.010706641</v>
      </c>
      <c r="O33" s="56">
        <f t="shared" si="8"/>
        <v>876000</v>
      </c>
      <c r="P33" s="113">
        <f t="shared" si="25"/>
        <v>41.274303997171195</v>
      </c>
      <c r="Q33" s="164">
        <f t="shared" si="10"/>
        <v>25.725234350245803</v>
      </c>
      <c r="R33" s="164">
        <f t="shared" si="11"/>
        <v>15.549069646925389</v>
      </c>
    </row>
    <row r="34" spans="2:20" hidden="1" outlineLevel="1">
      <c r="B34" s="78">
        <f t="shared" si="3"/>
        <v>45200</v>
      </c>
      <c r="C34" s="75">
        <v>1775207.6648660004</v>
      </c>
      <c r="D34" s="71">
        <f>IF(F34&lt;&gt;0,VLOOKUP($J34,'Table 1'!$B$13:$C$33,2,FALSE)/12*1000*Study_MW,0)</f>
        <v>0</v>
      </c>
      <c r="E34" s="71">
        <f t="shared" si="21"/>
        <v>1775207.6648660004</v>
      </c>
      <c r="F34" s="75">
        <v>74400</v>
      </c>
      <c r="G34" s="76">
        <f t="shared" si="16"/>
        <v>23.86031807615592</v>
      </c>
      <c r="I34" s="77">
        <f t="shared" si="22"/>
        <v>23</v>
      </c>
      <c r="J34" s="73">
        <f t="shared" si="4"/>
        <v>2023</v>
      </c>
      <c r="K34" s="78">
        <f t="shared" si="23"/>
        <v>45200</v>
      </c>
      <c r="L34" s="73">
        <f t="shared" si="14"/>
        <v>2040</v>
      </c>
      <c r="M34" s="56">
        <f t="shared" si="6"/>
        <v>23956034.468723595</v>
      </c>
      <c r="N34" s="56">
        <f t="shared" si="7"/>
        <v>13914346.895074949</v>
      </c>
      <c r="O34" s="56">
        <f t="shared" si="8"/>
        <v>878400</v>
      </c>
      <c r="P34" s="113">
        <f t="shared" si="25"/>
        <v>43.112911388659548</v>
      </c>
      <c r="Q34" s="164">
        <f t="shared" ref="Q34" si="26">M34/O34</f>
        <v>27.272352537253639</v>
      </c>
      <c r="R34" s="164">
        <f t="shared" ref="R34" si="27">IFERROR(N34/O34,0)</f>
        <v>15.840558851405907</v>
      </c>
    </row>
    <row r="35" spans="2:20" hidden="1" outlineLevel="1">
      <c r="B35" s="78">
        <f t="shared" si="3"/>
        <v>45231</v>
      </c>
      <c r="C35" s="75">
        <v>1726131.2169697285</v>
      </c>
      <c r="D35" s="71">
        <f>IF(F35&lt;&gt;0,VLOOKUP($J35,'Table 1'!$B$13:$C$33,2,FALSE)/12*1000*Study_MW,0)</f>
        <v>0</v>
      </c>
      <c r="E35" s="71">
        <f t="shared" si="21"/>
        <v>1726131.2169697285</v>
      </c>
      <c r="F35" s="75">
        <v>72000</v>
      </c>
      <c r="G35" s="76">
        <f t="shared" si="16"/>
        <v>23.974044680135119</v>
      </c>
      <c r="I35" s="77">
        <f t="shared" si="22"/>
        <v>24</v>
      </c>
      <c r="J35" s="73">
        <f t="shared" si="4"/>
        <v>2023</v>
      </c>
      <c r="K35" s="78">
        <f t="shared" si="23"/>
        <v>45231</v>
      </c>
      <c r="L35" s="73">
        <f t="shared" si="14"/>
        <v>2041</v>
      </c>
      <c r="M35" s="56">
        <f t="shared" si="6"/>
        <v>0</v>
      </c>
      <c r="N35" s="56">
        <f t="shared" si="7"/>
        <v>0</v>
      </c>
      <c r="O35" s="56">
        <f t="shared" si="8"/>
        <v>0</v>
      </c>
      <c r="P35" s="113" t="e">
        <f t="shared" ref="P35" si="28">(M35+N35)/O35</f>
        <v>#DIV/0!</v>
      </c>
      <c r="Q35" s="164" t="e">
        <f t="shared" ref="Q35" si="29">M35/O35</f>
        <v>#DIV/0!</v>
      </c>
      <c r="R35" s="164">
        <f t="shared" ref="R35" si="30">IFERROR(N35/O35,0)</f>
        <v>0</v>
      </c>
    </row>
    <row r="36" spans="2:20" hidden="1" outlineLevel="1">
      <c r="B36" s="82">
        <f t="shared" si="3"/>
        <v>45261</v>
      </c>
      <c r="C36" s="79">
        <v>2256584.0712441504</v>
      </c>
      <c r="D36" s="80">
        <f>IF(F36&lt;&gt;0,VLOOKUP($J36,'Table 1'!$B$13:$C$33,2,FALSE)/12*1000*Study_MW,0)</f>
        <v>0</v>
      </c>
      <c r="E36" s="80">
        <f t="shared" si="21"/>
        <v>2256584.0712441504</v>
      </c>
      <c r="F36" s="79">
        <v>74400</v>
      </c>
      <c r="G36" s="81">
        <f t="shared" si="16"/>
        <v>30.330431065109547</v>
      </c>
      <c r="I36" s="64">
        <f t="shared" si="22"/>
        <v>25</v>
      </c>
      <c r="J36" s="73">
        <f t="shared" si="4"/>
        <v>2023</v>
      </c>
      <c r="K36" s="82">
        <f t="shared" si="23"/>
        <v>45261</v>
      </c>
      <c r="L36" s="73">
        <f t="shared" si="14"/>
        <v>2042</v>
      </c>
      <c r="M36" s="56">
        <f t="shared" si="6"/>
        <v>0</v>
      </c>
      <c r="N36" s="56">
        <f t="shared" si="7"/>
        <v>0</v>
      </c>
      <c r="O36" s="56">
        <f t="shared" si="8"/>
        <v>0</v>
      </c>
      <c r="P36" s="113" t="e">
        <f t="shared" ref="P36" si="31">(M36+N36)/O36</f>
        <v>#DIV/0!</v>
      </c>
      <c r="Q36" s="164" t="e">
        <f t="shared" ref="Q36" si="32">M36/O36</f>
        <v>#DIV/0!</v>
      </c>
      <c r="R36" s="164">
        <f t="shared" ref="R36" si="33">IFERROR(N36/O36,0)</f>
        <v>0</v>
      </c>
    </row>
    <row r="37" spans="2:20" hidden="1" outlineLevel="1">
      <c r="B37" s="74">
        <f t="shared" si="3"/>
        <v>45292</v>
      </c>
      <c r="C37" s="69">
        <v>2308594.5826738179</v>
      </c>
      <c r="D37" s="70">
        <f>IF(F37&lt;&gt;0,VLOOKUP($J37,'Table 1'!$B$13:$C$33,2,FALSE)/12*1000*Study_MW,0)</f>
        <v>0</v>
      </c>
      <c r="E37" s="70">
        <f t="shared" si="21"/>
        <v>2308594.5826738179</v>
      </c>
      <c r="F37" s="69">
        <v>74400</v>
      </c>
      <c r="G37" s="72">
        <f t="shared" si="16"/>
        <v>31.029497078949166</v>
      </c>
      <c r="I37" s="60">
        <f>I25+13</f>
        <v>27</v>
      </c>
      <c r="J37" s="73">
        <f t="shared" si="4"/>
        <v>2024</v>
      </c>
      <c r="K37" s="74">
        <f t="shared" si="23"/>
        <v>45292</v>
      </c>
      <c r="L37" s="73">
        <f t="shared" si="14"/>
        <v>2043</v>
      </c>
      <c r="M37" s="56">
        <f t="shared" si="6"/>
        <v>0</v>
      </c>
      <c r="N37" s="56">
        <f t="shared" si="7"/>
        <v>0</v>
      </c>
      <c r="O37" s="56">
        <f t="shared" si="8"/>
        <v>0</v>
      </c>
      <c r="P37" s="113" t="e">
        <f t="shared" ref="P37" si="34">(M37+N37)/O37</f>
        <v>#DIV/0!</v>
      </c>
      <c r="Q37" s="164" t="e">
        <f t="shared" ref="Q37" si="35">M37/O37</f>
        <v>#DIV/0!</v>
      </c>
      <c r="R37" s="164">
        <f t="shared" ref="R37" si="36">IFERROR(N37/O37,0)</f>
        <v>0</v>
      </c>
    </row>
    <row r="38" spans="2:20" hidden="1" outlineLevel="1">
      <c r="B38" s="78">
        <f t="shared" si="3"/>
        <v>45323</v>
      </c>
      <c r="C38" s="75">
        <v>2219102.5674481541</v>
      </c>
      <c r="D38" s="71">
        <f>IF(F38&lt;&gt;0,VLOOKUP($J38,'Table 1'!$B$13:$C$33,2,FALSE)/12*1000*Study_MW,0)</f>
        <v>0</v>
      </c>
      <c r="E38" s="71">
        <f t="shared" si="21"/>
        <v>2219102.5674481541</v>
      </c>
      <c r="F38" s="75">
        <v>69600</v>
      </c>
      <c r="G38" s="76">
        <f t="shared" si="16"/>
        <v>31.883657578278076</v>
      </c>
      <c r="I38" s="77">
        <f t="shared" si="22"/>
        <v>28</v>
      </c>
      <c r="J38" s="73">
        <f t="shared" si="4"/>
        <v>2024</v>
      </c>
      <c r="K38" s="78">
        <f t="shared" si="23"/>
        <v>45323</v>
      </c>
      <c r="L38" s="73">
        <f t="shared" si="14"/>
        <v>2044</v>
      </c>
      <c r="M38" s="56">
        <f t="shared" si="6"/>
        <v>0</v>
      </c>
      <c r="N38" s="56">
        <f t="shared" si="7"/>
        <v>0</v>
      </c>
      <c r="O38" s="56">
        <f t="shared" si="8"/>
        <v>0</v>
      </c>
      <c r="P38" s="113" t="e">
        <f t="shared" ref="P38:P41" si="37">(M38+N38)/O38</f>
        <v>#DIV/0!</v>
      </c>
      <c r="Q38" s="164" t="e">
        <f t="shared" ref="Q38:Q41" si="38">M38/O38</f>
        <v>#DIV/0!</v>
      </c>
      <c r="R38" s="164">
        <f t="shared" ref="R38:R41" si="39">IFERROR(N38/O38,0)</f>
        <v>0</v>
      </c>
    </row>
    <row r="39" spans="2:20" hidden="1" outlineLevel="1">
      <c r="B39" s="78">
        <f t="shared" si="3"/>
        <v>45352</v>
      </c>
      <c r="C39" s="75">
        <v>1880172.3087868541</v>
      </c>
      <c r="D39" s="71">
        <f>IF(F39&lt;&gt;0,VLOOKUP($J39,'Table 1'!$B$13:$C$33,2,FALSE)/12*1000*Study_MW,0)</f>
        <v>0</v>
      </c>
      <c r="E39" s="71">
        <f t="shared" si="21"/>
        <v>1880172.3087868541</v>
      </c>
      <c r="F39" s="75">
        <v>74400</v>
      </c>
      <c r="G39" s="76">
        <f t="shared" si="16"/>
        <v>25.271133182619007</v>
      </c>
      <c r="I39" s="77">
        <f t="shared" si="22"/>
        <v>29</v>
      </c>
      <c r="J39" s="73">
        <f t="shared" si="4"/>
        <v>2024</v>
      </c>
      <c r="K39" s="78">
        <f t="shared" si="23"/>
        <v>45352</v>
      </c>
      <c r="L39" s="73">
        <f t="shared" si="14"/>
        <v>2045</v>
      </c>
      <c r="M39" s="56">
        <f>SUMIF($J$13:$J$316,L39,$C$13:$C$316)</f>
        <v>0</v>
      </c>
      <c r="N39" s="56">
        <f>SUMIF($J$13:$J$316,L39,$D$13:$D$316)</f>
        <v>0</v>
      </c>
      <c r="O39" s="56">
        <f>SUMIF($J$13:$J$316,L39,$F$13:$F$316)</f>
        <v>0</v>
      </c>
      <c r="P39" s="113" t="e">
        <f t="shared" si="37"/>
        <v>#DIV/0!</v>
      </c>
      <c r="Q39" s="164" t="e">
        <f t="shared" si="38"/>
        <v>#DIV/0!</v>
      </c>
      <c r="R39" s="164">
        <f t="shared" si="39"/>
        <v>0</v>
      </c>
    </row>
    <row r="40" spans="2:20" hidden="1" outlineLevel="1">
      <c r="B40" s="78">
        <f t="shared" si="3"/>
        <v>45383</v>
      </c>
      <c r="C40" s="75">
        <v>1587023.3020444363</v>
      </c>
      <c r="D40" s="71">
        <f>IF(F40&lt;&gt;0,VLOOKUP($J40,'Table 1'!$B$13:$C$33,2,FALSE)/12*1000*Study_MW,0)</f>
        <v>0</v>
      </c>
      <c r="E40" s="71">
        <f t="shared" si="21"/>
        <v>1587023.3020444363</v>
      </c>
      <c r="F40" s="75">
        <v>72000</v>
      </c>
      <c r="G40" s="76">
        <f t="shared" si="16"/>
        <v>22.041990306172728</v>
      </c>
      <c r="I40" s="77">
        <f t="shared" si="22"/>
        <v>30</v>
      </c>
      <c r="J40" s="73">
        <f t="shared" si="4"/>
        <v>2024</v>
      </c>
      <c r="K40" s="78">
        <f t="shared" si="23"/>
        <v>45383</v>
      </c>
      <c r="L40" s="73">
        <f t="shared" si="14"/>
        <v>2046</v>
      </c>
      <c r="M40" s="56">
        <f>SUMIF($J$13:$J$316,L40,$C$13:$C$316)</f>
        <v>0</v>
      </c>
      <c r="N40" s="56">
        <f>SUMIF($J$13:$J$316,L40,$D$13:$D$316)</f>
        <v>0</v>
      </c>
      <c r="O40" s="56">
        <f>SUMIF($J$13:$J$316,L40,$F$13:$F$316)</f>
        <v>0</v>
      </c>
      <c r="P40" s="113" t="e">
        <f t="shared" si="37"/>
        <v>#DIV/0!</v>
      </c>
      <c r="Q40" s="164" t="e">
        <f t="shared" si="38"/>
        <v>#DIV/0!</v>
      </c>
      <c r="R40" s="164">
        <f t="shared" si="39"/>
        <v>0</v>
      </c>
      <c r="S40" s="58"/>
      <c r="T40" s="91"/>
    </row>
    <row r="41" spans="2:20" hidden="1" outlineLevel="1">
      <c r="B41" s="78">
        <f t="shared" si="3"/>
        <v>45413</v>
      </c>
      <c r="C41" s="75">
        <v>1545661.0670459121</v>
      </c>
      <c r="D41" s="71">
        <f>IF(F41&lt;&gt;0,VLOOKUP($J41,'Table 1'!$B$13:$C$33,2,FALSE)/12*1000*Study_MW,0)</f>
        <v>0</v>
      </c>
      <c r="E41" s="71">
        <f t="shared" si="21"/>
        <v>1545661.0670459121</v>
      </c>
      <c r="F41" s="75">
        <v>74400</v>
      </c>
      <c r="G41" s="76">
        <f t="shared" si="16"/>
        <v>20.775014342014948</v>
      </c>
      <c r="I41" s="77">
        <f t="shared" si="22"/>
        <v>31</v>
      </c>
      <c r="J41" s="73">
        <f t="shared" si="4"/>
        <v>2024</v>
      </c>
      <c r="K41" s="78">
        <f t="shared" si="23"/>
        <v>45413</v>
      </c>
      <c r="L41" s="73">
        <f t="shared" si="14"/>
        <v>2047</v>
      </c>
      <c r="M41" s="56">
        <f>SUMIF($J$13:$J$316,L41,$C$13:$C$316)</f>
        <v>0</v>
      </c>
      <c r="N41" s="56">
        <f>SUMIF($J$13:$J$316,L41,$D$13:$D$316)</f>
        <v>0</v>
      </c>
      <c r="O41" s="56">
        <f>SUMIF($J$13:$J$316,L41,$F$13:$F$316)</f>
        <v>0</v>
      </c>
      <c r="P41" s="113" t="e">
        <f t="shared" si="37"/>
        <v>#DIV/0!</v>
      </c>
      <c r="Q41" s="164" t="e">
        <f t="shared" si="38"/>
        <v>#DIV/0!</v>
      </c>
      <c r="R41" s="164">
        <f t="shared" si="39"/>
        <v>0</v>
      </c>
      <c r="S41" s="58"/>
      <c r="T41" s="91"/>
    </row>
    <row r="42" spans="2:20" hidden="1" outlineLevel="1">
      <c r="B42" s="78">
        <f t="shared" si="3"/>
        <v>45444</v>
      </c>
      <c r="C42" s="75">
        <v>1622229.6375288069</v>
      </c>
      <c r="D42" s="71">
        <f>IF(F42&lt;&gt;0,VLOOKUP($J42,'Table 1'!$B$13:$C$33,2,FALSE)/12*1000*Study_MW,0)</f>
        <v>0</v>
      </c>
      <c r="E42" s="71">
        <f t="shared" si="21"/>
        <v>1622229.6375288069</v>
      </c>
      <c r="F42" s="75">
        <v>72000</v>
      </c>
      <c r="G42" s="76">
        <f t="shared" si="16"/>
        <v>22.530967187900096</v>
      </c>
      <c r="I42" s="77">
        <f t="shared" si="22"/>
        <v>32</v>
      </c>
      <c r="J42" s="73">
        <f t="shared" si="4"/>
        <v>2024</v>
      </c>
      <c r="K42" s="78">
        <f t="shared" si="23"/>
        <v>45444</v>
      </c>
      <c r="L42" s="73">
        <f t="shared" si="14"/>
        <v>2048</v>
      </c>
      <c r="P42" s="113"/>
      <c r="Q42" s="164"/>
      <c r="R42" s="164"/>
    </row>
    <row r="43" spans="2:20" hidden="1" outlineLevel="1">
      <c r="B43" s="78">
        <f t="shared" si="3"/>
        <v>45474</v>
      </c>
      <c r="C43" s="75">
        <v>3563967.5079306662</v>
      </c>
      <c r="D43" s="71">
        <f>IF(F43&lt;&gt;0,VLOOKUP($J43,'Table 1'!$B$13:$C$33,2,FALSE)/12*1000*Study_MW,0)</f>
        <v>0</v>
      </c>
      <c r="E43" s="71">
        <f t="shared" si="21"/>
        <v>3563967.5079306662</v>
      </c>
      <c r="F43" s="75">
        <v>74400</v>
      </c>
      <c r="G43" s="76">
        <f t="shared" si="16"/>
        <v>47.902789085089601</v>
      </c>
      <c r="I43" s="77">
        <f t="shared" si="22"/>
        <v>33</v>
      </c>
      <c r="J43" s="73">
        <f t="shared" si="4"/>
        <v>2024</v>
      </c>
      <c r="K43" s="78">
        <f t="shared" si="23"/>
        <v>45474</v>
      </c>
    </row>
    <row r="44" spans="2:20" hidden="1" outlineLevel="1">
      <c r="B44" s="78">
        <f t="shared" si="3"/>
        <v>45505</v>
      </c>
      <c r="C44" s="75">
        <v>3727883.1693071872</v>
      </c>
      <c r="D44" s="71">
        <f>IF(F44&lt;&gt;0,VLOOKUP($J44,'Table 1'!$B$13:$C$33,2,FALSE)/12*1000*Study_MW,0)</f>
        <v>0</v>
      </c>
      <c r="E44" s="71">
        <f t="shared" si="21"/>
        <v>3727883.1693071872</v>
      </c>
      <c r="F44" s="75">
        <v>74400</v>
      </c>
      <c r="G44" s="76">
        <f t="shared" si="16"/>
        <v>50.105956576709502</v>
      </c>
      <c r="I44" s="77">
        <f t="shared" si="22"/>
        <v>34</v>
      </c>
      <c r="J44" s="73">
        <f t="shared" si="4"/>
        <v>2024</v>
      </c>
      <c r="K44" s="78">
        <f t="shared" si="23"/>
        <v>45505</v>
      </c>
    </row>
    <row r="45" spans="2:20" hidden="1" outlineLevel="1">
      <c r="B45" s="78">
        <f t="shared" si="3"/>
        <v>45536</v>
      </c>
      <c r="C45" s="75">
        <v>2810411.697981745</v>
      </c>
      <c r="D45" s="71">
        <f>IF(F45&lt;&gt;0,VLOOKUP($J45,'Table 1'!$B$13:$C$33,2,FALSE)/12*1000*Study_MW,0)</f>
        <v>0</v>
      </c>
      <c r="E45" s="71">
        <f t="shared" si="21"/>
        <v>2810411.697981745</v>
      </c>
      <c r="F45" s="75">
        <v>72000</v>
      </c>
      <c r="G45" s="76">
        <f t="shared" si="16"/>
        <v>39.033495805302017</v>
      </c>
      <c r="I45" s="77">
        <f t="shared" si="22"/>
        <v>35</v>
      </c>
      <c r="J45" s="73">
        <f t="shared" si="4"/>
        <v>2024</v>
      </c>
      <c r="K45" s="78">
        <f t="shared" si="23"/>
        <v>45536</v>
      </c>
    </row>
    <row r="46" spans="2:20" hidden="1" outlineLevel="1">
      <c r="B46" s="78">
        <f t="shared" si="3"/>
        <v>45566</v>
      </c>
      <c r="C46" s="75">
        <v>2002386.3413347304</v>
      </c>
      <c r="D46" s="71">
        <f>IF(F46&lt;&gt;0,VLOOKUP($J46,'Table 1'!$B$13:$C$33,2,FALSE)/12*1000*Study_MW,0)</f>
        <v>0</v>
      </c>
      <c r="E46" s="71">
        <f t="shared" si="21"/>
        <v>2002386.3413347304</v>
      </c>
      <c r="F46" s="75">
        <v>74400</v>
      </c>
      <c r="G46" s="76">
        <f t="shared" si="16"/>
        <v>26.913794910413042</v>
      </c>
      <c r="I46" s="77">
        <f t="shared" si="22"/>
        <v>36</v>
      </c>
      <c r="J46" s="73">
        <f t="shared" si="4"/>
        <v>2024</v>
      </c>
      <c r="K46" s="78">
        <f t="shared" si="23"/>
        <v>45566</v>
      </c>
    </row>
    <row r="47" spans="2:20" hidden="1" outlineLevel="1">
      <c r="B47" s="78">
        <f t="shared" si="3"/>
        <v>45597</v>
      </c>
      <c r="C47" s="75">
        <v>2015921.6465762854</v>
      </c>
      <c r="D47" s="71">
        <f>IF(F47&lt;&gt;0,VLOOKUP($J47,'Table 1'!$B$13:$C$33,2,FALSE)/12*1000*Study_MW,0)</f>
        <v>0</v>
      </c>
      <c r="E47" s="71">
        <f t="shared" si="21"/>
        <v>2015921.6465762854</v>
      </c>
      <c r="F47" s="75">
        <v>72000</v>
      </c>
      <c r="G47" s="76">
        <f t="shared" si="16"/>
        <v>27.998911758003963</v>
      </c>
      <c r="I47" s="77">
        <f t="shared" si="22"/>
        <v>37</v>
      </c>
      <c r="J47" s="73">
        <f t="shared" si="4"/>
        <v>2024</v>
      </c>
      <c r="K47" s="78">
        <f t="shared" si="23"/>
        <v>45597</v>
      </c>
    </row>
    <row r="48" spans="2:20" hidden="1" outlineLevel="1">
      <c r="B48" s="82">
        <f t="shared" si="3"/>
        <v>45627</v>
      </c>
      <c r="C48" s="79">
        <v>2454530.5130902231</v>
      </c>
      <c r="D48" s="80">
        <f>IF(F48&lt;&gt;0,VLOOKUP($J48,'Table 1'!$B$13:$C$33,2,FALSE)/12*1000*Study_MW,0)</f>
        <v>0</v>
      </c>
      <c r="E48" s="80">
        <f t="shared" si="21"/>
        <v>2454530.5130902231</v>
      </c>
      <c r="F48" s="79">
        <v>74400</v>
      </c>
      <c r="G48" s="81">
        <f t="shared" si="16"/>
        <v>32.991001520029883</v>
      </c>
      <c r="I48" s="64">
        <f t="shared" si="22"/>
        <v>38</v>
      </c>
      <c r="J48" s="73">
        <f t="shared" si="4"/>
        <v>2024</v>
      </c>
      <c r="K48" s="82">
        <f t="shared" si="23"/>
        <v>45627</v>
      </c>
    </row>
    <row r="49" spans="2:11" hidden="1" outlineLevel="1">
      <c r="B49" s="74">
        <f t="shared" si="3"/>
        <v>45658</v>
      </c>
      <c r="C49" s="69">
        <v>1231905.6416229904</v>
      </c>
      <c r="D49" s="70">
        <f>IF(F49&lt;&gt;0,VLOOKUP($J49,'Table 1'!$B$13:$C$33,2,FALSE)/12*1000*Study_MW,0)</f>
        <v>0</v>
      </c>
      <c r="E49" s="70">
        <f t="shared" si="21"/>
        <v>1231905.6416229904</v>
      </c>
      <c r="F49" s="69">
        <v>74400</v>
      </c>
      <c r="G49" s="72">
        <f t="shared" si="16"/>
        <v>16.557871527190731</v>
      </c>
      <c r="I49" s="60">
        <f>I37+13</f>
        <v>40</v>
      </c>
      <c r="J49" s="73">
        <f t="shared" si="4"/>
        <v>2025</v>
      </c>
      <c r="K49" s="74">
        <f t="shared" si="23"/>
        <v>45658</v>
      </c>
    </row>
    <row r="50" spans="2:11" hidden="1" outlineLevel="1">
      <c r="B50" s="78">
        <f t="shared" si="3"/>
        <v>45689</v>
      </c>
      <c r="C50" s="75">
        <v>1414678.2296548635</v>
      </c>
      <c r="D50" s="71">
        <f>IF(F50&lt;&gt;0,VLOOKUP($J50,'Table 1'!$B$13:$C$33,2,FALSE)/12*1000*Study_MW,0)</f>
        <v>0</v>
      </c>
      <c r="E50" s="71">
        <f t="shared" si="21"/>
        <v>1414678.2296548635</v>
      </c>
      <c r="F50" s="75">
        <v>67200</v>
      </c>
      <c r="G50" s="76">
        <f t="shared" si="16"/>
        <v>21.05175936986404</v>
      </c>
      <c r="I50" s="77">
        <f t="shared" si="22"/>
        <v>41</v>
      </c>
      <c r="J50" s="73">
        <f t="shared" si="4"/>
        <v>2025</v>
      </c>
      <c r="K50" s="78">
        <f t="shared" si="23"/>
        <v>45689</v>
      </c>
    </row>
    <row r="51" spans="2:11" hidden="1" outlineLevel="1">
      <c r="B51" s="78">
        <f t="shared" si="3"/>
        <v>45717</v>
      </c>
      <c r="C51" s="75">
        <v>1289266.660915181</v>
      </c>
      <c r="D51" s="71">
        <f>IF(F51&lt;&gt;0,VLOOKUP($J51,'Table 1'!$B$13:$C$33,2,FALSE)/12*1000*Study_MW,0)</f>
        <v>0</v>
      </c>
      <c r="E51" s="71">
        <f t="shared" si="21"/>
        <v>1289266.660915181</v>
      </c>
      <c r="F51" s="75">
        <v>74400</v>
      </c>
      <c r="G51" s="76">
        <f t="shared" si="16"/>
        <v>17.328852969290068</v>
      </c>
      <c r="I51" s="77">
        <f t="shared" si="22"/>
        <v>42</v>
      </c>
      <c r="J51" s="73">
        <f t="shared" si="4"/>
        <v>2025</v>
      </c>
      <c r="K51" s="78">
        <f t="shared" si="23"/>
        <v>45717</v>
      </c>
    </row>
    <row r="52" spans="2:11" hidden="1" outlineLevel="1">
      <c r="B52" s="78">
        <f t="shared" si="3"/>
        <v>45748</v>
      </c>
      <c r="C52" s="75">
        <v>1157029.7023531348</v>
      </c>
      <c r="D52" s="71">
        <f>IF(F52&lt;&gt;0,VLOOKUP($J52,'Table 1'!$B$13:$C$33,2,FALSE)/12*1000*Study_MW,0)</f>
        <v>0</v>
      </c>
      <c r="E52" s="71">
        <f t="shared" si="21"/>
        <v>1157029.7023531348</v>
      </c>
      <c r="F52" s="75">
        <v>72000</v>
      </c>
      <c r="G52" s="76">
        <f t="shared" si="16"/>
        <v>16.069856977126872</v>
      </c>
      <c r="I52" s="77">
        <f t="shared" si="22"/>
        <v>43</v>
      </c>
      <c r="J52" s="73">
        <f t="shared" si="4"/>
        <v>2025</v>
      </c>
      <c r="K52" s="78">
        <f t="shared" si="23"/>
        <v>45748</v>
      </c>
    </row>
    <row r="53" spans="2:11" hidden="1" outlineLevel="1">
      <c r="B53" s="78">
        <f t="shared" si="3"/>
        <v>45778</v>
      </c>
      <c r="C53" s="75">
        <v>1103655.1052653491</v>
      </c>
      <c r="D53" s="71">
        <f>IF(F53&lt;&gt;0,VLOOKUP($J53,'Table 1'!$B$13:$C$33,2,FALSE)/12*1000*Study_MW,0)</f>
        <v>0</v>
      </c>
      <c r="E53" s="71">
        <f t="shared" si="21"/>
        <v>1103655.1052653491</v>
      </c>
      <c r="F53" s="75">
        <v>74400</v>
      </c>
      <c r="G53" s="76">
        <f t="shared" si="16"/>
        <v>14.834073995502004</v>
      </c>
      <c r="I53" s="77">
        <f t="shared" si="22"/>
        <v>44</v>
      </c>
      <c r="J53" s="73">
        <f t="shared" si="4"/>
        <v>2025</v>
      </c>
      <c r="K53" s="78">
        <f t="shared" si="23"/>
        <v>45778</v>
      </c>
    </row>
    <row r="54" spans="2:11" hidden="1" outlineLevel="1">
      <c r="B54" s="78">
        <f t="shared" si="3"/>
        <v>45809</v>
      </c>
      <c r="C54" s="75">
        <v>1219033.651841864</v>
      </c>
      <c r="D54" s="71">
        <f>IF(F54&lt;&gt;0,VLOOKUP($J54,'Table 1'!$B$13:$C$33,2,FALSE)/12*1000*Study_MW,0)</f>
        <v>0</v>
      </c>
      <c r="E54" s="71">
        <f t="shared" si="21"/>
        <v>1219033.651841864</v>
      </c>
      <c r="F54" s="75">
        <v>72000</v>
      </c>
      <c r="G54" s="76">
        <f t="shared" si="16"/>
        <v>16.931022942248109</v>
      </c>
      <c r="I54" s="77">
        <f t="shared" si="22"/>
        <v>45</v>
      </c>
      <c r="J54" s="73">
        <f t="shared" si="4"/>
        <v>2025</v>
      </c>
      <c r="K54" s="78">
        <f t="shared" si="23"/>
        <v>45809</v>
      </c>
    </row>
    <row r="55" spans="2:11" hidden="1" outlineLevel="1">
      <c r="B55" s="78">
        <f t="shared" si="3"/>
        <v>45839</v>
      </c>
      <c r="C55" s="75">
        <v>2300235.1315243989</v>
      </c>
      <c r="D55" s="71">
        <f>IF(F55&lt;&gt;0,VLOOKUP($J55,'Table 1'!$B$13:$C$33,2,FALSE)/12*1000*Study_MW,0)</f>
        <v>0</v>
      </c>
      <c r="E55" s="71">
        <f t="shared" si="21"/>
        <v>2300235.1315243989</v>
      </c>
      <c r="F55" s="75">
        <v>74400</v>
      </c>
      <c r="G55" s="76">
        <f t="shared" si="16"/>
        <v>30.917138864575254</v>
      </c>
      <c r="I55" s="77">
        <f t="shared" si="22"/>
        <v>46</v>
      </c>
      <c r="J55" s="73">
        <f t="shared" si="4"/>
        <v>2025</v>
      </c>
      <c r="K55" s="78">
        <f t="shared" si="23"/>
        <v>45839</v>
      </c>
    </row>
    <row r="56" spans="2:11" hidden="1" outlineLevel="1">
      <c r="B56" s="78">
        <f t="shared" si="3"/>
        <v>45870</v>
      </c>
      <c r="C56" s="75">
        <v>2496300.5265123844</v>
      </c>
      <c r="D56" s="71">
        <f>IF(F56&lt;&gt;0,VLOOKUP($J56,'Table 1'!$B$13:$C$33,2,FALSE)/12*1000*Study_MW,0)</f>
        <v>0</v>
      </c>
      <c r="E56" s="71">
        <f t="shared" si="21"/>
        <v>2496300.5265123844</v>
      </c>
      <c r="F56" s="75">
        <v>74400</v>
      </c>
      <c r="G56" s="76">
        <f t="shared" si="16"/>
        <v>33.552426431618073</v>
      </c>
      <c r="I56" s="77">
        <f t="shared" si="22"/>
        <v>47</v>
      </c>
      <c r="J56" s="73">
        <f t="shared" si="4"/>
        <v>2025</v>
      </c>
      <c r="K56" s="78">
        <f t="shared" si="23"/>
        <v>45870</v>
      </c>
    </row>
    <row r="57" spans="2:11" hidden="1" outlineLevel="1">
      <c r="B57" s="78">
        <f t="shared" si="3"/>
        <v>45901</v>
      </c>
      <c r="C57" s="75">
        <v>1863045.7000044733</v>
      </c>
      <c r="D57" s="71">
        <f>IF(F57&lt;&gt;0,VLOOKUP($J57,'Table 1'!$B$13:$C$33,2,FALSE)/12*1000*Study_MW,0)</f>
        <v>0</v>
      </c>
      <c r="E57" s="71">
        <f t="shared" si="21"/>
        <v>1863045.7000044733</v>
      </c>
      <c r="F57" s="75">
        <v>72000</v>
      </c>
      <c r="G57" s="76">
        <f t="shared" si="16"/>
        <v>25.875634722284353</v>
      </c>
      <c r="I57" s="77">
        <f t="shared" si="22"/>
        <v>48</v>
      </c>
      <c r="J57" s="73">
        <f t="shared" si="4"/>
        <v>2025</v>
      </c>
      <c r="K57" s="78">
        <f t="shared" si="23"/>
        <v>45901</v>
      </c>
    </row>
    <row r="58" spans="2:11" hidden="1" outlineLevel="1">
      <c r="B58" s="78">
        <f t="shared" si="3"/>
        <v>45931</v>
      </c>
      <c r="C58" s="75">
        <v>1395058.5191384107</v>
      </c>
      <c r="D58" s="71">
        <f>IF(F58&lt;&gt;0,VLOOKUP($J58,'Table 1'!$B$13:$C$33,2,FALSE)/12*1000*Study_MW,0)</f>
        <v>0</v>
      </c>
      <c r="E58" s="71">
        <f t="shared" si="21"/>
        <v>1395058.5191384107</v>
      </c>
      <c r="F58" s="75">
        <v>74400</v>
      </c>
      <c r="G58" s="76">
        <f t="shared" si="16"/>
        <v>18.750786547559283</v>
      </c>
      <c r="I58" s="77">
        <f t="shared" si="22"/>
        <v>49</v>
      </c>
      <c r="J58" s="73">
        <f t="shared" si="4"/>
        <v>2025</v>
      </c>
      <c r="K58" s="78">
        <f t="shared" si="23"/>
        <v>45931</v>
      </c>
    </row>
    <row r="59" spans="2:11" hidden="1" outlineLevel="1">
      <c r="B59" s="78">
        <f t="shared" si="3"/>
        <v>45962</v>
      </c>
      <c r="C59" s="75">
        <v>1434609.1824398935</v>
      </c>
      <c r="D59" s="71">
        <f>IF(F59&lt;&gt;0,VLOOKUP($J59,'Table 1'!$B$13:$C$33,2,FALSE)/12*1000*Study_MW,0)</f>
        <v>0</v>
      </c>
      <c r="E59" s="71">
        <f t="shared" si="21"/>
        <v>1434609.1824398935</v>
      </c>
      <c r="F59" s="75">
        <v>72000</v>
      </c>
      <c r="G59" s="76">
        <f t="shared" si="16"/>
        <v>19.925127533887409</v>
      </c>
      <c r="I59" s="77">
        <f t="shared" si="22"/>
        <v>50</v>
      </c>
      <c r="J59" s="73">
        <f t="shared" si="4"/>
        <v>2025</v>
      </c>
      <c r="K59" s="78">
        <f t="shared" si="23"/>
        <v>45962</v>
      </c>
    </row>
    <row r="60" spans="2:11" hidden="1" outlineLevel="1">
      <c r="B60" s="82">
        <f t="shared" si="3"/>
        <v>45992</v>
      </c>
      <c r="C60" s="79">
        <v>1672487.2299970686</v>
      </c>
      <c r="D60" s="80">
        <f>IF(F60&lt;&gt;0,VLOOKUP($J60,'Table 1'!$B$13:$C$33,2,FALSE)/12*1000*Study_MW,0)</f>
        <v>0</v>
      </c>
      <c r="E60" s="80">
        <f t="shared" si="21"/>
        <v>1672487.2299970686</v>
      </c>
      <c r="F60" s="79">
        <v>74400</v>
      </c>
      <c r="G60" s="81">
        <f t="shared" si="16"/>
        <v>22.479667069853072</v>
      </c>
      <c r="I60" s="64">
        <f t="shared" si="22"/>
        <v>51</v>
      </c>
      <c r="J60" s="73">
        <f t="shared" si="4"/>
        <v>2025</v>
      </c>
      <c r="K60" s="82">
        <f t="shared" si="23"/>
        <v>45992</v>
      </c>
    </row>
    <row r="61" spans="2:11" hidden="1" outlineLevel="1">
      <c r="B61" s="74">
        <f t="shared" si="3"/>
        <v>46023</v>
      </c>
      <c r="C61" s="69">
        <v>1614384.529320538</v>
      </c>
      <c r="D61" s="70">
        <f>IF(F61&lt;&gt;0,VLOOKUP($J61,'Table 1'!$B$13:$C$33,2,FALSE)/12*1000*Study_MW,0)</f>
        <v>0</v>
      </c>
      <c r="E61" s="70">
        <f t="shared" si="21"/>
        <v>1614384.529320538</v>
      </c>
      <c r="F61" s="69">
        <v>74400</v>
      </c>
      <c r="G61" s="72">
        <f t="shared" si="16"/>
        <v>21.698716791942715</v>
      </c>
      <c r="I61" s="60">
        <f>I49+13</f>
        <v>53</v>
      </c>
      <c r="J61" s="73">
        <f t="shared" si="4"/>
        <v>2026</v>
      </c>
      <c r="K61" s="74">
        <f t="shared" si="23"/>
        <v>46023</v>
      </c>
    </row>
    <row r="62" spans="2:11" hidden="1" outlineLevel="1">
      <c r="B62" s="78">
        <f t="shared" si="3"/>
        <v>46054</v>
      </c>
      <c r="C62" s="75">
        <v>1608588.3690828085</v>
      </c>
      <c r="D62" s="71">
        <f>IF(F62&lt;&gt;0,VLOOKUP($J62,'Table 1'!$B$13:$C$33,2,FALSE)/12*1000*Study_MW,0)</f>
        <v>0</v>
      </c>
      <c r="E62" s="71">
        <f t="shared" si="21"/>
        <v>1608588.3690828085</v>
      </c>
      <c r="F62" s="75">
        <v>67200</v>
      </c>
      <c r="G62" s="76">
        <f t="shared" si="16"/>
        <v>23.937326920875126</v>
      </c>
      <c r="I62" s="77">
        <f t="shared" si="22"/>
        <v>54</v>
      </c>
      <c r="J62" s="73">
        <f t="shared" si="4"/>
        <v>2026</v>
      </c>
      <c r="K62" s="78">
        <f t="shared" si="23"/>
        <v>46054</v>
      </c>
    </row>
    <row r="63" spans="2:11" hidden="1" outlineLevel="1">
      <c r="B63" s="78">
        <f t="shared" si="3"/>
        <v>46082</v>
      </c>
      <c r="C63" s="75">
        <v>1326415.8084900677</v>
      </c>
      <c r="D63" s="71">
        <f>IF(F63&lt;&gt;0,VLOOKUP($J63,'Table 1'!$B$13:$C$33,2,FALSE)/12*1000*Study_MW,0)</f>
        <v>0</v>
      </c>
      <c r="E63" s="71">
        <f t="shared" si="21"/>
        <v>1326415.8084900677</v>
      </c>
      <c r="F63" s="75">
        <v>74400</v>
      </c>
      <c r="G63" s="76">
        <f t="shared" si="16"/>
        <v>17.828169468952524</v>
      </c>
      <c r="I63" s="77">
        <f t="shared" si="22"/>
        <v>55</v>
      </c>
      <c r="J63" s="73">
        <f t="shared" si="4"/>
        <v>2026</v>
      </c>
      <c r="K63" s="78">
        <f t="shared" si="23"/>
        <v>46082</v>
      </c>
    </row>
    <row r="64" spans="2:11" hidden="1" outlineLevel="1">
      <c r="B64" s="78">
        <f t="shared" si="3"/>
        <v>46113</v>
      </c>
      <c r="C64" s="75">
        <v>968048.32707042992</v>
      </c>
      <c r="D64" s="71">
        <f>IF(F64&lt;&gt;0,VLOOKUP($J64,'Table 1'!$B$13:$C$33,2,FALSE)/12*1000*Study_MW,0)</f>
        <v>0</v>
      </c>
      <c r="E64" s="71">
        <f t="shared" si="21"/>
        <v>968048.32707042992</v>
      </c>
      <c r="F64" s="75">
        <v>72000</v>
      </c>
      <c r="G64" s="76">
        <f t="shared" si="16"/>
        <v>13.445115653755972</v>
      </c>
      <c r="I64" s="77">
        <f t="shared" si="22"/>
        <v>56</v>
      </c>
      <c r="J64" s="73">
        <f t="shared" si="4"/>
        <v>2026</v>
      </c>
      <c r="K64" s="78">
        <f t="shared" si="23"/>
        <v>46113</v>
      </c>
    </row>
    <row r="65" spans="2:11" hidden="1" outlineLevel="1">
      <c r="B65" s="78">
        <f t="shared" si="3"/>
        <v>46143</v>
      </c>
      <c r="C65" s="75">
        <v>809697.58636721969</v>
      </c>
      <c r="D65" s="71">
        <f>IF(F65&lt;&gt;0,VLOOKUP($J65,'Table 1'!$B$13:$C$33,2,FALSE)/12*1000*Study_MW,0)</f>
        <v>0</v>
      </c>
      <c r="E65" s="71">
        <f t="shared" si="21"/>
        <v>809697.58636721969</v>
      </c>
      <c r="F65" s="75">
        <v>74400</v>
      </c>
      <c r="G65" s="76">
        <f t="shared" si="16"/>
        <v>10.883032074828222</v>
      </c>
      <c r="I65" s="77">
        <f t="shared" si="22"/>
        <v>57</v>
      </c>
      <c r="J65" s="73">
        <f t="shared" si="4"/>
        <v>2026</v>
      </c>
      <c r="K65" s="78">
        <f t="shared" si="23"/>
        <v>46143</v>
      </c>
    </row>
    <row r="66" spans="2:11" hidden="1" outlineLevel="1">
      <c r="B66" s="78">
        <f t="shared" si="3"/>
        <v>46174</v>
      </c>
      <c r="C66" s="75">
        <v>997170.05333802104</v>
      </c>
      <c r="D66" s="71">
        <f>IF(F66&lt;&gt;0,VLOOKUP($J66,'Table 1'!$B$13:$C$33,2,FALSE)/12*1000*Study_MW,0)</f>
        <v>0</v>
      </c>
      <c r="E66" s="71">
        <f t="shared" si="21"/>
        <v>997170.05333802104</v>
      </c>
      <c r="F66" s="75">
        <v>72000</v>
      </c>
      <c r="G66" s="76">
        <f t="shared" si="16"/>
        <v>13.84958407413918</v>
      </c>
      <c r="I66" s="77">
        <f t="shared" si="22"/>
        <v>58</v>
      </c>
      <c r="J66" s="73">
        <f t="shared" si="4"/>
        <v>2026</v>
      </c>
      <c r="K66" s="78">
        <f t="shared" si="23"/>
        <v>46174</v>
      </c>
    </row>
    <row r="67" spans="2:11" hidden="1" outlineLevel="1">
      <c r="B67" s="78">
        <f t="shared" si="3"/>
        <v>46204</v>
      </c>
      <c r="C67" s="75">
        <v>1501362.5060669184</v>
      </c>
      <c r="D67" s="71">
        <f>IF(F67&lt;&gt;0,VLOOKUP($J67,'Table 1'!$B$13:$C$33,2,FALSE)/12*1000*Study_MW,0)</f>
        <v>0</v>
      </c>
      <c r="E67" s="71">
        <f t="shared" si="21"/>
        <v>1501362.5060669184</v>
      </c>
      <c r="F67" s="75">
        <v>74400</v>
      </c>
      <c r="G67" s="76">
        <f t="shared" si="16"/>
        <v>20.179603576168258</v>
      </c>
      <c r="I67" s="77">
        <f t="shared" si="22"/>
        <v>59</v>
      </c>
      <c r="J67" s="73">
        <f t="shared" si="4"/>
        <v>2026</v>
      </c>
      <c r="K67" s="78">
        <f t="shared" si="23"/>
        <v>46204</v>
      </c>
    </row>
    <row r="68" spans="2:11" hidden="1" outlineLevel="1">
      <c r="B68" s="78">
        <f t="shared" si="3"/>
        <v>46235</v>
      </c>
      <c r="C68" s="75">
        <v>1739571.1165716201</v>
      </c>
      <c r="D68" s="71">
        <f>IF(F68&lt;&gt;0,VLOOKUP($J68,'Table 1'!$B$13:$C$33,2,FALSE)/12*1000*Study_MW,0)</f>
        <v>0</v>
      </c>
      <c r="E68" s="71">
        <f t="shared" si="21"/>
        <v>1739571.1165716201</v>
      </c>
      <c r="F68" s="75">
        <v>74400</v>
      </c>
      <c r="G68" s="76">
        <f t="shared" si="16"/>
        <v>23.381332211984141</v>
      </c>
      <c r="I68" s="77">
        <f t="shared" si="22"/>
        <v>60</v>
      </c>
      <c r="J68" s="73">
        <f t="shared" si="4"/>
        <v>2026</v>
      </c>
      <c r="K68" s="78">
        <f t="shared" si="23"/>
        <v>46235</v>
      </c>
    </row>
    <row r="69" spans="2:11" hidden="1" outlineLevel="1">
      <c r="B69" s="78">
        <f t="shared" si="3"/>
        <v>46266</v>
      </c>
      <c r="C69" s="75">
        <v>1574265.7154441923</v>
      </c>
      <c r="D69" s="71">
        <f>IF(F69&lt;&gt;0,VLOOKUP($J69,'Table 1'!$B$13:$C$33,2,FALSE)/12*1000*Study_MW,0)</f>
        <v>0</v>
      </c>
      <c r="E69" s="71">
        <f t="shared" si="21"/>
        <v>1574265.7154441923</v>
      </c>
      <c r="F69" s="75">
        <v>72000</v>
      </c>
      <c r="G69" s="76">
        <f t="shared" si="16"/>
        <v>21.864801603391559</v>
      </c>
      <c r="I69" s="77">
        <f t="shared" si="22"/>
        <v>61</v>
      </c>
      <c r="J69" s="73">
        <f t="shared" si="4"/>
        <v>2026</v>
      </c>
      <c r="K69" s="78">
        <f t="shared" si="23"/>
        <v>46266</v>
      </c>
    </row>
    <row r="70" spans="2:11" hidden="1" outlineLevel="1">
      <c r="B70" s="78">
        <f t="shared" si="3"/>
        <v>46296</v>
      </c>
      <c r="C70" s="75">
        <v>1440679.8751731366</v>
      </c>
      <c r="D70" s="71">
        <f>IF(F70&lt;&gt;0,VLOOKUP($J70,'Table 1'!$B$13:$C$33,2,FALSE)/12*1000*Study_MW,0)</f>
        <v>0</v>
      </c>
      <c r="E70" s="71">
        <f t="shared" si="21"/>
        <v>1440679.8751731366</v>
      </c>
      <c r="F70" s="75">
        <v>74400</v>
      </c>
      <c r="G70" s="76">
        <f t="shared" si="16"/>
        <v>19.363976816843234</v>
      </c>
      <c r="I70" s="77">
        <f t="shared" si="22"/>
        <v>62</v>
      </c>
      <c r="J70" s="73">
        <f t="shared" si="4"/>
        <v>2026</v>
      </c>
      <c r="K70" s="78">
        <f t="shared" si="23"/>
        <v>46296</v>
      </c>
    </row>
    <row r="71" spans="2:11" hidden="1" outlineLevel="1">
      <c r="B71" s="78">
        <f t="shared" si="3"/>
        <v>46327</v>
      </c>
      <c r="C71" s="75">
        <v>1456223.9411420971</v>
      </c>
      <c r="D71" s="71">
        <f>IF(F71&lt;&gt;0,VLOOKUP($J71,'Table 1'!$B$13:$C$33,2,FALSE)/12*1000*Study_MW,0)</f>
        <v>0</v>
      </c>
      <c r="E71" s="71">
        <f t="shared" si="21"/>
        <v>1456223.9411420971</v>
      </c>
      <c r="F71" s="75">
        <v>72000</v>
      </c>
      <c r="G71" s="76">
        <f t="shared" si="16"/>
        <v>20.225332515862458</v>
      </c>
      <c r="I71" s="77">
        <f t="shared" si="22"/>
        <v>63</v>
      </c>
      <c r="J71" s="73">
        <f t="shared" si="4"/>
        <v>2026</v>
      </c>
      <c r="K71" s="78">
        <f t="shared" si="23"/>
        <v>46327</v>
      </c>
    </row>
    <row r="72" spans="2:11" hidden="1" outlineLevel="1">
      <c r="B72" s="82">
        <f t="shared" si="3"/>
        <v>46357</v>
      </c>
      <c r="C72" s="79">
        <v>1968111.8595130742</v>
      </c>
      <c r="D72" s="80">
        <f>IF(F72&lt;&gt;0,VLOOKUP($J72,'Table 1'!$B$13:$C$33,2,FALSE)/12*1000*Study_MW,0)</f>
        <v>0</v>
      </c>
      <c r="E72" s="80">
        <f t="shared" si="21"/>
        <v>1968111.8595130742</v>
      </c>
      <c r="F72" s="79">
        <v>74400</v>
      </c>
      <c r="G72" s="81">
        <f t="shared" si="16"/>
        <v>26.453116391304761</v>
      </c>
      <c r="I72" s="64">
        <f t="shared" si="22"/>
        <v>64</v>
      </c>
      <c r="J72" s="73">
        <f t="shared" si="4"/>
        <v>2026</v>
      </c>
      <c r="K72" s="82">
        <f t="shared" si="23"/>
        <v>46357</v>
      </c>
    </row>
    <row r="73" spans="2:11" hidden="1" outlineLevel="1">
      <c r="B73" s="74">
        <f t="shared" si="3"/>
        <v>46388</v>
      </c>
      <c r="C73" s="69">
        <v>1720233.7270346284</v>
      </c>
      <c r="D73" s="70">
        <f>IF(F73&lt;&gt;0,VLOOKUP($J73,'Table 1'!$B$13:$C$33,2,FALSE)/12*1000*Study_MW,0)</f>
        <v>0</v>
      </c>
      <c r="E73" s="70">
        <f t="shared" si="21"/>
        <v>1720233.7270346284</v>
      </c>
      <c r="F73" s="69">
        <v>74400</v>
      </c>
      <c r="G73" s="72">
        <f t="shared" si="16"/>
        <v>23.121421062293393</v>
      </c>
      <c r="I73" s="60">
        <f>I61+13</f>
        <v>66</v>
      </c>
      <c r="J73" s="73">
        <f t="shared" si="4"/>
        <v>2027</v>
      </c>
      <c r="K73" s="74">
        <f t="shared" si="23"/>
        <v>46388</v>
      </c>
    </row>
    <row r="74" spans="2:11" hidden="1" outlineLevel="1">
      <c r="B74" s="78">
        <f t="shared" si="3"/>
        <v>46419</v>
      </c>
      <c r="C74" s="75">
        <v>1662243.5786984563</v>
      </c>
      <c r="D74" s="71">
        <f>IF(F74&lt;&gt;0,VLOOKUP($J74,'Table 1'!$B$13:$C$33,2,FALSE)/12*1000*Study_MW,0)</f>
        <v>0</v>
      </c>
      <c r="E74" s="71">
        <f t="shared" si="21"/>
        <v>1662243.5786984563</v>
      </c>
      <c r="F74" s="75">
        <v>67200</v>
      </c>
      <c r="G74" s="76">
        <f t="shared" si="16"/>
        <v>24.735767540155599</v>
      </c>
      <c r="I74" s="77">
        <f t="shared" si="22"/>
        <v>67</v>
      </c>
      <c r="J74" s="73">
        <f t="shared" si="4"/>
        <v>2027</v>
      </c>
      <c r="K74" s="78">
        <f t="shared" si="23"/>
        <v>46419</v>
      </c>
    </row>
    <row r="75" spans="2:11" hidden="1" outlineLevel="1">
      <c r="B75" s="78">
        <f t="shared" si="3"/>
        <v>46447</v>
      </c>
      <c r="C75" s="75">
        <v>1382468.9073136151</v>
      </c>
      <c r="D75" s="71">
        <f>IF(F75&lt;&gt;0,VLOOKUP($J75,'Table 1'!$B$13:$C$33,2,FALSE)/12*1000*Study_MW,0)</f>
        <v>0</v>
      </c>
      <c r="E75" s="71">
        <f t="shared" si="21"/>
        <v>1382468.9073136151</v>
      </c>
      <c r="F75" s="75">
        <v>74400</v>
      </c>
      <c r="G75" s="76">
        <f t="shared" si="16"/>
        <v>18.581571334860417</v>
      </c>
      <c r="I75" s="77">
        <f t="shared" si="22"/>
        <v>68</v>
      </c>
      <c r="J75" s="73">
        <f t="shared" si="4"/>
        <v>2027</v>
      </c>
      <c r="K75" s="78">
        <f t="shared" si="23"/>
        <v>46447</v>
      </c>
    </row>
    <row r="76" spans="2:11" hidden="1" outlineLevel="1">
      <c r="B76" s="78">
        <f t="shared" si="3"/>
        <v>46478</v>
      </c>
      <c r="C76" s="75">
        <v>986931.07314601541</v>
      </c>
      <c r="D76" s="71">
        <f>IF(F76&lt;&gt;0,VLOOKUP($J76,'Table 1'!$B$13:$C$33,2,FALSE)/12*1000*Study_MW,0)</f>
        <v>0</v>
      </c>
      <c r="E76" s="71">
        <f t="shared" si="21"/>
        <v>986931.07314601541</v>
      </c>
      <c r="F76" s="75">
        <v>72000</v>
      </c>
      <c r="G76" s="76">
        <f t="shared" si="16"/>
        <v>13.70737601591688</v>
      </c>
      <c r="I76" s="77">
        <f t="shared" si="22"/>
        <v>69</v>
      </c>
      <c r="J76" s="73">
        <f t="shared" si="4"/>
        <v>2027</v>
      </c>
      <c r="K76" s="78">
        <f t="shared" si="23"/>
        <v>46478</v>
      </c>
    </row>
    <row r="77" spans="2:11" hidden="1" outlineLevel="1">
      <c r="B77" s="78">
        <f t="shared" si="3"/>
        <v>46508</v>
      </c>
      <c r="C77" s="75">
        <v>836787.24063204229</v>
      </c>
      <c r="D77" s="71">
        <f>IF(F77&lt;&gt;0,VLOOKUP($J77,'Table 1'!$B$13:$C$33,2,FALSE)/12*1000*Study_MW,0)</f>
        <v>0</v>
      </c>
      <c r="E77" s="71">
        <f t="shared" si="21"/>
        <v>836787.24063204229</v>
      </c>
      <c r="F77" s="75">
        <v>74400</v>
      </c>
      <c r="G77" s="76">
        <f t="shared" si="16"/>
        <v>11.247140331075837</v>
      </c>
      <c r="I77" s="77">
        <f t="shared" si="22"/>
        <v>70</v>
      </c>
      <c r="J77" s="73">
        <f t="shared" si="4"/>
        <v>2027</v>
      </c>
      <c r="K77" s="78">
        <f t="shared" si="23"/>
        <v>46508</v>
      </c>
    </row>
    <row r="78" spans="2:11" hidden="1" outlineLevel="1">
      <c r="B78" s="78">
        <f t="shared" ref="B78:B141" si="40">EDATE(B77,1)</f>
        <v>46539</v>
      </c>
      <c r="C78" s="75">
        <v>1026701.3187132627</v>
      </c>
      <c r="D78" s="71">
        <f>IF(F78&lt;&gt;0,VLOOKUP($J78,'Table 1'!$B$13:$C$33,2,FALSE)/12*1000*Study_MW,0)</f>
        <v>0</v>
      </c>
      <c r="E78" s="71">
        <f t="shared" ref="E78:E141" si="41">C78+D78</f>
        <v>1026701.3187132627</v>
      </c>
      <c r="F78" s="75">
        <v>72000</v>
      </c>
      <c r="G78" s="76">
        <f t="shared" ref="G78:G141" si="42">IF(ISNUMBER($F78),E78/$F78,"")</f>
        <v>14.259740537684204</v>
      </c>
      <c r="I78" s="77">
        <f t="shared" si="22"/>
        <v>71</v>
      </c>
      <c r="J78" s="73">
        <f t="shared" ref="J78:J141" si="43">YEAR(B78)</f>
        <v>2027</v>
      </c>
      <c r="K78" s="78">
        <f t="shared" si="23"/>
        <v>46539</v>
      </c>
    </row>
    <row r="79" spans="2:11" hidden="1" outlineLevel="1">
      <c r="B79" s="78">
        <f t="shared" si="40"/>
        <v>46569</v>
      </c>
      <c r="C79" s="75">
        <v>1558787.9275333583</v>
      </c>
      <c r="D79" s="71">
        <f>IF(F79&lt;&gt;0,VLOOKUP($J79,'Table 1'!$B$13:$C$33,2,FALSE)/12*1000*Study_MW,0)</f>
        <v>0</v>
      </c>
      <c r="E79" s="71">
        <f t="shared" si="41"/>
        <v>1558787.9275333583</v>
      </c>
      <c r="F79" s="75">
        <v>74400</v>
      </c>
      <c r="G79" s="76">
        <f t="shared" si="42"/>
        <v>20.951450638889224</v>
      </c>
      <c r="I79" s="77">
        <f t="shared" si="22"/>
        <v>72</v>
      </c>
      <c r="J79" s="73">
        <f t="shared" si="43"/>
        <v>2027</v>
      </c>
      <c r="K79" s="78">
        <f t="shared" si="23"/>
        <v>46569</v>
      </c>
    </row>
    <row r="80" spans="2:11" hidden="1" outlineLevel="1">
      <c r="B80" s="78">
        <f t="shared" si="40"/>
        <v>46600</v>
      </c>
      <c r="C80" s="75">
        <v>1799089.6407677084</v>
      </c>
      <c r="D80" s="71">
        <f>IF(F80&lt;&gt;0,VLOOKUP($J80,'Table 1'!$B$13:$C$33,2,FALSE)/12*1000*Study_MW,0)</f>
        <v>0</v>
      </c>
      <c r="E80" s="71">
        <f t="shared" si="41"/>
        <v>1799089.6407677084</v>
      </c>
      <c r="F80" s="75">
        <v>74400</v>
      </c>
      <c r="G80" s="76">
        <f t="shared" si="42"/>
        <v>24.181312375910061</v>
      </c>
      <c r="I80" s="77">
        <f t="shared" si="22"/>
        <v>73</v>
      </c>
      <c r="J80" s="73">
        <f t="shared" si="43"/>
        <v>2027</v>
      </c>
      <c r="K80" s="78">
        <f t="shared" si="23"/>
        <v>46600</v>
      </c>
    </row>
    <row r="81" spans="2:11" hidden="1" outlineLevel="1">
      <c r="B81" s="78">
        <f t="shared" si="40"/>
        <v>46631</v>
      </c>
      <c r="C81" s="75">
        <v>1592020.9848036617</v>
      </c>
      <c r="D81" s="71">
        <f>IF(F81&lt;&gt;0,VLOOKUP($J81,'Table 1'!$B$13:$C$33,2,FALSE)/12*1000*Study_MW,0)</f>
        <v>0</v>
      </c>
      <c r="E81" s="71">
        <f t="shared" si="41"/>
        <v>1592020.9848036617</v>
      </c>
      <c r="F81" s="75">
        <v>72000</v>
      </c>
      <c r="G81" s="76">
        <f t="shared" si="42"/>
        <v>22.111402566717523</v>
      </c>
      <c r="I81" s="77">
        <f t="shared" si="22"/>
        <v>74</v>
      </c>
      <c r="J81" s="73">
        <f t="shared" si="43"/>
        <v>2027</v>
      </c>
      <c r="K81" s="78">
        <f t="shared" si="23"/>
        <v>46631</v>
      </c>
    </row>
    <row r="82" spans="2:11" hidden="1" outlineLevel="1">
      <c r="B82" s="78">
        <f t="shared" si="40"/>
        <v>46661</v>
      </c>
      <c r="C82" s="75">
        <v>1441304.612425074</v>
      </c>
      <c r="D82" s="71">
        <f>IF(F82&lt;&gt;0,VLOOKUP($J82,'Table 1'!$B$13:$C$33,2,FALSE)/12*1000*Study_MW,0)</f>
        <v>0</v>
      </c>
      <c r="E82" s="71">
        <f t="shared" si="41"/>
        <v>1441304.612425074</v>
      </c>
      <c r="F82" s="75">
        <v>74400</v>
      </c>
      <c r="G82" s="76">
        <f t="shared" si="42"/>
        <v>19.372373822917663</v>
      </c>
      <c r="I82" s="77">
        <f t="shared" si="22"/>
        <v>75</v>
      </c>
      <c r="J82" s="73">
        <f t="shared" si="43"/>
        <v>2027</v>
      </c>
      <c r="K82" s="78">
        <f t="shared" si="23"/>
        <v>46661</v>
      </c>
    </row>
    <row r="83" spans="2:11" hidden="1" outlineLevel="1">
      <c r="B83" s="78">
        <f t="shared" si="40"/>
        <v>46692</v>
      </c>
      <c r="C83" s="75">
        <v>1537066.7278841138</v>
      </c>
      <c r="D83" s="71">
        <f>IF(F83&lt;&gt;0,VLOOKUP($J83,'Table 1'!$B$13:$C$33,2,FALSE)/12*1000*Study_MW,0)</f>
        <v>0</v>
      </c>
      <c r="E83" s="71">
        <f t="shared" si="41"/>
        <v>1537066.7278841138</v>
      </c>
      <c r="F83" s="75">
        <v>72000</v>
      </c>
      <c r="G83" s="76">
        <f t="shared" si="42"/>
        <v>21.348148998390471</v>
      </c>
      <c r="I83" s="77">
        <f t="shared" si="22"/>
        <v>76</v>
      </c>
      <c r="J83" s="73">
        <f t="shared" si="43"/>
        <v>2027</v>
      </c>
      <c r="K83" s="78">
        <f t="shared" si="23"/>
        <v>46692</v>
      </c>
    </row>
    <row r="84" spans="2:11" hidden="1" outlineLevel="1">
      <c r="B84" s="82">
        <f t="shared" si="40"/>
        <v>46722</v>
      </c>
      <c r="C84" s="79">
        <v>2012569.7506016791</v>
      </c>
      <c r="D84" s="80">
        <f>IF(F84&lt;&gt;0,VLOOKUP($J84,'Table 1'!$B$13:$C$33,2,FALSE)/12*1000*Study_MW,0)</f>
        <v>0</v>
      </c>
      <c r="E84" s="80">
        <f t="shared" si="41"/>
        <v>2012569.7506016791</v>
      </c>
      <c r="F84" s="79">
        <v>74400</v>
      </c>
      <c r="G84" s="81">
        <f t="shared" si="42"/>
        <v>27.050668690882784</v>
      </c>
      <c r="I84" s="64">
        <f t="shared" si="22"/>
        <v>77</v>
      </c>
      <c r="J84" s="73">
        <f t="shared" si="43"/>
        <v>2027</v>
      </c>
      <c r="K84" s="82">
        <f t="shared" si="23"/>
        <v>46722</v>
      </c>
    </row>
    <row r="85" spans="2:11" hidden="1" outlineLevel="1">
      <c r="B85" s="74">
        <f t="shared" si="40"/>
        <v>46753</v>
      </c>
      <c r="C85" s="69">
        <v>1640177.9793037772</v>
      </c>
      <c r="D85" s="70">
        <f>IF(F85&lt;&gt;0,VLOOKUP($J85,'Table 1'!$B$13:$C$33,2,FALSE)/12*1000*Study_MW,0)</f>
        <v>0</v>
      </c>
      <c r="E85" s="70">
        <f t="shared" si="41"/>
        <v>1640177.9793037772</v>
      </c>
      <c r="F85" s="69">
        <v>74400</v>
      </c>
      <c r="G85" s="72">
        <f t="shared" si="42"/>
        <v>22.045402947631413</v>
      </c>
      <c r="I85" s="60">
        <f>I73+13</f>
        <v>79</v>
      </c>
      <c r="J85" s="73">
        <f t="shared" si="43"/>
        <v>2028</v>
      </c>
      <c r="K85" s="74">
        <f t="shared" si="23"/>
        <v>46753</v>
      </c>
    </row>
    <row r="86" spans="2:11" hidden="1" outlineLevel="1">
      <c r="B86" s="78">
        <f t="shared" si="40"/>
        <v>46784</v>
      </c>
      <c r="C86" s="75">
        <v>1799644.304609865</v>
      </c>
      <c r="D86" s="71">
        <f>IF(F86&lt;&gt;0,VLOOKUP($J86,'Table 1'!$B$13:$C$33,2,FALSE)/12*1000*Study_MW,0)</f>
        <v>0</v>
      </c>
      <c r="E86" s="71">
        <f t="shared" si="41"/>
        <v>1799644.304609865</v>
      </c>
      <c r="F86" s="75">
        <v>69600</v>
      </c>
      <c r="G86" s="76">
        <f t="shared" si="42"/>
        <v>25.856958399567024</v>
      </c>
      <c r="I86" s="77">
        <f t="shared" si="22"/>
        <v>80</v>
      </c>
      <c r="J86" s="73">
        <f t="shared" si="43"/>
        <v>2028</v>
      </c>
      <c r="K86" s="78">
        <f t="shared" si="23"/>
        <v>46784</v>
      </c>
    </row>
    <row r="87" spans="2:11" hidden="1" outlineLevel="1">
      <c r="B87" s="78">
        <f t="shared" si="40"/>
        <v>46813</v>
      </c>
      <c r="C87" s="75">
        <v>1457907.4639057964</v>
      </c>
      <c r="D87" s="71">
        <f>IF(F87&lt;&gt;0,VLOOKUP($J87,'Table 1'!$B$13:$C$33,2,FALSE)/12*1000*Study_MW,0)</f>
        <v>0</v>
      </c>
      <c r="E87" s="71">
        <f t="shared" si="41"/>
        <v>1457907.4639057964</v>
      </c>
      <c r="F87" s="75">
        <v>74400</v>
      </c>
      <c r="G87" s="76">
        <f t="shared" si="42"/>
        <v>19.59553042884135</v>
      </c>
      <c r="I87" s="77">
        <f t="shared" si="22"/>
        <v>81</v>
      </c>
      <c r="J87" s="73">
        <f t="shared" si="43"/>
        <v>2028</v>
      </c>
      <c r="K87" s="78">
        <f t="shared" si="23"/>
        <v>46813</v>
      </c>
    </row>
    <row r="88" spans="2:11" hidden="1" outlineLevel="1">
      <c r="B88" s="78">
        <f t="shared" si="40"/>
        <v>46844</v>
      </c>
      <c r="C88" s="75">
        <v>1027950.4985145628</v>
      </c>
      <c r="D88" s="71">
        <f>IF(F88&lt;&gt;0,VLOOKUP($J88,'Table 1'!$B$13:$C$33,2,FALSE)/12*1000*Study_MW,0)</f>
        <v>0</v>
      </c>
      <c r="E88" s="71">
        <f t="shared" si="41"/>
        <v>1027950.4985145628</v>
      </c>
      <c r="F88" s="75">
        <v>72000</v>
      </c>
      <c r="G88" s="76">
        <f t="shared" si="42"/>
        <v>14.277090257146707</v>
      </c>
      <c r="I88" s="77">
        <f t="shared" si="22"/>
        <v>82</v>
      </c>
      <c r="J88" s="73">
        <f t="shared" si="43"/>
        <v>2028</v>
      </c>
      <c r="K88" s="78">
        <f t="shared" si="23"/>
        <v>46844</v>
      </c>
    </row>
    <row r="89" spans="2:11" hidden="1" outlineLevel="1">
      <c r="B89" s="78">
        <f t="shared" si="40"/>
        <v>46874</v>
      </c>
      <c r="C89" s="75">
        <v>869473.71206080914</v>
      </c>
      <c r="D89" s="71">
        <f>IF(F89&lt;&gt;0,VLOOKUP($J89,'Table 1'!$B$13:$C$33,2,FALSE)/12*1000*Study_MW,0)</f>
        <v>0</v>
      </c>
      <c r="E89" s="71">
        <f t="shared" si="41"/>
        <v>869473.71206080914</v>
      </c>
      <c r="F89" s="75">
        <v>74400</v>
      </c>
      <c r="G89" s="76">
        <f t="shared" si="42"/>
        <v>11.686474624473242</v>
      </c>
      <c r="I89" s="77">
        <f t="shared" si="22"/>
        <v>83</v>
      </c>
      <c r="J89" s="73">
        <f t="shared" si="43"/>
        <v>2028</v>
      </c>
      <c r="K89" s="78">
        <f t="shared" si="23"/>
        <v>46874</v>
      </c>
    </row>
    <row r="90" spans="2:11" hidden="1" outlineLevel="1">
      <c r="B90" s="78">
        <f t="shared" si="40"/>
        <v>46905</v>
      </c>
      <c r="C90" s="75">
        <v>1085014.618192032</v>
      </c>
      <c r="D90" s="71">
        <f>IF(F90&lt;&gt;0,VLOOKUP($J90,'Table 1'!$B$13:$C$33,2,FALSE)/12*1000*Study_MW,0)</f>
        <v>0</v>
      </c>
      <c r="E90" s="71">
        <f t="shared" si="41"/>
        <v>1085014.618192032</v>
      </c>
      <c r="F90" s="75">
        <v>72000</v>
      </c>
      <c r="G90" s="76">
        <f t="shared" si="42"/>
        <v>15.069647474889333</v>
      </c>
      <c r="I90" s="77">
        <f t="shared" ref="I90:I96" si="44">I78+13</f>
        <v>84</v>
      </c>
      <c r="J90" s="73">
        <f t="shared" si="43"/>
        <v>2028</v>
      </c>
      <c r="K90" s="78">
        <f t="shared" ref="K90:K153" si="45">IF(ISNUMBER(F90),IF(F90&lt;&gt;0,B90,""),"")</f>
        <v>46905</v>
      </c>
    </row>
    <row r="91" spans="2:11" hidden="1" outlineLevel="1">
      <c r="B91" s="78">
        <f t="shared" si="40"/>
        <v>46935</v>
      </c>
      <c r="C91" s="75">
        <v>1656427.3984153867</v>
      </c>
      <c r="D91" s="71">
        <f>IF(F91&lt;&gt;0,VLOOKUP($J91,'Table 1'!$B$13:$C$33,2,FALSE)/12*1000*Study_MW,0)</f>
        <v>0</v>
      </c>
      <c r="E91" s="71">
        <f t="shared" si="41"/>
        <v>1656427.3984153867</v>
      </c>
      <c r="F91" s="75">
        <v>74400</v>
      </c>
      <c r="G91" s="76">
        <f t="shared" si="42"/>
        <v>22.263809118486382</v>
      </c>
      <c r="I91" s="77">
        <f t="shared" si="44"/>
        <v>85</v>
      </c>
      <c r="J91" s="73">
        <f t="shared" si="43"/>
        <v>2028</v>
      </c>
      <c r="K91" s="78">
        <f t="shared" si="45"/>
        <v>46935</v>
      </c>
    </row>
    <row r="92" spans="2:11" hidden="1" outlineLevel="1">
      <c r="B92" s="78">
        <f t="shared" si="40"/>
        <v>46966</v>
      </c>
      <c r="C92" s="75">
        <v>1914142.8095254451</v>
      </c>
      <c r="D92" s="71">
        <f>IF(F92&lt;&gt;0,VLOOKUP($J92,'Table 1'!$B$13:$C$33,2,FALSE)/12*1000*Study_MW,0)</f>
        <v>0</v>
      </c>
      <c r="E92" s="71">
        <f t="shared" si="41"/>
        <v>1914142.8095254451</v>
      </c>
      <c r="F92" s="75">
        <v>74400</v>
      </c>
      <c r="G92" s="76">
        <f t="shared" si="42"/>
        <v>25.727725934481789</v>
      </c>
      <c r="I92" s="77">
        <f t="shared" si="44"/>
        <v>86</v>
      </c>
      <c r="J92" s="73">
        <f t="shared" si="43"/>
        <v>2028</v>
      </c>
      <c r="K92" s="78">
        <f t="shared" si="45"/>
        <v>46966</v>
      </c>
    </row>
    <row r="93" spans="2:11" hidden="1" outlineLevel="1">
      <c r="B93" s="78">
        <f t="shared" si="40"/>
        <v>46997</v>
      </c>
      <c r="C93" s="75">
        <v>1722351.0150894374</v>
      </c>
      <c r="D93" s="71">
        <f>IF(F93&lt;&gt;0,VLOOKUP($J93,'Table 1'!$B$13:$C$33,2,FALSE)/12*1000*Study_MW,0)</f>
        <v>0</v>
      </c>
      <c r="E93" s="71">
        <f t="shared" si="41"/>
        <v>1722351.0150894374</v>
      </c>
      <c r="F93" s="75">
        <v>72000</v>
      </c>
      <c r="G93" s="76">
        <f t="shared" si="42"/>
        <v>23.921541876242184</v>
      </c>
      <c r="I93" s="77">
        <f t="shared" si="44"/>
        <v>87</v>
      </c>
      <c r="J93" s="73">
        <f t="shared" si="43"/>
        <v>2028</v>
      </c>
      <c r="K93" s="78">
        <f t="shared" si="45"/>
        <v>46997</v>
      </c>
    </row>
    <row r="94" spans="2:11" hidden="1" outlineLevel="1">
      <c r="B94" s="78">
        <f t="shared" si="40"/>
        <v>47027</v>
      </c>
      <c r="C94" s="75">
        <v>1567792.9171059728</v>
      </c>
      <c r="D94" s="71">
        <f>IF(F94&lt;&gt;0,VLOOKUP($J94,'Table 1'!$B$13:$C$33,2,FALSE)/12*1000*Study_MW,0)</f>
        <v>0</v>
      </c>
      <c r="E94" s="71">
        <f t="shared" si="41"/>
        <v>1567792.9171059728</v>
      </c>
      <c r="F94" s="75">
        <v>74400</v>
      </c>
      <c r="G94" s="76">
        <f t="shared" si="42"/>
        <v>21.072485444972752</v>
      </c>
      <c r="I94" s="77">
        <f t="shared" si="44"/>
        <v>88</v>
      </c>
      <c r="J94" s="73">
        <f t="shared" si="43"/>
        <v>2028</v>
      </c>
      <c r="K94" s="78">
        <f t="shared" si="45"/>
        <v>47027</v>
      </c>
    </row>
    <row r="95" spans="2:11" hidden="1" outlineLevel="1">
      <c r="B95" s="78">
        <f t="shared" si="40"/>
        <v>47058</v>
      </c>
      <c r="C95" s="75">
        <v>1651428.3436942101</v>
      </c>
      <c r="D95" s="71">
        <f>IF(F95&lt;&gt;0,VLOOKUP($J95,'Table 1'!$B$13:$C$33,2,FALSE)/12*1000*Study_MW,0)</f>
        <v>0</v>
      </c>
      <c r="E95" s="71">
        <f t="shared" si="41"/>
        <v>1651428.3436942101</v>
      </c>
      <c r="F95" s="75">
        <v>72000</v>
      </c>
      <c r="G95" s="76">
        <f t="shared" si="42"/>
        <v>22.936504773530697</v>
      </c>
      <c r="I95" s="77">
        <f t="shared" si="44"/>
        <v>89</v>
      </c>
      <c r="J95" s="73">
        <f t="shared" si="43"/>
        <v>2028</v>
      </c>
      <c r="K95" s="78">
        <f t="shared" si="45"/>
        <v>47058</v>
      </c>
    </row>
    <row r="96" spans="2:11" hidden="1" outlineLevel="1">
      <c r="B96" s="82">
        <f t="shared" si="40"/>
        <v>47088</v>
      </c>
      <c r="C96" s="79">
        <v>2125378.0294209719</v>
      </c>
      <c r="D96" s="80">
        <f>IF(F96&lt;&gt;0,VLOOKUP($J96,'Table 1'!$B$13:$C$33,2,FALSE)/12*1000*Study_MW,0)</f>
        <v>0</v>
      </c>
      <c r="E96" s="80">
        <f t="shared" si="41"/>
        <v>2125378.0294209719</v>
      </c>
      <c r="F96" s="79">
        <v>74400</v>
      </c>
      <c r="G96" s="81">
        <f t="shared" si="42"/>
        <v>28.566908997593707</v>
      </c>
      <c r="I96" s="64">
        <f t="shared" si="44"/>
        <v>90</v>
      </c>
      <c r="J96" s="73">
        <f t="shared" si="43"/>
        <v>2028</v>
      </c>
      <c r="K96" s="82">
        <f t="shared" si="45"/>
        <v>47088</v>
      </c>
    </row>
    <row r="97" spans="2:11" hidden="1" outlineLevel="1">
      <c r="B97" s="74">
        <f t="shared" si="40"/>
        <v>47119</v>
      </c>
      <c r="C97" s="69">
        <v>1807835.2129644156</v>
      </c>
      <c r="D97" s="70">
        <f>IF(F97&lt;&gt;0,VLOOKUP($J97,'Table 1'!$B$13:$C$33,2,FALSE)/12*1000*Study_MW,0)</f>
        <v>0</v>
      </c>
      <c r="E97" s="70">
        <f t="shared" si="41"/>
        <v>1807835.2129644156</v>
      </c>
      <c r="F97" s="69">
        <v>74400</v>
      </c>
      <c r="G97" s="72">
        <f t="shared" si="42"/>
        <v>24.298860389306661</v>
      </c>
      <c r="I97" s="60">
        <f>I85+13</f>
        <v>92</v>
      </c>
      <c r="J97" s="73">
        <f t="shared" si="43"/>
        <v>2029</v>
      </c>
      <c r="K97" s="74">
        <f t="shared" si="45"/>
        <v>47119</v>
      </c>
    </row>
    <row r="98" spans="2:11" hidden="1" outlineLevel="1">
      <c r="B98" s="78">
        <f t="shared" si="40"/>
        <v>47150</v>
      </c>
      <c r="C98" s="75">
        <v>1794675.1804542542</v>
      </c>
      <c r="D98" s="71">
        <f>IF(F98&lt;&gt;0,VLOOKUP($J98,'Table 1'!$B$13:$C$33,2,FALSE)/12*1000*Study_MW,0)</f>
        <v>0</v>
      </c>
      <c r="E98" s="71">
        <f t="shared" si="41"/>
        <v>1794675.1804542542</v>
      </c>
      <c r="F98" s="75">
        <v>67200</v>
      </c>
      <c r="G98" s="76">
        <f t="shared" si="42"/>
        <v>26.706475899616876</v>
      </c>
      <c r="I98" s="77">
        <f t="shared" ref="I98:I120" si="46">I86+13</f>
        <v>93</v>
      </c>
      <c r="J98" s="73">
        <f t="shared" si="43"/>
        <v>2029</v>
      </c>
      <c r="K98" s="78">
        <f t="shared" si="45"/>
        <v>47150</v>
      </c>
    </row>
    <row r="99" spans="2:11" hidden="1" outlineLevel="1">
      <c r="B99" s="78">
        <f t="shared" si="40"/>
        <v>47178</v>
      </c>
      <c r="C99" s="75">
        <v>1554676.0129957199</v>
      </c>
      <c r="D99" s="71">
        <f>IF(F99&lt;&gt;0,VLOOKUP($J99,'Table 1'!$B$13:$C$33,2,FALSE)/12*1000*Study_MW,0)</f>
        <v>0</v>
      </c>
      <c r="E99" s="71">
        <f t="shared" si="41"/>
        <v>1554676.0129957199</v>
      </c>
      <c r="F99" s="75">
        <v>74400</v>
      </c>
      <c r="G99" s="76">
        <f t="shared" si="42"/>
        <v>20.896182970372578</v>
      </c>
      <c r="I99" s="77">
        <f t="shared" si="46"/>
        <v>94</v>
      </c>
      <c r="J99" s="73">
        <f t="shared" si="43"/>
        <v>2029</v>
      </c>
      <c r="K99" s="78">
        <f t="shared" si="45"/>
        <v>47178</v>
      </c>
    </row>
    <row r="100" spans="2:11" hidden="1" outlineLevel="1">
      <c r="B100" s="78">
        <f t="shared" si="40"/>
        <v>47209</v>
      </c>
      <c r="C100" s="75">
        <v>1103624.104549095</v>
      </c>
      <c r="D100" s="71">
        <f>IF(F100&lt;&gt;0,VLOOKUP($J100,'Table 1'!$B$13:$C$33,2,FALSE)/12*1000*Study_MW,0)</f>
        <v>0</v>
      </c>
      <c r="E100" s="71">
        <f t="shared" si="41"/>
        <v>1103624.104549095</v>
      </c>
      <c r="F100" s="75">
        <v>72000</v>
      </c>
      <c r="G100" s="76">
        <f t="shared" si="42"/>
        <v>15.328112563181875</v>
      </c>
      <c r="I100" s="77">
        <f t="shared" si="46"/>
        <v>95</v>
      </c>
      <c r="J100" s="73">
        <f t="shared" si="43"/>
        <v>2029</v>
      </c>
      <c r="K100" s="78">
        <f t="shared" si="45"/>
        <v>47209</v>
      </c>
    </row>
    <row r="101" spans="2:11" hidden="1" outlineLevel="1">
      <c r="B101" s="78">
        <f t="shared" si="40"/>
        <v>47239</v>
      </c>
      <c r="C101" s="75">
        <v>917903.67818008363</v>
      </c>
      <c r="D101" s="71">
        <f>IF(F101&lt;&gt;0,VLOOKUP($J101,'Table 1'!$B$13:$C$33,2,FALSE)/12*1000*Study_MW,0)</f>
        <v>0</v>
      </c>
      <c r="E101" s="71">
        <f t="shared" si="41"/>
        <v>917903.67818008363</v>
      </c>
      <c r="F101" s="75">
        <v>74400</v>
      </c>
      <c r="G101" s="76">
        <f t="shared" si="42"/>
        <v>12.3374150293022</v>
      </c>
      <c r="I101" s="77">
        <f t="shared" si="46"/>
        <v>96</v>
      </c>
      <c r="J101" s="73">
        <f t="shared" si="43"/>
        <v>2029</v>
      </c>
      <c r="K101" s="78">
        <f t="shared" si="45"/>
        <v>47239</v>
      </c>
    </row>
    <row r="102" spans="2:11" hidden="1" outlineLevel="1">
      <c r="B102" s="78">
        <f t="shared" si="40"/>
        <v>47270</v>
      </c>
      <c r="C102" s="75">
        <v>1122899.5521681011</v>
      </c>
      <c r="D102" s="71">
        <f>IF(F102&lt;&gt;0,VLOOKUP($J102,'Table 1'!$B$13:$C$33,2,FALSE)/12*1000*Study_MW,0)</f>
        <v>0</v>
      </c>
      <c r="E102" s="71">
        <f t="shared" si="41"/>
        <v>1122899.5521681011</v>
      </c>
      <c r="F102" s="75">
        <v>72000</v>
      </c>
      <c r="G102" s="76">
        <f t="shared" si="42"/>
        <v>15.595827113445848</v>
      </c>
      <c r="I102" s="77">
        <f t="shared" si="46"/>
        <v>97</v>
      </c>
      <c r="J102" s="73">
        <f t="shared" si="43"/>
        <v>2029</v>
      </c>
      <c r="K102" s="78">
        <f t="shared" si="45"/>
        <v>47270</v>
      </c>
    </row>
    <row r="103" spans="2:11" hidden="1" outlineLevel="1">
      <c r="B103" s="78">
        <f t="shared" si="40"/>
        <v>47300</v>
      </c>
      <c r="C103" s="75">
        <v>1673811.7300399393</v>
      </c>
      <c r="D103" s="71">
        <f>IF(F103&lt;&gt;0,VLOOKUP($J103,'Table 1'!$B$13:$C$33,2,FALSE)/12*1000*Study_MW,0)</f>
        <v>0</v>
      </c>
      <c r="E103" s="71">
        <f t="shared" si="41"/>
        <v>1673811.7300399393</v>
      </c>
      <c r="F103" s="75">
        <v>74400</v>
      </c>
      <c r="G103" s="76">
        <f t="shared" si="42"/>
        <v>22.49746948978413</v>
      </c>
      <c r="I103" s="77">
        <f t="shared" si="46"/>
        <v>98</v>
      </c>
      <c r="J103" s="73">
        <f t="shared" si="43"/>
        <v>2029</v>
      </c>
      <c r="K103" s="78">
        <f t="shared" si="45"/>
        <v>47300</v>
      </c>
    </row>
    <row r="104" spans="2:11" hidden="1" outlineLevel="1">
      <c r="B104" s="78">
        <f t="shared" si="40"/>
        <v>47331</v>
      </c>
      <c r="C104" s="75">
        <v>2029083.0254404545</v>
      </c>
      <c r="D104" s="71">
        <f>IF(F104&lt;&gt;0,VLOOKUP($J104,'Table 1'!$B$13:$C$33,2,FALSE)/12*1000*Study_MW,0)</f>
        <v>0</v>
      </c>
      <c r="E104" s="71">
        <f t="shared" si="41"/>
        <v>2029083.0254404545</v>
      </c>
      <c r="F104" s="75">
        <v>74400</v>
      </c>
      <c r="G104" s="76">
        <f t="shared" si="42"/>
        <v>27.272621309683529</v>
      </c>
      <c r="I104" s="77">
        <f t="shared" si="46"/>
        <v>99</v>
      </c>
      <c r="J104" s="73">
        <f t="shared" si="43"/>
        <v>2029</v>
      </c>
      <c r="K104" s="78">
        <f t="shared" si="45"/>
        <v>47331</v>
      </c>
    </row>
    <row r="105" spans="2:11" hidden="1" outlineLevel="1">
      <c r="B105" s="78">
        <f t="shared" si="40"/>
        <v>47362</v>
      </c>
      <c r="C105" s="75">
        <v>1928373.8353116661</v>
      </c>
      <c r="D105" s="71">
        <f>IF(F105&lt;&gt;0,VLOOKUP($J105,'Table 1'!$B$13:$C$33,2,FALSE)/12*1000*Study_MW,0)</f>
        <v>0</v>
      </c>
      <c r="E105" s="71">
        <f t="shared" si="41"/>
        <v>1928373.8353116661</v>
      </c>
      <c r="F105" s="75">
        <v>72000</v>
      </c>
      <c r="G105" s="76">
        <f t="shared" si="42"/>
        <v>26.782969934884253</v>
      </c>
      <c r="I105" s="77">
        <f t="shared" si="46"/>
        <v>100</v>
      </c>
      <c r="J105" s="73">
        <f t="shared" si="43"/>
        <v>2029</v>
      </c>
      <c r="K105" s="78">
        <f t="shared" si="45"/>
        <v>47362</v>
      </c>
    </row>
    <row r="106" spans="2:11" hidden="1" outlineLevel="1">
      <c r="B106" s="78">
        <f t="shared" si="40"/>
        <v>47392</v>
      </c>
      <c r="C106" s="75">
        <v>1647931.5428213626</v>
      </c>
      <c r="D106" s="71">
        <f>IF(F106&lt;&gt;0,VLOOKUP($J106,'Table 1'!$B$13:$C$33,2,FALSE)/12*1000*Study_MW,0)</f>
        <v>0</v>
      </c>
      <c r="E106" s="71">
        <f t="shared" si="41"/>
        <v>1647931.5428213626</v>
      </c>
      <c r="F106" s="75">
        <v>74400</v>
      </c>
      <c r="G106" s="76">
        <f t="shared" si="42"/>
        <v>22.149617511039821</v>
      </c>
      <c r="I106" s="77">
        <f t="shared" si="46"/>
        <v>101</v>
      </c>
      <c r="J106" s="73">
        <f t="shared" si="43"/>
        <v>2029</v>
      </c>
      <c r="K106" s="78">
        <f t="shared" si="45"/>
        <v>47392</v>
      </c>
    </row>
    <row r="107" spans="2:11" hidden="1" outlineLevel="1">
      <c r="B107" s="78">
        <f t="shared" si="40"/>
        <v>47423</v>
      </c>
      <c r="C107" s="75">
        <v>1639343.812957719</v>
      </c>
      <c r="D107" s="71">
        <f>IF(F107&lt;&gt;0,VLOOKUP($J107,'Table 1'!$B$13:$C$33,2,FALSE)/12*1000*Study_MW,0)</f>
        <v>0</v>
      </c>
      <c r="E107" s="71">
        <f t="shared" si="41"/>
        <v>1639343.812957719</v>
      </c>
      <c r="F107" s="75">
        <v>72000</v>
      </c>
      <c r="G107" s="76">
        <f t="shared" si="42"/>
        <v>22.768664068857209</v>
      </c>
      <c r="I107" s="77">
        <f t="shared" si="46"/>
        <v>102</v>
      </c>
      <c r="J107" s="73">
        <f t="shared" si="43"/>
        <v>2029</v>
      </c>
      <c r="K107" s="78">
        <f t="shared" si="45"/>
        <v>47423</v>
      </c>
    </row>
    <row r="108" spans="2:11" hidden="1" outlineLevel="1">
      <c r="B108" s="82">
        <f t="shared" si="40"/>
        <v>47453</v>
      </c>
      <c r="C108" s="79">
        <v>2203622.6956833452</v>
      </c>
      <c r="D108" s="80">
        <f>IF(F108&lt;&gt;0,VLOOKUP($J108,'Table 1'!$B$13:$C$33,2,FALSE)/12*1000*Study_MW,0)</f>
        <v>0</v>
      </c>
      <c r="E108" s="80">
        <f t="shared" si="41"/>
        <v>2203622.6956833452</v>
      </c>
      <c r="F108" s="79">
        <v>74400</v>
      </c>
      <c r="G108" s="81">
        <f t="shared" si="42"/>
        <v>29.618584619399801</v>
      </c>
      <c r="I108" s="64">
        <f t="shared" si="46"/>
        <v>103</v>
      </c>
      <c r="J108" s="73">
        <f t="shared" si="43"/>
        <v>2029</v>
      </c>
      <c r="K108" s="82">
        <f t="shared" si="45"/>
        <v>47453</v>
      </c>
    </row>
    <row r="109" spans="2:11" hidden="1" outlineLevel="1">
      <c r="B109" s="74">
        <f t="shared" si="40"/>
        <v>47484</v>
      </c>
      <c r="C109" s="69">
        <v>1810829.3575231284</v>
      </c>
      <c r="D109" s="70">
        <f>IF(F109&lt;&gt;0,VLOOKUP($J109,'Table 1'!$B$13:$C$33,2,FALSE)/12*1000*Study_MW,0)</f>
        <v>0</v>
      </c>
      <c r="E109" s="70">
        <f t="shared" si="41"/>
        <v>1810829.3575231284</v>
      </c>
      <c r="F109" s="69">
        <v>74400</v>
      </c>
      <c r="G109" s="72">
        <f t="shared" si="42"/>
        <v>24.339104267783984</v>
      </c>
      <c r="I109" s="60">
        <f>I97+13</f>
        <v>105</v>
      </c>
      <c r="J109" s="73">
        <f t="shared" si="43"/>
        <v>2030</v>
      </c>
      <c r="K109" s="74">
        <f t="shared" si="45"/>
        <v>47484</v>
      </c>
    </row>
    <row r="110" spans="2:11" hidden="1" outlineLevel="1">
      <c r="B110" s="78">
        <f t="shared" si="40"/>
        <v>47515</v>
      </c>
      <c r="C110" s="75">
        <v>1807712.9190590531</v>
      </c>
      <c r="D110" s="71">
        <f>IF(F110&lt;&gt;0,VLOOKUP($J110,'Table 1'!$B$13:$C$33,2,FALSE)/12*1000*Study_MW,0)</f>
        <v>0</v>
      </c>
      <c r="E110" s="71">
        <f t="shared" si="41"/>
        <v>1807712.9190590531</v>
      </c>
      <c r="F110" s="75">
        <v>67200</v>
      </c>
      <c r="G110" s="76">
        <f t="shared" si="42"/>
        <v>26.900489866950196</v>
      </c>
      <c r="I110" s="77">
        <f t="shared" si="46"/>
        <v>106</v>
      </c>
      <c r="J110" s="73">
        <f t="shared" si="43"/>
        <v>2030</v>
      </c>
      <c r="K110" s="78">
        <f t="shared" si="45"/>
        <v>47515</v>
      </c>
    </row>
    <row r="111" spans="2:11" hidden="1" outlineLevel="1">
      <c r="B111" s="78">
        <f t="shared" si="40"/>
        <v>47543</v>
      </c>
      <c r="C111" s="75">
        <v>1522904.8555325866</v>
      </c>
      <c r="D111" s="71">
        <f>IF(F111&lt;&gt;0,VLOOKUP($J111,'Table 1'!$B$13:$C$33,2,FALSE)/12*1000*Study_MW,0)</f>
        <v>0</v>
      </c>
      <c r="E111" s="71">
        <f t="shared" si="41"/>
        <v>1522904.8555325866</v>
      </c>
      <c r="F111" s="75">
        <v>74400</v>
      </c>
      <c r="G111" s="76">
        <f t="shared" si="42"/>
        <v>20.469151284040141</v>
      </c>
      <c r="I111" s="77">
        <f t="shared" si="46"/>
        <v>107</v>
      </c>
      <c r="J111" s="73">
        <f t="shared" si="43"/>
        <v>2030</v>
      </c>
      <c r="K111" s="78">
        <f t="shared" si="45"/>
        <v>47543</v>
      </c>
    </row>
    <row r="112" spans="2:11" hidden="1" outlineLevel="1">
      <c r="B112" s="78">
        <f t="shared" si="40"/>
        <v>47574</v>
      </c>
      <c r="C112" s="75">
        <v>1063268.1200820208</v>
      </c>
      <c r="D112" s="71">
        <f>IF(F112&lt;&gt;0,VLOOKUP($J112,'Table 1'!$B$13:$C$33,2,FALSE)/12*1000*Study_MW,0)</f>
        <v>0</v>
      </c>
      <c r="E112" s="71">
        <f t="shared" si="41"/>
        <v>1063268.1200820208</v>
      </c>
      <c r="F112" s="75">
        <v>72000</v>
      </c>
      <c r="G112" s="76">
        <f t="shared" si="42"/>
        <v>14.767612778916956</v>
      </c>
      <c r="I112" s="77">
        <f t="shared" si="46"/>
        <v>108</v>
      </c>
      <c r="J112" s="73">
        <f t="shared" si="43"/>
        <v>2030</v>
      </c>
      <c r="K112" s="78">
        <f t="shared" si="45"/>
        <v>47574</v>
      </c>
    </row>
    <row r="113" spans="2:11" hidden="1" outlineLevel="1">
      <c r="B113" s="78">
        <f t="shared" si="40"/>
        <v>47604</v>
      </c>
      <c r="C113" s="75">
        <v>893881.75244134665</v>
      </c>
      <c r="D113" s="71">
        <f>IF(F113&lt;&gt;0,VLOOKUP($J113,'Table 1'!$B$13:$C$33,2,FALSE)/12*1000*Study_MW,0)</f>
        <v>0</v>
      </c>
      <c r="E113" s="71">
        <f t="shared" si="41"/>
        <v>893881.75244134665</v>
      </c>
      <c r="F113" s="75">
        <v>74400</v>
      </c>
      <c r="G113" s="76">
        <f t="shared" si="42"/>
        <v>12.014539683351433</v>
      </c>
      <c r="I113" s="77">
        <f t="shared" si="46"/>
        <v>109</v>
      </c>
      <c r="J113" s="73">
        <f t="shared" si="43"/>
        <v>2030</v>
      </c>
      <c r="K113" s="78">
        <f t="shared" si="45"/>
        <v>47604</v>
      </c>
    </row>
    <row r="114" spans="2:11" hidden="1" outlineLevel="1">
      <c r="B114" s="78">
        <f t="shared" si="40"/>
        <v>47635</v>
      </c>
      <c r="C114" s="75">
        <v>1110811.8112579137</v>
      </c>
      <c r="D114" s="71">
        <f>IF(F114&lt;&gt;0,VLOOKUP($J114,'Table 1'!$B$13:$C$33,2,FALSE)/12*1000*Study_MW,0)</f>
        <v>0</v>
      </c>
      <c r="E114" s="71">
        <f t="shared" si="41"/>
        <v>1110811.8112579137</v>
      </c>
      <c r="F114" s="75">
        <v>72000</v>
      </c>
      <c r="G114" s="76">
        <f t="shared" si="42"/>
        <v>15.427941823026579</v>
      </c>
      <c r="I114" s="77">
        <f t="shared" si="46"/>
        <v>110</v>
      </c>
      <c r="J114" s="73">
        <f t="shared" si="43"/>
        <v>2030</v>
      </c>
      <c r="K114" s="78">
        <f t="shared" si="45"/>
        <v>47635</v>
      </c>
    </row>
    <row r="115" spans="2:11" hidden="1" outlineLevel="1">
      <c r="B115" s="78">
        <f t="shared" si="40"/>
        <v>47665</v>
      </c>
      <c r="C115" s="75">
        <v>1728329.2827168405</v>
      </c>
      <c r="D115" s="71">
        <f>IF(F115&lt;&gt;0,VLOOKUP($J115,'Table 1'!$B$13:$C$33,2,FALSE)/12*1000*Study_MW,0)</f>
        <v>0</v>
      </c>
      <c r="E115" s="71">
        <f t="shared" si="41"/>
        <v>1728329.2827168405</v>
      </c>
      <c r="F115" s="75">
        <v>74400</v>
      </c>
      <c r="G115" s="76">
        <f t="shared" si="42"/>
        <v>23.230232294581189</v>
      </c>
      <c r="I115" s="77">
        <f t="shared" si="46"/>
        <v>111</v>
      </c>
      <c r="J115" s="73">
        <f t="shared" si="43"/>
        <v>2030</v>
      </c>
      <c r="K115" s="78">
        <f t="shared" si="45"/>
        <v>47665</v>
      </c>
    </row>
    <row r="116" spans="2:11" hidden="1" outlineLevel="1">
      <c r="B116" s="78">
        <f t="shared" si="40"/>
        <v>47696</v>
      </c>
      <c r="C116" s="75">
        <v>2036784.514233321</v>
      </c>
      <c r="D116" s="71">
        <f>IF(F116&lt;&gt;0,VLOOKUP($J116,'Table 1'!$B$13:$C$33,2,FALSE)/12*1000*Study_MW,0)</f>
        <v>0</v>
      </c>
      <c r="E116" s="71">
        <f t="shared" si="41"/>
        <v>2036784.514233321</v>
      </c>
      <c r="F116" s="75">
        <v>74400</v>
      </c>
      <c r="G116" s="76">
        <f t="shared" si="42"/>
        <v>27.37613594399625</v>
      </c>
      <c r="I116" s="77">
        <f t="shared" si="46"/>
        <v>112</v>
      </c>
      <c r="J116" s="73">
        <f t="shared" si="43"/>
        <v>2030</v>
      </c>
      <c r="K116" s="78">
        <f t="shared" si="45"/>
        <v>47696</v>
      </c>
    </row>
    <row r="117" spans="2:11" hidden="1" outlineLevel="1">
      <c r="B117" s="78">
        <f t="shared" si="40"/>
        <v>47727</v>
      </c>
      <c r="C117" s="75">
        <v>1850116.9686160833</v>
      </c>
      <c r="D117" s="71">
        <f>IF(F117&lt;&gt;0,VLOOKUP($J117,'Table 1'!$B$13:$C$33,2,FALSE)/12*1000*Study_MW,0)</f>
        <v>0</v>
      </c>
      <c r="E117" s="71">
        <f t="shared" si="41"/>
        <v>1850116.9686160833</v>
      </c>
      <c r="F117" s="75">
        <v>72000</v>
      </c>
      <c r="G117" s="76">
        <f t="shared" si="42"/>
        <v>25.696069008556712</v>
      </c>
      <c r="I117" s="77">
        <f t="shared" si="46"/>
        <v>113</v>
      </c>
      <c r="J117" s="73">
        <f t="shared" si="43"/>
        <v>2030</v>
      </c>
      <c r="K117" s="78">
        <f t="shared" si="45"/>
        <v>47727</v>
      </c>
    </row>
    <row r="118" spans="2:11" hidden="1" outlineLevel="1">
      <c r="B118" s="78">
        <f t="shared" si="40"/>
        <v>47757</v>
      </c>
      <c r="C118" s="75">
        <v>1705612.8358694464</v>
      </c>
      <c r="D118" s="71">
        <f>IF(F118&lt;&gt;0,VLOOKUP($J118,'Table 1'!$B$13:$C$33,2,FALSE)/12*1000*Study_MW,0)</f>
        <v>0</v>
      </c>
      <c r="E118" s="71">
        <f t="shared" si="41"/>
        <v>1705612.8358694464</v>
      </c>
      <c r="F118" s="75">
        <v>74400</v>
      </c>
      <c r="G118" s="76">
        <f t="shared" si="42"/>
        <v>22.924903707922667</v>
      </c>
      <c r="I118" s="77">
        <f t="shared" si="46"/>
        <v>114</v>
      </c>
      <c r="J118" s="73">
        <f t="shared" si="43"/>
        <v>2030</v>
      </c>
      <c r="K118" s="78">
        <f t="shared" si="45"/>
        <v>47757</v>
      </c>
    </row>
    <row r="119" spans="2:11" hidden="1" outlineLevel="1">
      <c r="B119" s="78">
        <f t="shared" si="40"/>
        <v>47788</v>
      </c>
      <c r="C119" s="75">
        <v>1735288.0482738912</v>
      </c>
      <c r="D119" s="71">
        <f>IF(F119&lt;&gt;0,VLOOKUP($J119,'Table 1'!$B$13:$C$33,2,FALSE)/12*1000*Study_MW,0)</f>
        <v>0</v>
      </c>
      <c r="E119" s="71">
        <f t="shared" si="41"/>
        <v>1735288.0482738912</v>
      </c>
      <c r="F119" s="75">
        <v>72000</v>
      </c>
      <c r="G119" s="76">
        <f t="shared" si="42"/>
        <v>24.101222892692935</v>
      </c>
      <c r="I119" s="77">
        <f t="shared" si="46"/>
        <v>115</v>
      </c>
      <c r="J119" s="73">
        <f t="shared" si="43"/>
        <v>2030</v>
      </c>
      <c r="K119" s="78">
        <f t="shared" si="45"/>
        <v>47788</v>
      </c>
    </row>
    <row r="120" spans="2:11" hidden="1" outlineLevel="1">
      <c r="B120" s="82">
        <f t="shared" si="40"/>
        <v>47818</v>
      </c>
      <c r="C120" s="79">
        <v>2295143.7652426213</v>
      </c>
      <c r="D120" s="80">
        <f>IF(F120&lt;&gt;0,VLOOKUP($J120,'Table 1'!$B$13:$C$33,2,FALSE)/12*1000*Study_MW,0)</f>
        <v>0</v>
      </c>
      <c r="E120" s="80">
        <f t="shared" si="41"/>
        <v>2295143.7652426213</v>
      </c>
      <c r="F120" s="79">
        <v>74400</v>
      </c>
      <c r="G120" s="81">
        <f t="shared" si="42"/>
        <v>30.848706522078242</v>
      </c>
      <c r="I120" s="64">
        <f t="shared" si="46"/>
        <v>116</v>
      </c>
      <c r="J120" s="73">
        <f t="shared" si="43"/>
        <v>2030</v>
      </c>
      <c r="K120" s="82">
        <f t="shared" si="45"/>
        <v>47818</v>
      </c>
    </row>
    <row r="121" spans="2:11" hidden="1" outlineLevel="1">
      <c r="B121" s="74">
        <f t="shared" si="40"/>
        <v>47849</v>
      </c>
      <c r="C121" s="69">
        <v>1823797.8013967872</v>
      </c>
      <c r="D121" s="70">
        <f>IF(F121&lt;&gt;0,VLOOKUP($J121,'Table 1'!$B$13:$C$33,2,FALSE)/12*1000*Study_MW,0)</f>
        <v>0</v>
      </c>
      <c r="E121" s="70">
        <f t="shared" si="41"/>
        <v>1823797.8013967872</v>
      </c>
      <c r="F121" s="69">
        <v>74400</v>
      </c>
      <c r="G121" s="72">
        <f t="shared" si="42"/>
        <v>24.5134113090966</v>
      </c>
      <c r="I121" s="60">
        <f>I109+13</f>
        <v>118</v>
      </c>
      <c r="J121" s="73">
        <f t="shared" si="43"/>
        <v>2031</v>
      </c>
      <c r="K121" s="74">
        <f t="shared" si="45"/>
        <v>47849</v>
      </c>
    </row>
    <row r="122" spans="2:11" hidden="1" outlineLevel="1">
      <c r="B122" s="78">
        <f t="shared" si="40"/>
        <v>47880</v>
      </c>
      <c r="C122" s="75">
        <v>1779960.8178993762</v>
      </c>
      <c r="D122" s="71">
        <f>IF(F122&lt;&gt;0,VLOOKUP($J122,'Table 1'!$B$13:$C$33,2,FALSE)/12*1000*Study_MW,0)</f>
        <v>0</v>
      </c>
      <c r="E122" s="71">
        <f t="shared" si="41"/>
        <v>1779960.8178993762</v>
      </c>
      <c r="F122" s="75">
        <v>67200</v>
      </c>
      <c r="G122" s="76">
        <f t="shared" si="42"/>
        <v>26.487512171121669</v>
      </c>
      <c r="I122" s="77">
        <f t="shared" ref="I122:I132" si="47">I110+13</f>
        <v>119</v>
      </c>
      <c r="J122" s="73">
        <f t="shared" si="43"/>
        <v>2031</v>
      </c>
      <c r="K122" s="78">
        <f t="shared" si="45"/>
        <v>47880</v>
      </c>
    </row>
    <row r="123" spans="2:11" hidden="1" outlineLevel="1">
      <c r="B123" s="78">
        <f t="shared" si="40"/>
        <v>47908</v>
      </c>
      <c r="C123" s="75">
        <v>1496501.7295103222</v>
      </c>
      <c r="D123" s="71">
        <f>IF(F123&lt;&gt;0,VLOOKUP($J123,'Table 1'!$B$13:$C$33,2,FALSE)/12*1000*Study_MW,0)</f>
        <v>0</v>
      </c>
      <c r="E123" s="71">
        <f t="shared" si="41"/>
        <v>1496501.7295103222</v>
      </c>
      <c r="F123" s="75">
        <v>74400</v>
      </c>
      <c r="G123" s="76">
        <f t="shared" si="42"/>
        <v>20.114270557934439</v>
      </c>
      <c r="I123" s="77">
        <f t="shared" si="47"/>
        <v>120</v>
      </c>
      <c r="J123" s="73">
        <f t="shared" si="43"/>
        <v>2031</v>
      </c>
      <c r="K123" s="78">
        <f t="shared" si="45"/>
        <v>47908</v>
      </c>
    </row>
    <row r="124" spans="2:11" hidden="1" outlineLevel="1">
      <c r="B124" s="78">
        <f t="shared" si="40"/>
        <v>47939</v>
      </c>
      <c r="C124" s="75">
        <v>1078822.5101795793</v>
      </c>
      <c r="D124" s="71">
        <f>IF(F124&lt;&gt;0,VLOOKUP($J124,'Table 1'!$B$13:$C$33,2,FALSE)/12*1000*Study_MW,0)</f>
        <v>0</v>
      </c>
      <c r="E124" s="71">
        <f t="shared" si="41"/>
        <v>1078822.5101795793</v>
      </c>
      <c r="F124" s="75">
        <v>72000</v>
      </c>
      <c r="G124" s="76">
        <f t="shared" si="42"/>
        <v>14.983645974716378</v>
      </c>
      <c r="I124" s="77">
        <f t="shared" si="47"/>
        <v>121</v>
      </c>
      <c r="J124" s="73">
        <f t="shared" si="43"/>
        <v>2031</v>
      </c>
      <c r="K124" s="78">
        <f t="shared" si="45"/>
        <v>47939</v>
      </c>
    </row>
    <row r="125" spans="2:11" hidden="1" outlineLevel="1">
      <c r="B125" s="78">
        <f t="shared" si="40"/>
        <v>47969</v>
      </c>
      <c r="C125" s="75">
        <v>865874.90118785203</v>
      </c>
      <c r="D125" s="71">
        <f>IF(F125&lt;&gt;0,VLOOKUP($J125,'Table 1'!$B$13:$C$33,2,FALSE)/12*1000*Study_MW,0)</f>
        <v>0</v>
      </c>
      <c r="E125" s="71">
        <f t="shared" si="41"/>
        <v>865874.90118785203</v>
      </c>
      <c r="F125" s="75">
        <v>74400</v>
      </c>
      <c r="G125" s="76">
        <f t="shared" si="42"/>
        <v>11.638103510589408</v>
      </c>
      <c r="I125" s="77">
        <f t="shared" si="47"/>
        <v>122</v>
      </c>
      <c r="J125" s="73">
        <f t="shared" si="43"/>
        <v>2031</v>
      </c>
      <c r="K125" s="78">
        <f t="shared" si="45"/>
        <v>47969</v>
      </c>
    </row>
    <row r="126" spans="2:11" hidden="1" outlineLevel="1">
      <c r="B126" s="78">
        <f t="shared" si="40"/>
        <v>48000</v>
      </c>
      <c r="C126" s="75">
        <v>1101688.3602174819</v>
      </c>
      <c r="D126" s="71">
        <f>IF(F126&lt;&gt;0,VLOOKUP($J126,'Table 1'!$B$13:$C$33,2,FALSE)/12*1000*Study_MW,0)</f>
        <v>0</v>
      </c>
      <c r="E126" s="71">
        <f t="shared" si="41"/>
        <v>1101688.3602174819</v>
      </c>
      <c r="F126" s="75">
        <v>72000</v>
      </c>
      <c r="G126" s="76">
        <f t="shared" si="42"/>
        <v>15.301227225242803</v>
      </c>
      <c r="I126" s="77">
        <f t="shared" si="47"/>
        <v>123</v>
      </c>
      <c r="J126" s="73">
        <f t="shared" si="43"/>
        <v>2031</v>
      </c>
      <c r="K126" s="78">
        <f t="shared" si="45"/>
        <v>48000</v>
      </c>
    </row>
    <row r="127" spans="2:11" hidden="1" outlineLevel="1">
      <c r="B127" s="78">
        <f t="shared" si="40"/>
        <v>48030</v>
      </c>
      <c r="C127" s="75">
        <v>1661565.7149347812</v>
      </c>
      <c r="D127" s="71">
        <f>IF(F127&lt;&gt;0,VLOOKUP($J127,'Table 1'!$B$13:$C$33,2,FALSE)/12*1000*Study_MW,0)</f>
        <v>0</v>
      </c>
      <c r="E127" s="71">
        <f t="shared" si="41"/>
        <v>1661565.7149347812</v>
      </c>
      <c r="F127" s="75">
        <v>74400</v>
      </c>
      <c r="G127" s="76">
        <f t="shared" si="42"/>
        <v>22.332872512564265</v>
      </c>
      <c r="I127" s="77">
        <f t="shared" si="47"/>
        <v>124</v>
      </c>
      <c r="J127" s="73">
        <f t="shared" si="43"/>
        <v>2031</v>
      </c>
      <c r="K127" s="78">
        <f t="shared" si="45"/>
        <v>48030</v>
      </c>
    </row>
    <row r="128" spans="2:11" hidden="1" outlineLevel="1">
      <c r="B128" s="78">
        <f t="shared" si="40"/>
        <v>48061</v>
      </c>
      <c r="C128" s="75">
        <v>1928475.14662081</v>
      </c>
      <c r="D128" s="71">
        <f>IF(F128&lt;&gt;0,VLOOKUP($J128,'Table 1'!$B$13:$C$33,2,FALSE)/12*1000*Study_MW,0)</f>
        <v>0</v>
      </c>
      <c r="E128" s="71">
        <f t="shared" si="41"/>
        <v>1928475.14662081</v>
      </c>
      <c r="F128" s="75">
        <v>74400</v>
      </c>
      <c r="G128" s="76">
        <f t="shared" si="42"/>
        <v>25.920364873935618</v>
      </c>
      <c r="I128" s="77">
        <f t="shared" si="47"/>
        <v>125</v>
      </c>
      <c r="J128" s="73">
        <f t="shared" si="43"/>
        <v>2031</v>
      </c>
      <c r="K128" s="78">
        <f t="shared" si="45"/>
        <v>48061</v>
      </c>
    </row>
    <row r="129" spans="2:11" hidden="1" outlineLevel="1">
      <c r="B129" s="78">
        <f t="shared" si="40"/>
        <v>48092</v>
      </c>
      <c r="C129" s="75">
        <v>1769765.3537004888</v>
      </c>
      <c r="D129" s="71">
        <f>IF(F129&lt;&gt;0,VLOOKUP($J129,'Table 1'!$B$13:$C$33,2,FALSE)/12*1000*Study_MW,0)</f>
        <v>0</v>
      </c>
      <c r="E129" s="71">
        <f t="shared" si="41"/>
        <v>1769765.3537004888</v>
      </c>
      <c r="F129" s="75">
        <v>72000</v>
      </c>
      <c r="G129" s="76">
        <f t="shared" si="42"/>
        <v>24.580074356951233</v>
      </c>
      <c r="I129" s="77">
        <f t="shared" si="47"/>
        <v>126</v>
      </c>
      <c r="J129" s="73">
        <f t="shared" si="43"/>
        <v>2031</v>
      </c>
      <c r="K129" s="78">
        <f t="shared" si="45"/>
        <v>48092</v>
      </c>
    </row>
    <row r="130" spans="2:11" hidden="1" outlineLevel="1">
      <c r="B130" s="78">
        <f t="shared" si="40"/>
        <v>48122</v>
      </c>
      <c r="C130" s="75">
        <v>1552590.3229626864</v>
      </c>
      <c r="D130" s="71">
        <f>IF(F130&lt;&gt;0,VLOOKUP($J130,'Table 1'!$B$13:$C$33,2,FALSE)/12*1000*Study_MW,0)</f>
        <v>0</v>
      </c>
      <c r="E130" s="71">
        <f t="shared" si="41"/>
        <v>1552590.3229626864</v>
      </c>
      <c r="F130" s="75">
        <v>74400</v>
      </c>
      <c r="G130" s="76">
        <f t="shared" si="42"/>
        <v>20.868149502186647</v>
      </c>
      <c r="I130" s="77">
        <f t="shared" si="47"/>
        <v>127</v>
      </c>
      <c r="J130" s="73">
        <f t="shared" si="43"/>
        <v>2031</v>
      </c>
      <c r="K130" s="78">
        <f t="shared" si="45"/>
        <v>48122</v>
      </c>
    </row>
    <row r="131" spans="2:11" hidden="1" outlineLevel="1">
      <c r="B131" s="78">
        <f t="shared" si="40"/>
        <v>48153</v>
      </c>
      <c r="C131" s="75">
        <v>1676593.7117279023</v>
      </c>
      <c r="D131" s="71">
        <f>IF(F131&lt;&gt;0,VLOOKUP($J131,'Table 1'!$B$13:$C$33,2,FALSE)/12*1000*Study_MW,0)</f>
        <v>0</v>
      </c>
      <c r="E131" s="71">
        <f t="shared" si="41"/>
        <v>1676593.7117279023</v>
      </c>
      <c r="F131" s="75">
        <v>72000</v>
      </c>
      <c r="G131" s="76">
        <f t="shared" si="42"/>
        <v>23.286023773998643</v>
      </c>
      <c r="I131" s="77">
        <f t="shared" si="47"/>
        <v>128</v>
      </c>
      <c r="J131" s="73">
        <f t="shared" si="43"/>
        <v>2031</v>
      </c>
      <c r="K131" s="78">
        <f t="shared" si="45"/>
        <v>48153</v>
      </c>
    </row>
    <row r="132" spans="2:11" hidden="1" outlineLevel="1">
      <c r="B132" s="82">
        <f t="shared" si="40"/>
        <v>48183</v>
      </c>
      <c r="C132" s="79">
        <v>2255151.4692729563</v>
      </c>
      <c r="D132" s="80">
        <f>IF(F132&lt;&gt;0,VLOOKUP($J132,'Table 1'!$B$13:$C$33,2,FALSE)/12*1000*Study_MW,0)</f>
        <v>0</v>
      </c>
      <c r="E132" s="80">
        <f t="shared" si="41"/>
        <v>2255151.4692729563</v>
      </c>
      <c r="F132" s="79">
        <v>74400</v>
      </c>
      <c r="G132" s="81">
        <f t="shared" si="42"/>
        <v>30.311175662270916</v>
      </c>
      <c r="I132" s="64">
        <f t="shared" si="47"/>
        <v>129</v>
      </c>
      <c r="J132" s="73">
        <f t="shared" si="43"/>
        <v>2031</v>
      </c>
      <c r="K132" s="82">
        <f t="shared" si="45"/>
        <v>48183</v>
      </c>
    </row>
    <row r="133" spans="2:11" hidden="1" outlineLevel="1">
      <c r="B133" s="74">
        <f t="shared" si="40"/>
        <v>48214</v>
      </c>
      <c r="C133" s="69">
        <v>1868058.0721769929</v>
      </c>
      <c r="D133" s="70">
        <f>IF(F133&lt;&gt;0,VLOOKUP($J133,'Table 1'!$B$13:$C$33,2,FALSE)/12*1000*Study_MW,0)</f>
        <v>0</v>
      </c>
      <c r="E133" s="70">
        <f t="shared" si="41"/>
        <v>1868058.0721769929</v>
      </c>
      <c r="F133" s="69">
        <v>74400</v>
      </c>
      <c r="G133" s="72">
        <f t="shared" si="42"/>
        <v>25.108307421733777</v>
      </c>
      <c r="I133" s="60">
        <f>I13</f>
        <v>1</v>
      </c>
      <c r="J133" s="73">
        <f t="shared" si="43"/>
        <v>2032</v>
      </c>
      <c r="K133" s="74">
        <f t="shared" si="45"/>
        <v>48214</v>
      </c>
    </row>
    <row r="134" spans="2:11" hidden="1" outlineLevel="1">
      <c r="B134" s="78">
        <f t="shared" si="40"/>
        <v>48245</v>
      </c>
      <c r="C134" s="75">
        <v>1832130.9096215218</v>
      </c>
      <c r="D134" s="71">
        <f>IF(F134&lt;&gt;0,VLOOKUP($J134,'Table 1'!$B$13:$C$33,2,FALSE)/12*1000*Study_MW,0)</f>
        <v>0</v>
      </c>
      <c r="E134" s="71">
        <f t="shared" si="41"/>
        <v>1832130.9096215218</v>
      </c>
      <c r="F134" s="75">
        <v>69600</v>
      </c>
      <c r="G134" s="76">
        <f t="shared" si="42"/>
        <v>26.323719965826463</v>
      </c>
      <c r="I134" s="77">
        <f t="shared" ref="I134:I197" si="48">I14</f>
        <v>2</v>
      </c>
      <c r="J134" s="73">
        <f t="shared" si="43"/>
        <v>2032</v>
      </c>
      <c r="K134" s="78">
        <f t="shared" si="45"/>
        <v>48245</v>
      </c>
    </row>
    <row r="135" spans="2:11" hidden="1" outlineLevel="1">
      <c r="B135" s="78">
        <f t="shared" si="40"/>
        <v>48274</v>
      </c>
      <c r="C135" s="75">
        <v>1446375.0058061779</v>
      </c>
      <c r="D135" s="71">
        <f>IF(F135&lt;&gt;0,VLOOKUP($J135,'Table 1'!$B$13:$C$33,2,FALSE)/12*1000*Study_MW,0)</f>
        <v>0</v>
      </c>
      <c r="E135" s="71">
        <f t="shared" si="41"/>
        <v>1446375.0058061779</v>
      </c>
      <c r="F135" s="75">
        <v>74400</v>
      </c>
      <c r="G135" s="76">
        <f t="shared" si="42"/>
        <v>19.440524271588412</v>
      </c>
      <c r="I135" s="77">
        <f t="shared" si="48"/>
        <v>3</v>
      </c>
      <c r="J135" s="73">
        <f t="shared" si="43"/>
        <v>2032</v>
      </c>
      <c r="K135" s="78">
        <f t="shared" si="45"/>
        <v>48274</v>
      </c>
    </row>
    <row r="136" spans="2:11" hidden="1" outlineLevel="1">
      <c r="B136" s="78">
        <f t="shared" si="40"/>
        <v>48305</v>
      </c>
      <c r="C136" s="75">
        <v>972231.52710922062</v>
      </c>
      <c r="D136" s="71">
        <f>IF(F136&lt;&gt;0,VLOOKUP($J136,'Table 1'!$B$13:$C$33,2,FALSE)/12*1000*Study_MW,0)</f>
        <v>0</v>
      </c>
      <c r="E136" s="71">
        <f t="shared" si="41"/>
        <v>972231.52710922062</v>
      </c>
      <c r="F136" s="75">
        <v>72000</v>
      </c>
      <c r="G136" s="76">
        <f t="shared" si="42"/>
        <v>13.503215654294731</v>
      </c>
      <c r="I136" s="77">
        <f t="shared" si="48"/>
        <v>4</v>
      </c>
      <c r="J136" s="73">
        <f t="shared" si="43"/>
        <v>2032</v>
      </c>
      <c r="K136" s="78">
        <f t="shared" si="45"/>
        <v>48305</v>
      </c>
    </row>
    <row r="137" spans="2:11" hidden="1" outlineLevel="1">
      <c r="B137" s="78">
        <f t="shared" si="40"/>
        <v>48335</v>
      </c>
      <c r="C137" s="75">
        <v>863704.28736449778</v>
      </c>
      <c r="D137" s="71">
        <f>IF(F137&lt;&gt;0,VLOOKUP($J137,'Table 1'!$B$13:$C$33,2,FALSE)/12*1000*Study_MW,0)</f>
        <v>0</v>
      </c>
      <c r="E137" s="71">
        <f t="shared" si="41"/>
        <v>863704.28736449778</v>
      </c>
      <c r="F137" s="75">
        <v>74400</v>
      </c>
      <c r="G137" s="76">
        <f t="shared" si="42"/>
        <v>11.608928593608841</v>
      </c>
      <c r="I137" s="77">
        <f t="shared" si="48"/>
        <v>5</v>
      </c>
      <c r="J137" s="73">
        <f t="shared" si="43"/>
        <v>2032</v>
      </c>
      <c r="K137" s="78">
        <f t="shared" si="45"/>
        <v>48335</v>
      </c>
    </row>
    <row r="138" spans="2:11" hidden="1" outlineLevel="1">
      <c r="B138" s="78">
        <f t="shared" si="40"/>
        <v>48366</v>
      </c>
      <c r="C138" s="75">
        <v>1103336.6988563836</v>
      </c>
      <c r="D138" s="71">
        <f>IF(F138&lt;&gt;0,VLOOKUP($J138,'Table 1'!$B$13:$C$33,2,FALSE)/12*1000*Study_MW,0)</f>
        <v>0</v>
      </c>
      <c r="E138" s="71">
        <f t="shared" si="41"/>
        <v>1103336.6988563836</v>
      </c>
      <c r="F138" s="75">
        <v>72000</v>
      </c>
      <c r="G138" s="76">
        <f t="shared" si="42"/>
        <v>15.324120817449773</v>
      </c>
      <c r="I138" s="77">
        <f t="shared" si="48"/>
        <v>6</v>
      </c>
      <c r="J138" s="73">
        <f t="shared" si="43"/>
        <v>2032</v>
      </c>
      <c r="K138" s="78">
        <f t="shared" si="45"/>
        <v>48366</v>
      </c>
    </row>
    <row r="139" spans="2:11" hidden="1" outlineLevel="1">
      <c r="B139" s="78">
        <f t="shared" si="40"/>
        <v>48396</v>
      </c>
      <c r="C139" s="75">
        <v>1650223.8477151394</v>
      </c>
      <c r="D139" s="71">
        <f>IF(F139&lt;&gt;0,VLOOKUP($J139,'Table 1'!$B$13:$C$33,2,FALSE)/12*1000*Study_MW,0)</f>
        <v>0</v>
      </c>
      <c r="E139" s="71">
        <f t="shared" si="41"/>
        <v>1650223.8477151394</v>
      </c>
      <c r="F139" s="75">
        <v>74400</v>
      </c>
      <c r="G139" s="76">
        <f t="shared" si="42"/>
        <v>22.180428060687358</v>
      </c>
      <c r="I139" s="77">
        <f t="shared" si="48"/>
        <v>7</v>
      </c>
      <c r="J139" s="73">
        <f t="shared" si="43"/>
        <v>2032</v>
      </c>
      <c r="K139" s="78">
        <f t="shared" si="45"/>
        <v>48396</v>
      </c>
    </row>
    <row r="140" spans="2:11" hidden="1" outlineLevel="1">
      <c r="B140" s="78">
        <f t="shared" si="40"/>
        <v>48427</v>
      </c>
      <c r="C140" s="75">
        <v>1969743.3597079366</v>
      </c>
      <c r="D140" s="71">
        <f>IF(F140&lt;&gt;0,VLOOKUP($J140,'Table 1'!$B$13:$C$33,2,FALSE)/12*1000*Study_MW,0)</f>
        <v>0</v>
      </c>
      <c r="E140" s="71">
        <f t="shared" si="41"/>
        <v>1969743.3597079366</v>
      </c>
      <c r="F140" s="75">
        <v>74400</v>
      </c>
      <c r="G140" s="76">
        <f t="shared" si="42"/>
        <v>26.47504515736474</v>
      </c>
      <c r="I140" s="77">
        <f t="shared" si="48"/>
        <v>8</v>
      </c>
      <c r="J140" s="73">
        <f t="shared" si="43"/>
        <v>2032</v>
      </c>
      <c r="K140" s="78">
        <f t="shared" si="45"/>
        <v>48427</v>
      </c>
    </row>
    <row r="141" spans="2:11" hidden="1" outlineLevel="1">
      <c r="B141" s="78">
        <f t="shared" si="40"/>
        <v>48458</v>
      </c>
      <c r="C141" s="75">
        <v>1751008.8539344668</v>
      </c>
      <c r="D141" s="71">
        <f>IF(F141&lt;&gt;0,VLOOKUP($J141,'Table 1'!$B$13:$C$33,2,FALSE)/12*1000*Study_MW,0)</f>
        <v>0</v>
      </c>
      <c r="E141" s="71">
        <f t="shared" si="41"/>
        <v>1751008.8539344668</v>
      </c>
      <c r="F141" s="75">
        <v>72000</v>
      </c>
      <c r="G141" s="76">
        <f t="shared" si="42"/>
        <v>24.319567415756485</v>
      </c>
      <c r="I141" s="77">
        <f t="shared" si="48"/>
        <v>9</v>
      </c>
      <c r="J141" s="73">
        <f t="shared" si="43"/>
        <v>2032</v>
      </c>
      <c r="K141" s="78">
        <f t="shared" si="45"/>
        <v>48458</v>
      </c>
    </row>
    <row r="142" spans="2:11" hidden="1" outlineLevel="1">
      <c r="B142" s="78">
        <f t="shared" ref="B142:B205" si="49">EDATE(B141,1)</f>
        <v>48488</v>
      </c>
      <c r="C142" s="75">
        <v>1647911.1749995649</v>
      </c>
      <c r="D142" s="71">
        <f>IF(F142&lt;&gt;0,VLOOKUP($J142,'Table 1'!$B$13:$C$33,2,FALSE)/12*1000*Study_MW,0)</f>
        <v>0</v>
      </c>
      <c r="E142" s="71">
        <f t="shared" ref="E142:E192" si="50">C142+D142</f>
        <v>1647911.1749995649</v>
      </c>
      <c r="F142" s="75">
        <v>74400</v>
      </c>
      <c r="G142" s="76">
        <f t="shared" ref="G142:G192" si="51">IF(ISNUMBER($F142),E142/$F142,"")</f>
        <v>22.149343749994152</v>
      </c>
      <c r="I142" s="77">
        <f t="shared" si="48"/>
        <v>10</v>
      </c>
      <c r="J142" s="73">
        <f t="shared" ref="J142:J192" si="52">YEAR(B142)</f>
        <v>2032</v>
      </c>
      <c r="K142" s="78">
        <f t="shared" si="45"/>
        <v>48488</v>
      </c>
    </row>
    <row r="143" spans="2:11" hidden="1" outlineLevel="1">
      <c r="B143" s="78">
        <f t="shared" si="49"/>
        <v>48519</v>
      </c>
      <c r="C143" s="75">
        <v>1752960.829403162</v>
      </c>
      <c r="D143" s="71">
        <f>IF(F143&lt;&gt;0,VLOOKUP($J143,'Table 1'!$B$13:$C$33,2,FALSE)/12*1000*Study_MW,0)</f>
        <v>0</v>
      </c>
      <c r="E143" s="71">
        <f t="shared" si="50"/>
        <v>1752960.829403162</v>
      </c>
      <c r="F143" s="75">
        <v>72000</v>
      </c>
      <c r="G143" s="76">
        <f t="shared" si="51"/>
        <v>24.346678186155028</v>
      </c>
      <c r="I143" s="77">
        <f t="shared" si="48"/>
        <v>11</v>
      </c>
      <c r="J143" s="73">
        <f t="shared" si="52"/>
        <v>2032</v>
      </c>
      <c r="K143" s="78">
        <f t="shared" si="45"/>
        <v>48519</v>
      </c>
    </row>
    <row r="144" spans="2:11" hidden="1" outlineLevel="1">
      <c r="B144" s="82">
        <f t="shared" si="49"/>
        <v>48549</v>
      </c>
      <c r="C144" s="79">
        <v>2381085.083478421</v>
      </c>
      <c r="D144" s="80">
        <f>IF(F144&lt;&gt;0,VLOOKUP($J144,'Table 1'!$B$13:$C$33,2,FALSE)/12*1000*Study_MW,0)</f>
        <v>0</v>
      </c>
      <c r="E144" s="80">
        <f t="shared" si="50"/>
        <v>2381085.083478421</v>
      </c>
      <c r="F144" s="79">
        <v>74400</v>
      </c>
      <c r="G144" s="81">
        <f t="shared" si="51"/>
        <v>32.00383176718308</v>
      </c>
      <c r="I144" s="64">
        <f t="shared" si="48"/>
        <v>12</v>
      </c>
      <c r="J144" s="73">
        <f t="shared" si="52"/>
        <v>2032</v>
      </c>
      <c r="K144" s="82">
        <f t="shared" si="45"/>
        <v>48549</v>
      </c>
    </row>
    <row r="145" spans="2:11" hidden="1" outlineLevel="1">
      <c r="B145" s="74">
        <f t="shared" si="49"/>
        <v>48580</v>
      </c>
      <c r="C145" s="69">
        <v>1845807.3514036089</v>
      </c>
      <c r="D145" s="70">
        <f>IF(F145&lt;&gt;0,VLOOKUP($J145,'Table 1'!$B$13:$C$33,2,FALSE)/12*1000*Study_MW,0)</f>
        <v>998840.11420413991</v>
      </c>
      <c r="E145" s="70">
        <f t="shared" si="50"/>
        <v>2844647.4656077488</v>
      </c>
      <c r="F145" s="69">
        <v>74400</v>
      </c>
      <c r="G145" s="72">
        <f t="shared" si="51"/>
        <v>38.234508946340711</v>
      </c>
      <c r="I145" s="60">
        <f>I25</f>
        <v>14</v>
      </c>
      <c r="J145" s="73">
        <f t="shared" si="52"/>
        <v>2033</v>
      </c>
      <c r="K145" s="74">
        <f t="shared" si="45"/>
        <v>48580</v>
      </c>
    </row>
    <row r="146" spans="2:11" hidden="1" outlineLevel="1">
      <c r="B146" s="78">
        <f t="shared" si="49"/>
        <v>48611</v>
      </c>
      <c r="C146" s="75">
        <v>1853710.6938399673</v>
      </c>
      <c r="D146" s="71">
        <f>IF(F146&lt;&gt;0,VLOOKUP($J146,'Table 1'!$B$13:$C$33,2,FALSE)/12*1000*Study_MW,0)</f>
        <v>998840.11420413991</v>
      </c>
      <c r="E146" s="71">
        <f t="shared" si="50"/>
        <v>2852550.8080441072</v>
      </c>
      <c r="F146" s="75">
        <v>67200</v>
      </c>
      <c r="G146" s="76">
        <f t="shared" si="51"/>
        <v>42.448672738751597</v>
      </c>
      <c r="I146" s="77">
        <f t="shared" si="48"/>
        <v>15</v>
      </c>
      <c r="J146" s="73">
        <f t="shared" si="52"/>
        <v>2033</v>
      </c>
      <c r="K146" s="78">
        <f t="shared" si="45"/>
        <v>48611</v>
      </c>
    </row>
    <row r="147" spans="2:11" hidden="1" outlineLevel="1">
      <c r="B147" s="78">
        <f t="shared" si="49"/>
        <v>48639</v>
      </c>
      <c r="C147" s="75">
        <v>1382961.8007524163</v>
      </c>
      <c r="D147" s="71">
        <f>IF(F147&lt;&gt;0,VLOOKUP($J147,'Table 1'!$B$13:$C$33,2,FALSE)/12*1000*Study_MW,0)</f>
        <v>998840.11420413991</v>
      </c>
      <c r="E147" s="71">
        <f t="shared" si="50"/>
        <v>2381801.9149565562</v>
      </c>
      <c r="F147" s="75">
        <v>74400</v>
      </c>
      <c r="G147" s="76">
        <f t="shared" si="51"/>
        <v>32.013466598878445</v>
      </c>
      <c r="I147" s="77">
        <f t="shared" si="48"/>
        <v>16</v>
      </c>
      <c r="J147" s="73">
        <f t="shared" si="52"/>
        <v>2033</v>
      </c>
      <c r="K147" s="78">
        <f t="shared" si="45"/>
        <v>48639</v>
      </c>
    </row>
    <row r="148" spans="2:11" hidden="1" outlineLevel="1">
      <c r="B148" s="78">
        <f t="shared" si="49"/>
        <v>48670</v>
      </c>
      <c r="C148" s="75">
        <v>908691.65950153768</v>
      </c>
      <c r="D148" s="71">
        <f>IF(F148&lt;&gt;0,VLOOKUP($J148,'Table 1'!$B$13:$C$33,2,FALSE)/12*1000*Study_MW,0)</f>
        <v>998840.11420413991</v>
      </c>
      <c r="E148" s="71">
        <f t="shared" si="50"/>
        <v>1907531.7737056776</v>
      </c>
      <c r="F148" s="75">
        <v>72000</v>
      </c>
      <c r="G148" s="76">
        <f t="shared" si="51"/>
        <v>26.493496857023299</v>
      </c>
      <c r="I148" s="77">
        <f t="shared" si="48"/>
        <v>17</v>
      </c>
      <c r="J148" s="73">
        <f t="shared" si="52"/>
        <v>2033</v>
      </c>
      <c r="K148" s="78">
        <f t="shared" si="45"/>
        <v>48670</v>
      </c>
    </row>
    <row r="149" spans="2:11" hidden="1" outlineLevel="1">
      <c r="B149" s="78">
        <f t="shared" si="49"/>
        <v>48700</v>
      </c>
      <c r="C149" s="75">
        <v>820173.92150093615</v>
      </c>
      <c r="D149" s="71">
        <f>IF(F149&lt;&gt;0,VLOOKUP($J149,'Table 1'!$B$13:$C$33,2,FALSE)/12*1000*Study_MW,0)</f>
        <v>998840.11420413991</v>
      </c>
      <c r="E149" s="71">
        <f t="shared" si="50"/>
        <v>1819014.0357050761</v>
      </c>
      <c r="F149" s="75">
        <v>74400</v>
      </c>
      <c r="G149" s="76">
        <f t="shared" si="51"/>
        <v>24.449113383132744</v>
      </c>
      <c r="I149" s="77">
        <f t="shared" si="48"/>
        <v>18</v>
      </c>
      <c r="J149" s="73">
        <f t="shared" si="52"/>
        <v>2033</v>
      </c>
      <c r="K149" s="78">
        <f t="shared" si="45"/>
        <v>48700</v>
      </c>
    </row>
    <row r="150" spans="2:11" hidden="1" outlineLevel="1">
      <c r="B150" s="78">
        <f t="shared" si="49"/>
        <v>48731</v>
      </c>
      <c r="C150" s="75">
        <v>1039377.6871384829</v>
      </c>
      <c r="D150" s="71">
        <f>IF(F150&lt;&gt;0,VLOOKUP($J150,'Table 1'!$B$13:$C$33,2,FALSE)/12*1000*Study_MW,0)</f>
        <v>998840.11420413991</v>
      </c>
      <c r="E150" s="71">
        <f t="shared" si="50"/>
        <v>2038217.8013426228</v>
      </c>
      <c r="F150" s="75">
        <v>72000</v>
      </c>
      <c r="G150" s="76">
        <f t="shared" si="51"/>
        <v>28.308580574203095</v>
      </c>
      <c r="I150" s="77">
        <f t="shared" si="48"/>
        <v>19</v>
      </c>
      <c r="J150" s="73">
        <f t="shared" si="52"/>
        <v>2033</v>
      </c>
      <c r="K150" s="78">
        <f t="shared" si="45"/>
        <v>48731</v>
      </c>
    </row>
    <row r="151" spans="2:11" hidden="1" outlineLevel="1">
      <c r="B151" s="78">
        <f t="shared" si="49"/>
        <v>48761</v>
      </c>
      <c r="C151" s="75">
        <v>1574011.9341886044</v>
      </c>
      <c r="D151" s="71">
        <f>IF(F151&lt;&gt;0,VLOOKUP($J151,'Table 1'!$B$13:$C$33,2,FALSE)/12*1000*Study_MW,0)</f>
        <v>998840.11420413991</v>
      </c>
      <c r="E151" s="71">
        <f t="shared" si="50"/>
        <v>2572852.0483927443</v>
      </c>
      <c r="F151" s="75">
        <v>74400</v>
      </c>
      <c r="G151" s="76">
        <f t="shared" si="51"/>
        <v>34.581344736461617</v>
      </c>
      <c r="I151" s="77">
        <f t="shared" si="48"/>
        <v>20</v>
      </c>
      <c r="J151" s="73">
        <f t="shared" si="52"/>
        <v>2033</v>
      </c>
      <c r="K151" s="78">
        <f t="shared" si="45"/>
        <v>48761</v>
      </c>
    </row>
    <row r="152" spans="2:11" hidden="1" outlineLevel="1">
      <c r="B152" s="78">
        <f t="shared" si="49"/>
        <v>48792</v>
      </c>
      <c r="C152" s="75">
        <v>1865607.5243034959</v>
      </c>
      <c r="D152" s="71">
        <f>IF(F152&lt;&gt;0,VLOOKUP($J152,'Table 1'!$B$13:$C$33,2,FALSE)/12*1000*Study_MW,0)</f>
        <v>998840.11420413991</v>
      </c>
      <c r="E152" s="71">
        <f t="shared" si="50"/>
        <v>2864447.6385076358</v>
      </c>
      <c r="F152" s="75">
        <v>74400</v>
      </c>
      <c r="G152" s="76">
        <f t="shared" si="51"/>
        <v>38.500640302521987</v>
      </c>
      <c r="I152" s="77">
        <f t="shared" si="48"/>
        <v>21</v>
      </c>
      <c r="J152" s="73">
        <f t="shared" si="52"/>
        <v>2033</v>
      </c>
      <c r="K152" s="78">
        <f t="shared" si="45"/>
        <v>48792</v>
      </c>
    </row>
    <row r="153" spans="2:11" hidden="1" outlineLevel="1">
      <c r="B153" s="78">
        <f t="shared" si="49"/>
        <v>48823</v>
      </c>
      <c r="C153" s="75">
        <v>1537222.8840043694</v>
      </c>
      <c r="D153" s="71">
        <f>IF(F153&lt;&gt;0,VLOOKUP($J153,'Table 1'!$B$13:$C$33,2,FALSE)/12*1000*Study_MW,0)</f>
        <v>998840.11420413991</v>
      </c>
      <c r="E153" s="71">
        <f t="shared" si="50"/>
        <v>2536062.9982085093</v>
      </c>
      <c r="F153" s="75">
        <v>72000</v>
      </c>
      <c r="G153" s="76">
        <f t="shared" si="51"/>
        <v>35.223097197340408</v>
      </c>
      <c r="I153" s="77">
        <f t="shared" si="48"/>
        <v>22</v>
      </c>
      <c r="J153" s="73">
        <f t="shared" si="52"/>
        <v>2033</v>
      </c>
      <c r="K153" s="78">
        <f t="shared" si="45"/>
        <v>48823</v>
      </c>
    </row>
    <row r="154" spans="2:11" hidden="1" outlineLevel="1">
      <c r="B154" s="78">
        <f t="shared" si="49"/>
        <v>48853</v>
      </c>
      <c r="C154" s="75">
        <v>1579853.7580019236</v>
      </c>
      <c r="D154" s="71">
        <f>IF(F154&lt;&gt;0,VLOOKUP($J154,'Table 1'!$B$13:$C$33,2,FALSE)/12*1000*Study_MW,0)</f>
        <v>998840.11420413991</v>
      </c>
      <c r="E154" s="71">
        <f t="shared" si="50"/>
        <v>2578693.8722060635</v>
      </c>
      <c r="F154" s="75">
        <v>74400</v>
      </c>
      <c r="G154" s="76">
        <f t="shared" si="51"/>
        <v>34.659863873737415</v>
      </c>
      <c r="I154" s="77">
        <f t="shared" si="48"/>
        <v>23</v>
      </c>
      <c r="J154" s="73">
        <f t="shared" si="52"/>
        <v>2033</v>
      </c>
      <c r="K154" s="78">
        <f t="shared" ref="K154:K192" si="53">IF(ISNUMBER(F154),IF(F154&lt;&gt;0,B154,""),"")</f>
        <v>48853</v>
      </c>
    </row>
    <row r="155" spans="2:11" hidden="1" outlineLevel="1">
      <c r="B155" s="78">
        <f t="shared" si="49"/>
        <v>48884</v>
      </c>
      <c r="C155" s="75">
        <v>1718862.5897509605</v>
      </c>
      <c r="D155" s="71">
        <f>IF(F155&lt;&gt;0,VLOOKUP($J155,'Table 1'!$B$13:$C$33,2,FALSE)/12*1000*Study_MW,0)</f>
        <v>998840.11420413991</v>
      </c>
      <c r="E155" s="71">
        <f t="shared" si="50"/>
        <v>2717702.7039551004</v>
      </c>
      <c r="F155" s="75">
        <v>72000</v>
      </c>
      <c r="G155" s="76">
        <f t="shared" si="51"/>
        <v>37.74587088826528</v>
      </c>
      <c r="I155" s="77">
        <f t="shared" si="48"/>
        <v>24</v>
      </c>
      <c r="J155" s="73">
        <f t="shared" si="52"/>
        <v>2033</v>
      </c>
      <c r="K155" s="78">
        <f t="shared" si="53"/>
        <v>48884</v>
      </c>
    </row>
    <row r="156" spans="2:11" hidden="1" outlineLevel="1">
      <c r="B156" s="82">
        <f t="shared" si="49"/>
        <v>48914</v>
      </c>
      <c r="C156" s="79">
        <v>2337984.2280506641</v>
      </c>
      <c r="D156" s="80">
        <f>IF(F156&lt;&gt;0,VLOOKUP($J156,'Table 1'!$B$13:$C$33,2,FALSE)/12*1000*Study_MW,0)</f>
        <v>998840.11420413991</v>
      </c>
      <c r="E156" s="80">
        <f t="shared" si="50"/>
        <v>3336824.342254804</v>
      </c>
      <c r="F156" s="79">
        <v>74400</v>
      </c>
      <c r="G156" s="81">
        <f t="shared" si="51"/>
        <v>44.849789546435538</v>
      </c>
      <c r="I156" s="64">
        <f t="shared" si="48"/>
        <v>25</v>
      </c>
      <c r="J156" s="73">
        <f t="shared" si="52"/>
        <v>2033</v>
      </c>
      <c r="K156" s="82">
        <f t="shared" si="53"/>
        <v>48914</v>
      </c>
    </row>
    <row r="157" spans="2:11" hidden="1" outlineLevel="1">
      <c r="B157" s="74">
        <f t="shared" si="49"/>
        <v>48945</v>
      </c>
      <c r="C157" s="69">
        <v>1947562.084541738</v>
      </c>
      <c r="D157" s="70">
        <f>IF(F157&lt;&gt;0,VLOOKUP($J157,'Table 1'!$B$13:$C$33,2,FALSE)/12*1000*Study_MW,0)</f>
        <v>1020342.6124197001</v>
      </c>
      <c r="E157" s="70">
        <f t="shared" si="50"/>
        <v>2967904.6969614383</v>
      </c>
      <c r="F157" s="69">
        <v>74400</v>
      </c>
      <c r="G157" s="72">
        <f t="shared" si="51"/>
        <v>39.89119216346019</v>
      </c>
      <c r="I157" s="60">
        <f>I37</f>
        <v>27</v>
      </c>
      <c r="J157" s="73">
        <f t="shared" si="52"/>
        <v>2034</v>
      </c>
      <c r="K157" s="74">
        <f t="shared" si="53"/>
        <v>48945</v>
      </c>
    </row>
    <row r="158" spans="2:11" hidden="1" outlineLevel="1">
      <c r="B158" s="78">
        <f t="shared" si="49"/>
        <v>48976</v>
      </c>
      <c r="C158" s="75">
        <v>1918875.7567910999</v>
      </c>
      <c r="D158" s="71">
        <f>IF(F158&lt;&gt;0,VLOOKUP($J158,'Table 1'!$B$13:$C$33,2,FALSE)/12*1000*Study_MW,0)</f>
        <v>1020342.6124197001</v>
      </c>
      <c r="E158" s="71">
        <f t="shared" si="50"/>
        <v>2939218.3692108002</v>
      </c>
      <c r="F158" s="75">
        <v>67200</v>
      </c>
      <c r="G158" s="76">
        <f t="shared" si="51"/>
        <v>43.738368589446431</v>
      </c>
      <c r="I158" s="77">
        <f t="shared" si="48"/>
        <v>28</v>
      </c>
      <c r="J158" s="73">
        <f t="shared" si="52"/>
        <v>2034</v>
      </c>
      <c r="K158" s="78">
        <f t="shared" si="53"/>
        <v>48976</v>
      </c>
    </row>
    <row r="159" spans="2:11" hidden="1" outlineLevel="1">
      <c r="B159" s="78">
        <f t="shared" si="49"/>
        <v>49004</v>
      </c>
      <c r="C159" s="75">
        <v>1528850.0792488307</v>
      </c>
      <c r="D159" s="71">
        <f>IF(F159&lt;&gt;0,VLOOKUP($J159,'Table 1'!$B$13:$C$33,2,FALSE)/12*1000*Study_MW,0)</f>
        <v>1020342.6124197001</v>
      </c>
      <c r="E159" s="71">
        <f t="shared" si="50"/>
        <v>2549192.6916685309</v>
      </c>
      <c r="F159" s="75">
        <v>74400</v>
      </c>
      <c r="G159" s="76">
        <f t="shared" si="51"/>
        <v>34.263342629953371</v>
      </c>
      <c r="I159" s="77">
        <f t="shared" si="48"/>
        <v>29</v>
      </c>
      <c r="J159" s="73">
        <f t="shared" si="52"/>
        <v>2034</v>
      </c>
      <c r="K159" s="78">
        <f t="shared" si="53"/>
        <v>49004</v>
      </c>
    </row>
    <row r="160" spans="2:11" hidden="1" outlineLevel="1">
      <c r="B160" s="78">
        <f t="shared" si="49"/>
        <v>49035</v>
      </c>
      <c r="C160" s="75">
        <v>978946.37663681805</v>
      </c>
      <c r="D160" s="71">
        <f>IF(F160&lt;&gt;0,VLOOKUP($J160,'Table 1'!$B$13:$C$33,2,FALSE)/12*1000*Study_MW,0)</f>
        <v>1020342.6124197001</v>
      </c>
      <c r="E160" s="71">
        <f t="shared" si="50"/>
        <v>1999288.9890565183</v>
      </c>
      <c r="F160" s="75">
        <v>72000</v>
      </c>
      <c r="G160" s="76">
        <f t="shared" si="51"/>
        <v>27.767902625784977</v>
      </c>
      <c r="I160" s="77">
        <f t="shared" si="48"/>
        <v>30</v>
      </c>
      <c r="J160" s="73">
        <f t="shared" si="52"/>
        <v>2034</v>
      </c>
      <c r="K160" s="78">
        <f t="shared" si="53"/>
        <v>49035</v>
      </c>
    </row>
    <row r="161" spans="2:11" hidden="1" outlineLevel="1">
      <c r="B161" s="78">
        <f t="shared" si="49"/>
        <v>49065</v>
      </c>
      <c r="C161" s="75">
        <v>846020.41526113451</v>
      </c>
      <c r="D161" s="71">
        <f>IF(F161&lt;&gt;0,VLOOKUP($J161,'Table 1'!$B$13:$C$33,2,FALSE)/12*1000*Study_MW,0)</f>
        <v>1020342.6124197001</v>
      </c>
      <c r="E161" s="71">
        <f t="shared" si="50"/>
        <v>1866363.0276808348</v>
      </c>
      <c r="F161" s="75">
        <v>74400</v>
      </c>
      <c r="G161" s="76">
        <f t="shared" si="51"/>
        <v>25.085524565602618</v>
      </c>
      <c r="I161" s="77">
        <f t="shared" si="48"/>
        <v>31</v>
      </c>
      <c r="J161" s="73">
        <f t="shared" si="52"/>
        <v>2034</v>
      </c>
      <c r="K161" s="78">
        <f t="shared" si="53"/>
        <v>49065</v>
      </c>
    </row>
    <row r="162" spans="2:11" hidden="1" outlineLevel="1">
      <c r="B162" s="78">
        <f t="shared" si="49"/>
        <v>49096</v>
      </c>
      <c r="C162" s="75">
        <v>1069857.0619242191</v>
      </c>
      <c r="D162" s="71">
        <f>IF(F162&lt;&gt;0,VLOOKUP($J162,'Table 1'!$B$13:$C$33,2,FALSE)/12*1000*Study_MW,0)</f>
        <v>1020342.6124197001</v>
      </c>
      <c r="E162" s="71">
        <f t="shared" si="50"/>
        <v>2090199.6743439194</v>
      </c>
      <c r="F162" s="75">
        <v>72000</v>
      </c>
      <c r="G162" s="76">
        <f t="shared" si="51"/>
        <v>29.030551032554435</v>
      </c>
      <c r="I162" s="77">
        <f t="shared" si="48"/>
        <v>32</v>
      </c>
      <c r="J162" s="73">
        <f t="shared" si="52"/>
        <v>2034</v>
      </c>
      <c r="K162" s="78">
        <f t="shared" si="53"/>
        <v>49096</v>
      </c>
    </row>
    <row r="163" spans="2:11" hidden="1" outlineLevel="1">
      <c r="B163" s="78">
        <f t="shared" si="49"/>
        <v>49126</v>
      </c>
      <c r="C163" s="75">
        <v>1571117.5850465</v>
      </c>
      <c r="D163" s="71">
        <f>IF(F163&lt;&gt;0,VLOOKUP($J163,'Table 1'!$B$13:$C$33,2,FALSE)/12*1000*Study_MW,0)</f>
        <v>1020342.6124197001</v>
      </c>
      <c r="E163" s="71">
        <f t="shared" si="50"/>
        <v>2591460.1974662002</v>
      </c>
      <c r="F163" s="75">
        <v>74400</v>
      </c>
      <c r="G163" s="76">
        <f t="shared" si="51"/>
        <v>34.83145426701882</v>
      </c>
      <c r="I163" s="77">
        <f t="shared" si="48"/>
        <v>33</v>
      </c>
      <c r="J163" s="73">
        <f t="shared" si="52"/>
        <v>2034</v>
      </c>
      <c r="K163" s="78">
        <f t="shared" si="53"/>
        <v>49126</v>
      </c>
    </row>
    <row r="164" spans="2:11" hidden="1" outlineLevel="1">
      <c r="B164" s="78">
        <f t="shared" si="49"/>
        <v>49157</v>
      </c>
      <c r="C164" s="75">
        <v>1860880.2680541277</v>
      </c>
      <c r="D164" s="71">
        <f>IF(F164&lt;&gt;0,VLOOKUP($J164,'Table 1'!$B$13:$C$33,2,FALSE)/12*1000*Study_MW,0)</f>
        <v>1020342.6124197001</v>
      </c>
      <c r="E164" s="71">
        <f t="shared" si="50"/>
        <v>2881222.8804738279</v>
      </c>
      <c r="F164" s="75">
        <v>74400</v>
      </c>
      <c r="G164" s="76">
        <f t="shared" si="51"/>
        <v>38.726113984863282</v>
      </c>
      <c r="I164" s="77">
        <f t="shared" si="48"/>
        <v>34</v>
      </c>
      <c r="J164" s="73">
        <f t="shared" si="52"/>
        <v>2034</v>
      </c>
      <c r="K164" s="78">
        <f t="shared" si="53"/>
        <v>49157</v>
      </c>
    </row>
    <row r="165" spans="2:11" hidden="1" outlineLevel="1">
      <c r="B165" s="78">
        <f t="shared" si="49"/>
        <v>49188</v>
      </c>
      <c r="C165" s="75">
        <v>1630825.7906042337</v>
      </c>
      <c r="D165" s="71">
        <f>IF(F165&lt;&gt;0,VLOOKUP($J165,'Table 1'!$B$13:$C$33,2,FALSE)/12*1000*Study_MW,0)</f>
        <v>1020342.6124197001</v>
      </c>
      <c r="E165" s="71">
        <f t="shared" si="50"/>
        <v>2651168.403023934</v>
      </c>
      <c r="F165" s="75">
        <v>72000</v>
      </c>
      <c r="G165" s="76">
        <f t="shared" si="51"/>
        <v>36.821783375332416</v>
      </c>
      <c r="I165" s="77">
        <f t="shared" si="48"/>
        <v>35</v>
      </c>
      <c r="J165" s="73">
        <f t="shared" si="52"/>
        <v>2034</v>
      </c>
      <c r="K165" s="78">
        <f t="shared" si="53"/>
        <v>49188</v>
      </c>
    </row>
    <row r="166" spans="2:11" hidden="1" outlineLevel="1">
      <c r="B166" s="78">
        <f t="shared" si="49"/>
        <v>49218</v>
      </c>
      <c r="C166" s="75">
        <v>1632596.273515448</v>
      </c>
      <c r="D166" s="71">
        <f>IF(F166&lt;&gt;0,VLOOKUP($J166,'Table 1'!$B$13:$C$33,2,FALSE)/12*1000*Study_MW,0)</f>
        <v>1020342.6124197001</v>
      </c>
      <c r="E166" s="71">
        <f t="shared" si="50"/>
        <v>2652938.8859351482</v>
      </c>
      <c r="F166" s="75">
        <v>74400</v>
      </c>
      <c r="G166" s="76">
        <f t="shared" si="51"/>
        <v>35.657780724934788</v>
      </c>
      <c r="I166" s="77">
        <f t="shared" si="48"/>
        <v>36</v>
      </c>
      <c r="J166" s="73">
        <f t="shared" si="52"/>
        <v>2034</v>
      </c>
      <c r="K166" s="78">
        <f t="shared" si="53"/>
        <v>49218</v>
      </c>
    </row>
    <row r="167" spans="2:11" hidden="1" outlineLevel="1">
      <c r="B167" s="78">
        <f t="shared" si="49"/>
        <v>49249</v>
      </c>
      <c r="C167" s="75">
        <v>1769689.1648261845</v>
      </c>
      <c r="D167" s="71">
        <f>IF(F167&lt;&gt;0,VLOOKUP($J167,'Table 1'!$B$13:$C$33,2,FALSE)/12*1000*Study_MW,0)</f>
        <v>1020342.6124197001</v>
      </c>
      <c r="E167" s="71">
        <f t="shared" si="50"/>
        <v>2790031.7772458848</v>
      </c>
      <c r="F167" s="75">
        <v>72000</v>
      </c>
      <c r="G167" s="76">
        <f t="shared" si="51"/>
        <v>38.750441350637288</v>
      </c>
      <c r="I167" s="77">
        <f t="shared" si="48"/>
        <v>37</v>
      </c>
      <c r="J167" s="73">
        <f t="shared" si="52"/>
        <v>2034</v>
      </c>
      <c r="K167" s="78">
        <f t="shared" si="53"/>
        <v>49249</v>
      </c>
    </row>
    <row r="168" spans="2:11" hidden="1" outlineLevel="1">
      <c r="B168" s="82">
        <f t="shared" si="49"/>
        <v>49279</v>
      </c>
      <c r="C168" s="79">
        <v>2394623.2589518875</v>
      </c>
      <c r="D168" s="80">
        <f>IF(F168&lt;&gt;0,VLOOKUP($J168,'Table 1'!$B$13:$C$33,2,FALSE)/12*1000*Study_MW,0)</f>
        <v>1020342.6124197001</v>
      </c>
      <c r="E168" s="80">
        <f t="shared" si="50"/>
        <v>3414965.8713715877</v>
      </c>
      <c r="F168" s="79">
        <v>74400</v>
      </c>
      <c r="G168" s="81">
        <f t="shared" si="51"/>
        <v>45.900078916284784</v>
      </c>
      <c r="I168" s="64">
        <f t="shared" si="48"/>
        <v>38</v>
      </c>
      <c r="J168" s="73">
        <f t="shared" si="52"/>
        <v>2034</v>
      </c>
      <c r="K168" s="82">
        <f t="shared" si="53"/>
        <v>49279</v>
      </c>
    </row>
    <row r="169" spans="2:11" hidden="1" outlineLevel="1">
      <c r="B169" s="74">
        <f t="shared" si="49"/>
        <v>49310</v>
      </c>
      <c r="C169" s="69">
        <v>2077059.6007727385</v>
      </c>
      <c r="D169" s="70">
        <f>IF(F169&lt;&gt;0,VLOOKUP($J169,'Table 1'!$B$13:$C$33,2,FALSE)/12*1000*Study_MW,0)</f>
        <v>1042380.4425410422</v>
      </c>
      <c r="E169" s="70">
        <f t="shared" si="50"/>
        <v>3119440.0433137808</v>
      </c>
      <c r="F169" s="69">
        <v>74400</v>
      </c>
      <c r="G169" s="72">
        <f t="shared" si="51"/>
        <v>41.927957571421786</v>
      </c>
      <c r="I169" s="60">
        <f>I49</f>
        <v>40</v>
      </c>
      <c r="J169" s="73">
        <f t="shared" si="52"/>
        <v>2035</v>
      </c>
      <c r="K169" s="74">
        <f t="shared" si="53"/>
        <v>49310</v>
      </c>
    </row>
    <row r="170" spans="2:11" hidden="1" outlineLevel="1">
      <c r="B170" s="78">
        <f t="shared" si="49"/>
        <v>49341</v>
      </c>
      <c r="C170" s="75">
        <v>1956633.3687960804</v>
      </c>
      <c r="D170" s="71">
        <f>IF(F170&lt;&gt;0,VLOOKUP($J170,'Table 1'!$B$13:$C$33,2,FALSE)/12*1000*Study_MW,0)</f>
        <v>1042380.4425410422</v>
      </c>
      <c r="E170" s="71">
        <f t="shared" si="50"/>
        <v>2999013.8113371227</v>
      </c>
      <c r="F170" s="75">
        <v>67200</v>
      </c>
      <c r="G170" s="76">
        <f t="shared" si="51"/>
        <v>44.628181716326232</v>
      </c>
      <c r="I170" s="77">
        <f t="shared" si="48"/>
        <v>41</v>
      </c>
      <c r="J170" s="73">
        <f t="shared" si="52"/>
        <v>2035</v>
      </c>
      <c r="K170" s="78">
        <f t="shared" si="53"/>
        <v>49341</v>
      </c>
    </row>
    <row r="171" spans="2:11" hidden="1" outlineLevel="1">
      <c r="B171" s="78">
        <f t="shared" si="49"/>
        <v>49369</v>
      </c>
      <c r="C171" s="75">
        <v>1458109.5226747245</v>
      </c>
      <c r="D171" s="71">
        <f>IF(F171&lt;&gt;0,VLOOKUP($J171,'Table 1'!$B$13:$C$33,2,FALSE)/12*1000*Study_MW,0)</f>
        <v>1042380.4425410422</v>
      </c>
      <c r="E171" s="71">
        <f t="shared" si="50"/>
        <v>2500489.9652157668</v>
      </c>
      <c r="F171" s="75">
        <v>74400</v>
      </c>
      <c r="G171" s="76">
        <f t="shared" si="51"/>
        <v>33.608736091609771</v>
      </c>
      <c r="I171" s="77">
        <f t="shared" si="48"/>
        <v>42</v>
      </c>
      <c r="J171" s="73">
        <f t="shared" si="52"/>
        <v>2035</v>
      </c>
      <c r="K171" s="78">
        <f t="shared" si="53"/>
        <v>49369</v>
      </c>
    </row>
    <row r="172" spans="2:11" hidden="1" outlineLevel="1">
      <c r="B172" s="78">
        <f t="shared" si="49"/>
        <v>49400</v>
      </c>
      <c r="C172" s="75">
        <v>1019478.0638729334</v>
      </c>
      <c r="D172" s="71">
        <f>IF(F172&lt;&gt;0,VLOOKUP($J172,'Table 1'!$B$13:$C$33,2,FALSE)/12*1000*Study_MW,0)</f>
        <v>1042380.4425410422</v>
      </c>
      <c r="E172" s="71">
        <f t="shared" si="50"/>
        <v>2061858.5064139757</v>
      </c>
      <c r="F172" s="75">
        <v>72000</v>
      </c>
      <c r="G172" s="76">
        <f t="shared" si="51"/>
        <v>28.636923700194107</v>
      </c>
      <c r="I172" s="77">
        <f t="shared" si="48"/>
        <v>43</v>
      </c>
      <c r="J172" s="73">
        <f t="shared" si="52"/>
        <v>2035</v>
      </c>
      <c r="K172" s="78">
        <f t="shared" si="53"/>
        <v>49400</v>
      </c>
    </row>
    <row r="173" spans="2:11" hidden="1" outlineLevel="1">
      <c r="B173" s="78">
        <f t="shared" si="49"/>
        <v>49430</v>
      </c>
      <c r="C173" s="75">
        <v>880865.42790403962</v>
      </c>
      <c r="D173" s="71">
        <f>IF(F173&lt;&gt;0,VLOOKUP($J173,'Table 1'!$B$13:$C$33,2,FALSE)/12*1000*Study_MW,0)</f>
        <v>1042380.4425410422</v>
      </c>
      <c r="E173" s="71">
        <f t="shared" si="50"/>
        <v>1923245.870445082</v>
      </c>
      <c r="F173" s="75">
        <v>74400</v>
      </c>
      <c r="G173" s="76">
        <f t="shared" si="51"/>
        <v>25.850078903831747</v>
      </c>
      <c r="I173" s="77">
        <f t="shared" si="48"/>
        <v>44</v>
      </c>
      <c r="J173" s="73">
        <f t="shared" si="52"/>
        <v>2035</v>
      </c>
      <c r="K173" s="78">
        <f t="shared" si="53"/>
        <v>49430</v>
      </c>
    </row>
    <row r="174" spans="2:11" hidden="1" outlineLevel="1">
      <c r="B174" s="78">
        <f t="shared" si="49"/>
        <v>49461</v>
      </c>
      <c r="C174" s="75">
        <v>1078033.4985458106</v>
      </c>
      <c r="D174" s="71">
        <f>IF(F174&lt;&gt;0,VLOOKUP($J174,'Table 1'!$B$13:$C$33,2,FALSE)/12*1000*Study_MW,0)</f>
        <v>1042380.4425410422</v>
      </c>
      <c r="E174" s="71">
        <f t="shared" si="50"/>
        <v>2120413.9410868529</v>
      </c>
      <c r="F174" s="75">
        <v>72000</v>
      </c>
      <c r="G174" s="76">
        <f t="shared" si="51"/>
        <v>29.450193626206289</v>
      </c>
      <c r="I174" s="77">
        <f t="shared" si="48"/>
        <v>45</v>
      </c>
      <c r="J174" s="73">
        <f t="shared" si="52"/>
        <v>2035</v>
      </c>
      <c r="K174" s="78">
        <f t="shared" si="53"/>
        <v>49461</v>
      </c>
    </row>
    <row r="175" spans="2:11" hidden="1" outlineLevel="1">
      <c r="B175" s="78">
        <f t="shared" si="49"/>
        <v>49491</v>
      </c>
      <c r="C175" s="75">
        <v>1595970.1250781864</v>
      </c>
      <c r="D175" s="71">
        <f>IF(F175&lt;&gt;0,VLOOKUP($J175,'Table 1'!$B$13:$C$33,2,FALSE)/12*1000*Study_MW,0)</f>
        <v>1042380.4425410422</v>
      </c>
      <c r="E175" s="71">
        <f t="shared" si="50"/>
        <v>2638350.5676192287</v>
      </c>
      <c r="F175" s="75">
        <v>74400</v>
      </c>
      <c r="G175" s="76">
        <f t="shared" si="51"/>
        <v>35.461701177677803</v>
      </c>
      <c r="I175" s="77">
        <f t="shared" si="48"/>
        <v>46</v>
      </c>
      <c r="J175" s="73">
        <f t="shared" si="52"/>
        <v>2035</v>
      </c>
      <c r="K175" s="78">
        <f t="shared" si="53"/>
        <v>49491</v>
      </c>
    </row>
    <row r="176" spans="2:11" hidden="1" outlineLevel="1">
      <c r="B176" s="78">
        <f t="shared" si="49"/>
        <v>49522</v>
      </c>
      <c r="C176" s="75">
        <v>2084663.8024515808</v>
      </c>
      <c r="D176" s="71">
        <f>IF(F176&lt;&gt;0,VLOOKUP($J176,'Table 1'!$B$13:$C$33,2,FALSE)/12*1000*Study_MW,0)</f>
        <v>1042380.4425410422</v>
      </c>
      <c r="E176" s="71">
        <f t="shared" si="50"/>
        <v>3127044.2449926231</v>
      </c>
      <c r="F176" s="75">
        <v>74400</v>
      </c>
      <c r="G176" s="76">
        <f t="shared" si="51"/>
        <v>42.030164583234182</v>
      </c>
      <c r="I176" s="77">
        <f t="shared" si="48"/>
        <v>47</v>
      </c>
      <c r="J176" s="73">
        <f t="shared" si="52"/>
        <v>2035</v>
      </c>
      <c r="K176" s="78">
        <f t="shared" si="53"/>
        <v>49522</v>
      </c>
    </row>
    <row r="177" spans="2:11" hidden="1" outlineLevel="1">
      <c r="B177" s="78">
        <f t="shared" si="49"/>
        <v>49553</v>
      </c>
      <c r="C177" s="75">
        <v>1762798.5637379289</v>
      </c>
      <c r="D177" s="71">
        <f>IF(F177&lt;&gt;0,VLOOKUP($J177,'Table 1'!$B$13:$C$33,2,FALSE)/12*1000*Study_MW,0)</f>
        <v>1042380.4425410422</v>
      </c>
      <c r="E177" s="71">
        <f t="shared" si="50"/>
        <v>2805179.0062789712</v>
      </c>
      <c r="F177" s="75">
        <v>72000</v>
      </c>
      <c r="G177" s="76">
        <f t="shared" si="51"/>
        <v>38.960819531652376</v>
      </c>
      <c r="I177" s="77">
        <f t="shared" si="48"/>
        <v>48</v>
      </c>
      <c r="J177" s="73">
        <f t="shared" si="52"/>
        <v>2035</v>
      </c>
      <c r="K177" s="78">
        <f t="shared" si="53"/>
        <v>49553</v>
      </c>
    </row>
    <row r="178" spans="2:11" hidden="1" outlineLevel="1">
      <c r="B178" s="78">
        <f t="shared" si="49"/>
        <v>49583</v>
      </c>
      <c r="C178" s="75">
        <v>1657588.7331727296</v>
      </c>
      <c r="D178" s="71">
        <f>IF(F178&lt;&gt;0,VLOOKUP($J178,'Table 1'!$B$13:$C$33,2,FALSE)/12*1000*Study_MW,0)</f>
        <v>1042380.4425410422</v>
      </c>
      <c r="E178" s="71">
        <f t="shared" si="50"/>
        <v>2699969.175713772</v>
      </c>
      <c r="F178" s="75">
        <v>74400</v>
      </c>
      <c r="G178" s="76">
        <f t="shared" si="51"/>
        <v>36.289908275722745</v>
      </c>
      <c r="I178" s="77">
        <f t="shared" si="48"/>
        <v>49</v>
      </c>
      <c r="J178" s="73">
        <f t="shared" si="52"/>
        <v>2035</v>
      </c>
      <c r="K178" s="78">
        <f t="shared" si="53"/>
        <v>49583</v>
      </c>
    </row>
    <row r="179" spans="2:11" hidden="1" outlineLevel="1">
      <c r="B179" s="78">
        <f t="shared" si="49"/>
        <v>49614</v>
      </c>
      <c r="C179" s="75">
        <v>1694832.8985308856</v>
      </c>
      <c r="D179" s="71">
        <f>IF(F179&lt;&gt;0,VLOOKUP($J179,'Table 1'!$B$13:$C$33,2,FALSE)/12*1000*Study_MW,0)</f>
        <v>1042380.4425410422</v>
      </c>
      <c r="E179" s="71">
        <f t="shared" si="50"/>
        <v>2737213.3410719279</v>
      </c>
      <c r="F179" s="75">
        <v>72000</v>
      </c>
      <c r="G179" s="76">
        <f t="shared" si="51"/>
        <v>38.016851959332335</v>
      </c>
      <c r="I179" s="77">
        <f t="shared" si="48"/>
        <v>50</v>
      </c>
      <c r="J179" s="73">
        <f t="shared" si="52"/>
        <v>2035</v>
      </c>
      <c r="K179" s="78">
        <f t="shared" si="53"/>
        <v>49614</v>
      </c>
    </row>
    <row r="180" spans="2:11" hidden="1" outlineLevel="1">
      <c r="B180" s="82">
        <f t="shared" si="49"/>
        <v>49644</v>
      </c>
      <c r="C180" s="79">
        <v>2424737.0376265198</v>
      </c>
      <c r="D180" s="80">
        <f>IF(F180&lt;&gt;0,VLOOKUP($J180,'Table 1'!$B$13:$C$33,2,FALSE)/12*1000*Study_MW,0)</f>
        <v>1042380.4425410422</v>
      </c>
      <c r="E180" s="80">
        <f t="shared" si="50"/>
        <v>3467117.4801675621</v>
      </c>
      <c r="F180" s="79">
        <v>74400</v>
      </c>
      <c r="G180" s="81">
        <f t="shared" si="51"/>
        <v>46.601041400101643</v>
      </c>
      <c r="I180" s="64">
        <f t="shared" si="48"/>
        <v>51</v>
      </c>
      <c r="J180" s="73">
        <f t="shared" si="52"/>
        <v>2035</v>
      </c>
      <c r="K180" s="82">
        <f t="shared" si="53"/>
        <v>49644</v>
      </c>
    </row>
    <row r="181" spans="2:11" hidden="1" collapsed="1">
      <c r="B181" s="74">
        <f t="shared" si="49"/>
        <v>49675</v>
      </c>
      <c r="C181" s="69">
        <v>2133008.7867055684</v>
      </c>
      <c r="D181" s="70">
        <f>IF(F181&lt;&gt;0,VLOOKUP($J181,'Table 1'!$B$13:$C$33,2,FALSE)/12*1000*Study_MW,0)</f>
        <v>1064864.3825838687</v>
      </c>
      <c r="E181" s="70">
        <f t="shared" si="50"/>
        <v>3197873.1692894371</v>
      </c>
      <c r="F181" s="69">
        <v>74400</v>
      </c>
      <c r="G181" s="72">
        <f t="shared" si="51"/>
        <v>42.982166253890284</v>
      </c>
      <c r="I181" s="60">
        <f>I61</f>
        <v>53</v>
      </c>
      <c r="J181" s="73">
        <f t="shared" si="52"/>
        <v>2036</v>
      </c>
      <c r="K181" s="74">
        <f t="shared" si="53"/>
        <v>49675</v>
      </c>
    </row>
    <row r="182" spans="2:11" hidden="1">
      <c r="B182" s="78">
        <f t="shared" si="49"/>
        <v>49706</v>
      </c>
      <c r="C182" s="75">
        <v>2062941.2876475453</v>
      </c>
      <c r="D182" s="71">
        <f>IF(F182&lt;&gt;0,VLOOKUP($J182,'Table 1'!$B$13:$C$33,2,FALSE)/12*1000*Study_MW,0)</f>
        <v>1064864.3825838687</v>
      </c>
      <c r="E182" s="71">
        <f t="shared" si="50"/>
        <v>3127805.670231414</v>
      </c>
      <c r="F182" s="75">
        <v>69600</v>
      </c>
      <c r="G182" s="76">
        <f t="shared" si="51"/>
        <v>44.939736641255948</v>
      </c>
      <c r="I182" s="77">
        <f t="shared" si="48"/>
        <v>54</v>
      </c>
      <c r="J182" s="73">
        <f t="shared" si="52"/>
        <v>2036</v>
      </c>
      <c r="K182" s="78">
        <f t="shared" si="53"/>
        <v>49706</v>
      </c>
    </row>
    <row r="183" spans="2:11" hidden="1">
      <c r="B183" s="78">
        <f t="shared" si="49"/>
        <v>49735</v>
      </c>
      <c r="C183" s="75">
        <v>1493790.9081918597</v>
      </c>
      <c r="D183" s="71">
        <f>IF(F183&lt;&gt;0,VLOOKUP($J183,'Table 1'!$B$13:$C$33,2,FALSE)/12*1000*Study_MW,0)</f>
        <v>1064864.3825838687</v>
      </c>
      <c r="E183" s="71">
        <f t="shared" si="50"/>
        <v>2558655.2907757284</v>
      </c>
      <c r="F183" s="75">
        <v>74400</v>
      </c>
      <c r="G183" s="76">
        <f t="shared" si="51"/>
        <v>34.390528101824309</v>
      </c>
      <c r="I183" s="77">
        <f t="shared" si="48"/>
        <v>55</v>
      </c>
      <c r="J183" s="73">
        <f t="shared" si="52"/>
        <v>2036</v>
      </c>
      <c r="K183" s="78">
        <f t="shared" si="53"/>
        <v>49735</v>
      </c>
    </row>
    <row r="184" spans="2:11" hidden="1">
      <c r="B184" s="78">
        <f t="shared" si="49"/>
        <v>49766</v>
      </c>
      <c r="C184" s="75">
        <v>1010161.9076710939</v>
      </c>
      <c r="D184" s="71">
        <f>IF(F184&lt;&gt;0,VLOOKUP($J184,'Table 1'!$B$13:$C$33,2,FALSE)/12*1000*Study_MW,0)</f>
        <v>1064864.3825838687</v>
      </c>
      <c r="E184" s="71">
        <f t="shared" si="50"/>
        <v>2075026.2902549626</v>
      </c>
      <c r="F184" s="75">
        <v>72000</v>
      </c>
      <c r="G184" s="76">
        <f t="shared" si="51"/>
        <v>28.819809586874481</v>
      </c>
      <c r="I184" s="77">
        <f t="shared" si="48"/>
        <v>56</v>
      </c>
      <c r="J184" s="73">
        <f t="shared" si="52"/>
        <v>2036</v>
      </c>
      <c r="K184" s="78">
        <f t="shared" si="53"/>
        <v>49766</v>
      </c>
    </row>
    <row r="185" spans="2:11" hidden="1">
      <c r="B185" s="78">
        <f t="shared" si="49"/>
        <v>49796</v>
      </c>
      <c r="C185" s="75">
        <v>916134.9003264606</v>
      </c>
      <c r="D185" s="71">
        <f>IF(F185&lt;&gt;0,VLOOKUP($J185,'Table 1'!$B$13:$C$33,2,FALSE)/12*1000*Study_MW,0)</f>
        <v>1064864.3825838687</v>
      </c>
      <c r="E185" s="71">
        <f t="shared" si="50"/>
        <v>1980999.2829103293</v>
      </c>
      <c r="F185" s="75">
        <v>74400</v>
      </c>
      <c r="G185" s="76">
        <f t="shared" si="51"/>
        <v>26.626334447719479</v>
      </c>
      <c r="I185" s="77">
        <f t="shared" si="48"/>
        <v>57</v>
      </c>
      <c r="J185" s="73">
        <f t="shared" si="52"/>
        <v>2036</v>
      </c>
      <c r="K185" s="78">
        <f t="shared" si="53"/>
        <v>49796</v>
      </c>
    </row>
    <row r="186" spans="2:11" hidden="1">
      <c r="B186" s="78">
        <f t="shared" si="49"/>
        <v>49827</v>
      </c>
      <c r="C186" s="75">
        <v>1134835.3930271268</v>
      </c>
      <c r="D186" s="71">
        <f>IF(F186&lt;&gt;0,VLOOKUP($J186,'Table 1'!$B$13:$C$33,2,FALSE)/12*1000*Study_MW,0)</f>
        <v>1064864.3825838687</v>
      </c>
      <c r="E186" s="71">
        <f t="shared" si="50"/>
        <v>2199699.7756109955</v>
      </c>
      <c r="F186" s="75">
        <v>72000</v>
      </c>
      <c r="G186" s="76">
        <f t="shared" si="51"/>
        <v>30.551385772374939</v>
      </c>
      <c r="I186" s="77">
        <f t="shared" si="48"/>
        <v>58</v>
      </c>
      <c r="J186" s="73">
        <f t="shared" si="52"/>
        <v>2036</v>
      </c>
      <c r="K186" s="78">
        <f t="shared" si="53"/>
        <v>49827</v>
      </c>
    </row>
    <row r="187" spans="2:11" hidden="1">
      <c r="B187" s="78">
        <f t="shared" si="49"/>
        <v>49857</v>
      </c>
      <c r="C187" s="75">
        <v>1746009.4664824754</v>
      </c>
      <c r="D187" s="71">
        <f>IF(F187&lt;&gt;0,VLOOKUP($J187,'Table 1'!$B$13:$C$33,2,FALSE)/12*1000*Study_MW,0)</f>
        <v>1064864.3825838687</v>
      </c>
      <c r="E187" s="71">
        <f t="shared" si="50"/>
        <v>2810873.8490663441</v>
      </c>
      <c r="F187" s="75">
        <v>74400</v>
      </c>
      <c r="G187" s="76">
        <f t="shared" si="51"/>
        <v>37.780562487450858</v>
      </c>
      <c r="I187" s="77">
        <f t="shared" si="48"/>
        <v>59</v>
      </c>
      <c r="J187" s="73">
        <f t="shared" si="52"/>
        <v>2036</v>
      </c>
      <c r="K187" s="78">
        <f t="shared" si="53"/>
        <v>49857</v>
      </c>
    </row>
    <row r="188" spans="2:11" hidden="1">
      <c r="B188" s="78">
        <f t="shared" si="49"/>
        <v>49888</v>
      </c>
      <c r="C188" s="75">
        <v>2021570.4066973478</v>
      </c>
      <c r="D188" s="71">
        <f>IF(F188&lt;&gt;0,VLOOKUP($J188,'Table 1'!$B$13:$C$33,2,FALSE)/12*1000*Study_MW,0)</f>
        <v>1064864.3825838687</v>
      </c>
      <c r="E188" s="71">
        <f t="shared" si="50"/>
        <v>3086434.7892812165</v>
      </c>
      <c r="F188" s="75">
        <v>74400</v>
      </c>
      <c r="G188" s="76">
        <f t="shared" si="51"/>
        <v>41.48433856560775</v>
      </c>
      <c r="I188" s="77">
        <f t="shared" si="48"/>
        <v>60</v>
      </c>
      <c r="J188" s="73">
        <f t="shared" si="52"/>
        <v>2036</v>
      </c>
      <c r="K188" s="78">
        <f t="shared" si="53"/>
        <v>49888</v>
      </c>
    </row>
    <row r="189" spans="2:11" hidden="1">
      <c r="B189" s="78">
        <f t="shared" si="49"/>
        <v>49919</v>
      </c>
      <c r="C189" s="75">
        <v>1931865.4074521661</v>
      </c>
      <c r="D189" s="71">
        <f>IF(F189&lt;&gt;0,VLOOKUP($J189,'Table 1'!$B$13:$C$33,2,FALSE)/12*1000*Study_MW,0)</f>
        <v>1064864.3825838687</v>
      </c>
      <c r="E189" s="71">
        <f t="shared" si="50"/>
        <v>2996729.7900360348</v>
      </c>
      <c r="F189" s="75">
        <v>72000</v>
      </c>
      <c r="G189" s="76">
        <f t="shared" si="51"/>
        <v>41.621247083833815</v>
      </c>
      <c r="I189" s="77">
        <f t="shared" si="48"/>
        <v>61</v>
      </c>
      <c r="J189" s="73">
        <f t="shared" si="52"/>
        <v>2036</v>
      </c>
      <c r="K189" s="78">
        <f t="shared" si="53"/>
        <v>49919</v>
      </c>
    </row>
    <row r="190" spans="2:11" hidden="1">
      <c r="B190" s="78">
        <f t="shared" si="49"/>
        <v>49949</v>
      </c>
      <c r="C190" s="75">
        <v>1859710.9385738969</v>
      </c>
      <c r="D190" s="71">
        <f>IF(F190&lt;&gt;0,VLOOKUP($J190,'Table 1'!$B$13:$C$33,2,FALSE)/12*1000*Study_MW,0)</f>
        <v>1064864.3825838687</v>
      </c>
      <c r="E190" s="71">
        <f t="shared" si="50"/>
        <v>2924575.3211577656</v>
      </c>
      <c r="F190" s="75">
        <v>74400</v>
      </c>
      <c r="G190" s="76">
        <f t="shared" si="51"/>
        <v>39.308808080077497</v>
      </c>
      <c r="I190" s="77">
        <f t="shared" si="48"/>
        <v>62</v>
      </c>
      <c r="J190" s="73">
        <f t="shared" si="52"/>
        <v>2036</v>
      </c>
      <c r="K190" s="78">
        <f t="shared" si="53"/>
        <v>49949</v>
      </c>
    </row>
    <row r="191" spans="2:11" hidden="1">
      <c r="B191" s="78">
        <f t="shared" si="49"/>
        <v>49980</v>
      </c>
      <c r="C191" s="75">
        <v>1917326.8608648926</v>
      </c>
      <c r="D191" s="71">
        <f>IF(F191&lt;&gt;0,VLOOKUP($J191,'Table 1'!$B$13:$C$33,2,FALSE)/12*1000*Study_MW,0)</f>
        <v>1064864.3825838687</v>
      </c>
      <c r="E191" s="71">
        <f t="shared" si="50"/>
        <v>2982191.2434487613</v>
      </c>
      <c r="F191" s="75">
        <v>72000</v>
      </c>
      <c r="G191" s="76">
        <f t="shared" si="51"/>
        <v>41.419322825677241</v>
      </c>
      <c r="I191" s="77">
        <f t="shared" si="48"/>
        <v>63</v>
      </c>
      <c r="J191" s="73">
        <f t="shared" si="52"/>
        <v>2036</v>
      </c>
      <c r="K191" s="78">
        <f t="shared" si="53"/>
        <v>49980</v>
      </c>
    </row>
    <row r="192" spans="2:11" hidden="1">
      <c r="B192" s="82">
        <f t="shared" si="49"/>
        <v>50010</v>
      </c>
      <c r="C192" s="79">
        <v>2572739.1241685599</v>
      </c>
      <c r="D192" s="80">
        <f>IF(F192&lt;&gt;0,VLOOKUP($J192,'Table 1'!$B$13:$C$33,2,FALSE)/12*1000*Study_MW,0)</f>
        <v>1064864.3825838687</v>
      </c>
      <c r="E192" s="80">
        <f t="shared" si="50"/>
        <v>3637603.5067524286</v>
      </c>
      <c r="F192" s="79">
        <v>74400</v>
      </c>
      <c r="G192" s="81">
        <f t="shared" si="51"/>
        <v>48.892520252048769</v>
      </c>
      <c r="I192" s="64">
        <f t="shared" si="48"/>
        <v>64</v>
      </c>
      <c r="J192" s="73">
        <f t="shared" si="52"/>
        <v>2036</v>
      </c>
      <c r="K192" s="82">
        <f t="shared" si="53"/>
        <v>50010</v>
      </c>
    </row>
    <row r="193" spans="2:20" hidden="1" outlineLevel="1">
      <c r="B193" s="74">
        <f t="shared" si="49"/>
        <v>50041</v>
      </c>
      <c r="C193" s="69">
        <v>2505618.9853464067</v>
      </c>
      <c r="D193" s="70">
        <f>IF(F193&lt;&gt;0,VLOOKUP($J193,'Table 1'!$B$13:$C$33,2,FALSE)/12*1000*Study_MW,0)</f>
        <v>1087794.43254818</v>
      </c>
      <c r="E193" s="70">
        <f t="shared" ref="E193:E216" si="54">C193+D193</f>
        <v>3593413.4178945869</v>
      </c>
      <c r="F193" s="69">
        <v>74400</v>
      </c>
      <c r="G193" s="72">
        <f t="shared" ref="G193:G216" si="55">IF(ISNUMBER($F193),E193/$F193,"")</f>
        <v>48.298567444819717</v>
      </c>
      <c r="I193" s="60">
        <f>I73</f>
        <v>66</v>
      </c>
      <c r="J193" s="73">
        <f t="shared" ref="J193:J240" si="56">YEAR(B193)</f>
        <v>2037</v>
      </c>
      <c r="K193" s="74">
        <f t="shared" ref="K193:K240" si="57">IF(ISNUMBER(F193),IF(F193&lt;&gt;0,B193,""),"")</f>
        <v>50041</v>
      </c>
      <c r="M193" s="41">
        <f t="shared" ref="M193:M240" si="58">IRP21_Infl_Rate</f>
        <v>2.155E-2</v>
      </c>
    </row>
    <row r="194" spans="2:20" hidden="1" outlineLevel="1">
      <c r="B194" s="78">
        <f t="shared" si="49"/>
        <v>50072</v>
      </c>
      <c r="C194" s="75">
        <v>2340332.1562424451</v>
      </c>
      <c r="D194" s="71">
        <f>IF(F194&lt;&gt;0,VLOOKUP($J194,'Table 1'!$B$13:$C$33,2,FALSE)/12*1000*Study_MW,0)</f>
        <v>1087794.43254818</v>
      </c>
      <c r="E194" s="71">
        <f t="shared" si="54"/>
        <v>3428126.5887906253</v>
      </c>
      <c r="F194" s="75">
        <v>67200</v>
      </c>
      <c r="G194" s="76">
        <f t="shared" si="55"/>
        <v>51.013788523670023</v>
      </c>
      <c r="I194" s="77">
        <f t="shared" si="48"/>
        <v>67</v>
      </c>
      <c r="J194" s="73">
        <f t="shared" si="56"/>
        <v>2037</v>
      </c>
      <c r="K194" s="78">
        <f t="shared" si="57"/>
        <v>50072</v>
      </c>
      <c r="M194" s="41">
        <f t="shared" si="58"/>
        <v>2.155E-2</v>
      </c>
    </row>
    <row r="195" spans="2:20" hidden="1" outlineLevel="1">
      <c r="B195" s="78">
        <f t="shared" si="49"/>
        <v>50100</v>
      </c>
      <c r="C195" s="75">
        <v>1741617.8094578683</v>
      </c>
      <c r="D195" s="71">
        <f>IF(F195&lt;&gt;0,VLOOKUP($J195,'Table 1'!$B$13:$C$33,2,FALSE)/12*1000*Study_MW,0)</f>
        <v>1087794.43254818</v>
      </c>
      <c r="E195" s="71">
        <f t="shared" si="54"/>
        <v>2829412.2420060486</v>
      </c>
      <c r="F195" s="75">
        <v>74400</v>
      </c>
      <c r="G195" s="76">
        <f t="shared" si="55"/>
        <v>38.029734435565167</v>
      </c>
      <c r="I195" s="77">
        <f t="shared" si="48"/>
        <v>68</v>
      </c>
      <c r="J195" s="73">
        <f t="shared" si="56"/>
        <v>2037</v>
      </c>
      <c r="K195" s="78">
        <f t="shared" si="57"/>
        <v>50100</v>
      </c>
      <c r="M195" s="41">
        <f t="shared" si="58"/>
        <v>2.155E-2</v>
      </c>
    </row>
    <row r="196" spans="2:20" hidden="1" outlineLevel="1">
      <c r="B196" s="78">
        <f t="shared" si="49"/>
        <v>50131</v>
      </c>
      <c r="C196" s="75">
        <v>1012337.3276548311</v>
      </c>
      <c r="D196" s="71">
        <f>IF(F196&lt;&gt;0,VLOOKUP($J196,'Table 1'!$B$13:$C$33,2,FALSE)/12*1000*Study_MW,0)</f>
        <v>1087794.43254818</v>
      </c>
      <c r="E196" s="71">
        <f t="shared" si="54"/>
        <v>2100131.7602030113</v>
      </c>
      <c r="F196" s="75">
        <v>72000</v>
      </c>
      <c r="G196" s="76">
        <f t="shared" si="55"/>
        <v>29.16849666948627</v>
      </c>
      <c r="I196" s="77">
        <f t="shared" si="48"/>
        <v>69</v>
      </c>
      <c r="J196" s="73">
        <f t="shared" si="56"/>
        <v>2037</v>
      </c>
      <c r="K196" s="78">
        <f t="shared" si="57"/>
        <v>50131</v>
      </c>
      <c r="M196" s="41">
        <f t="shared" si="58"/>
        <v>2.155E-2</v>
      </c>
    </row>
    <row r="197" spans="2:20" hidden="1" outlineLevel="1">
      <c r="B197" s="78">
        <f t="shared" si="49"/>
        <v>50161</v>
      </c>
      <c r="C197" s="75">
        <v>881459.71743921936</v>
      </c>
      <c r="D197" s="71">
        <f>IF(F197&lt;&gt;0,VLOOKUP($J197,'Table 1'!$B$13:$C$33,2,FALSE)/12*1000*Study_MW,0)</f>
        <v>1087794.43254818</v>
      </c>
      <c r="E197" s="71">
        <f t="shared" si="54"/>
        <v>1969254.1499873993</v>
      </c>
      <c r="F197" s="75">
        <v>74400</v>
      </c>
      <c r="G197" s="76">
        <f t="shared" si="55"/>
        <v>26.468469757895154</v>
      </c>
      <c r="I197" s="77">
        <f t="shared" si="48"/>
        <v>70</v>
      </c>
      <c r="J197" s="73">
        <f t="shared" si="56"/>
        <v>2037</v>
      </c>
      <c r="K197" s="78">
        <f t="shared" si="57"/>
        <v>50161</v>
      </c>
      <c r="M197" s="41">
        <f t="shared" si="58"/>
        <v>2.155E-2</v>
      </c>
    </row>
    <row r="198" spans="2:20" hidden="1" outlineLevel="1">
      <c r="B198" s="78">
        <f t="shared" si="49"/>
        <v>50192</v>
      </c>
      <c r="C198" s="75">
        <v>1181189.5037877187</v>
      </c>
      <c r="D198" s="71">
        <f>IF(F198&lt;&gt;0,VLOOKUP($J198,'Table 1'!$B$13:$C$33,2,FALSE)/12*1000*Study_MW,0)</f>
        <v>1087794.43254818</v>
      </c>
      <c r="E198" s="71">
        <f t="shared" si="54"/>
        <v>2268983.9363358989</v>
      </c>
      <c r="F198" s="75">
        <v>72000</v>
      </c>
      <c r="G198" s="76">
        <f t="shared" si="55"/>
        <v>31.513665782443042</v>
      </c>
      <c r="I198" s="77">
        <f t="shared" ref="I198:I204" si="59">I78</f>
        <v>71</v>
      </c>
      <c r="J198" s="73">
        <f t="shared" si="56"/>
        <v>2037</v>
      </c>
      <c r="K198" s="78">
        <f t="shared" si="57"/>
        <v>50192</v>
      </c>
      <c r="M198" s="41">
        <f t="shared" si="58"/>
        <v>2.155E-2</v>
      </c>
    </row>
    <row r="199" spans="2:20" hidden="1" outlineLevel="1">
      <c r="B199" s="78">
        <f t="shared" si="49"/>
        <v>50222</v>
      </c>
      <c r="C199" s="75">
        <v>1677159.3297626674</v>
      </c>
      <c r="D199" s="71">
        <f>IF(F199&lt;&gt;0,VLOOKUP($J199,'Table 1'!$B$13:$C$33,2,FALSE)/12*1000*Study_MW,0)</f>
        <v>1087794.43254818</v>
      </c>
      <c r="E199" s="71">
        <f t="shared" si="54"/>
        <v>2764953.7623108476</v>
      </c>
      <c r="F199" s="75">
        <v>74400</v>
      </c>
      <c r="G199" s="76">
        <f t="shared" si="55"/>
        <v>37.163357020307089</v>
      </c>
      <c r="I199" s="77">
        <f t="shared" si="59"/>
        <v>72</v>
      </c>
      <c r="J199" s="73">
        <f t="shared" si="56"/>
        <v>2037</v>
      </c>
      <c r="K199" s="78">
        <f t="shared" si="57"/>
        <v>50222</v>
      </c>
      <c r="M199" s="41">
        <f t="shared" si="58"/>
        <v>2.155E-2</v>
      </c>
    </row>
    <row r="200" spans="2:20" hidden="1" outlineLevel="1">
      <c r="B200" s="78">
        <f t="shared" si="49"/>
        <v>50253</v>
      </c>
      <c r="C200" s="75">
        <v>2155813.3140900582</v>
      </c>
      <c r="D200" s="71">
        <f>IF(F200&lt;&gt;0,VLOOKUP($J200,'Table 1'!$B$13:$C$33,2,FALSE)/12*1000*Study_MW,0)</f>
        <v>1087794.43254818</v>
      </c>
      <c r="E200" s="71">
        <f t="shared" si="54"/>
        <v>3243607.7466382384</v>
      </c>
      <c r="F200" s="75">
        <v>74400</v>
      </c>
      <c r="G200" s="76">
        <f t="shared" si="55"/>
        <v>43.596878315030089</v>
      </c>
      <c r="I200" s="77">
        <f t="shared" si="59"/>
        <v>73</v>
      </c>
      <c r="J200" s="73">
        <f t="shared" si="56"/>
        <v>2037</v>
      </c>
      <c r="K200" s="78">
        <f t="shared" si="57"/>
        <v>50253</v>
      </c>
      <c r="M200" s="41">
        <f t="shared" si="58"/>
        <v>2.155E-2</v>
      </c>
    </row>
    <row r="201" spans="2:20" hidden="1" outlineLevel="1">
      <c r="B201" s="78">
        <f t="shared" si="49"/>
        <v>50284</v>
      </c>
      <c r="C201" s="75">
        <v>2126346.7191951126</v>
      </c>
      <c r="D201" s="71">
        <f>IF(F201&lt;&gt;0,VLOOKUP($J201,'Table 1'!$B$13:$C$33,2,FALSE)/12*1000*Study_MW,0)</f>
        <v>1087794.43254818</v>
      </c>
      <c r="E201" s="71">
        <f t="shared" si="54"/>
        <v>3214141.1517432928</v>
      </c>
      <c r="F201" s="75">
        <v>72000</v>
      </c>
      <c r="G201" s="76">
        <f t="shared" si="55"/>
        <v>44.640849329767953</v>
      </c>
      <c r="I201" s="77">
        <f t="shared" si="59"/>
        <v>74</v>
      </c>
      <c r="J201" s="73">
        <f t="shared" si="56"/>
        <v>2037</v>
      </c>
      <c r="K201" s="78">
        <f t="shared" si="57"/>
        <v>50284</v>
      </c>
      <c r="M201" s="41">
        <f t="shared" si="58"/>
        <v>2.155E-2</v>
      </c>
    </row>
    <row r="202" spans="2:20" hidden="1" outlineLevel="1">
      <c r="B202" s="78">
        <f t="shared" si="49"/>
        <v>50314</v>
      </c>
      <c r="C202" s="75">
        <v>2150047.2311175615</v>
      </c>
      <c r="D202" s="71">
        <f>IF(F202&lt;&gt;0,VLOOKUP($J202,'Table 1'!$B$13:$C$33,2,FALSE)/12*1000*Study_MW,0)</f>
        <v>1087794.43254818</v>
      </c>
      <c r="E202" s="71">
        <f t="shared" si="54"/>
        <v>3237841.6636657417</v>
      </c>
      <c r="F202" s="75">
        <v>74400</v>
      </c>
      <c r="G202" s="76">
        <f t="shared" si="55"/>
        <v>43.519377199808353</v>
      </c>
      <c r="I202" s="77">
        <f t="shared" si="59"/>
        <v>75</v>
      </c>
      <c r="J202" s="73">
        <f t="shared" si="56"/>
        <v>2037</v>
      </c>
      <c r="K202" s="78">
        <f t="shared" si="57"/>
        <v>50314</v>
      </c>
      <c r="M202" s="41">
        <f t="shared" si="58"/>
        <v>2.155E-2</v>
      </c>
    </row>
    <row r="203" spans="2:20" hidden="1" outlineLevel="1">
      <c r="B203" s="78">
        <f t="shared" si="49"/>
        <v>50345</v>
      </c>
      <c r="C203" s="75">
        <v>2027209.7331291735</v>
      </c>
      <c r="D203" s="71">
        <f>IF(F203&lt;&gt;0,VLOOKUP($J203,'Table 1'!$B$13:$C$33,2,FALSE)/12*1000*Study_MW,0)</f>
        <v>1087794.43254818</v>
      </c>
      <c r="E203" s="71">
        <f t="shared" si="54"/>
        <v>3115004.1656773537</v>
      </c>
      <c r="F203" s="75">
        <v>72000</v>
      </c>
      <c r="G203" s="76">
        <f t="shared" si="55"/>
        <v>43.263946745518801</v>
      </c>
      <c r="I203" s="77">
        <f t="shared" si="59"/>
        <v>76</v>
      </c>
      <c r="J203" s="73">
        <f t="shared" si="56"/>
        <v>2037</v>
      </c>
      <c r="K203" s="78">
        <f t="shared" si="57"/>
        <v>50345</v>
      </c>
      <c r="M203" s="41">
        <f t="shared" si="58"/>
        <v>2.155E-2</v>
      </c>
    </row>
    <row r="204" spans="2:20" hidden="1" outlineLevel="1">
      <c r="B204" s="82">
        <f t="shared" si="49"/>
        <v>50375</v>
      </c>
      <c r="C204" s="79">
        <v>2741709.2864299268</v>
      </c>
      <c r="D204" s="80">
        <f>IF(F204&lt;&gt;0,VLOOKUP($J204,'Table 1'!$B$13:$C$33,2,FALSE)/12*1000*Study_MW,0)</f>
        <v>1087794.43254818</v>
      </c>
      <c r="E204" s="80">
        <f t="shared" si="54"/>
        <v>3829503.718978107</v>
      </c>
      <c r="F204" s="79">
        <v>74400</v>
      </c>
      <c r="G204" s="81">
        <f t="shared" si="55"/>
        <v>51.471824179813268</v>
      </c>
      <c r="I204" s="64">
        <f t="shared" si="59"/>
        <v>77</v>
      </c>
      <c r="J204" s="73">
        <f t="shared" si="56"/>
        <v>2037</v>
      </c>
      <c r="K204" s="82">
        <f t="shared" si="57"/>
        <v>50375</v>
      </c>
      <c r="M204" s="41">
        <f t="shared" si="58"/>
        <v>2.155E-2</v>
      </c>
    </row>
    <row r="205" spans="2:20" hidden="1" outlineLevel="1">
      <c r="B205" s="74">
        <f t="shared" si="49"/>
        <v>50406</v>
      </c>
      <c r="C205" s="69">
        <v>2327016.3390140384</v>
      </c>
      <c r="D205" s="70">
        <f>IF(F205&lt;&gt;0,VLOOKUP($J205,'Table 1'!$B$13:$C$33,2,FALSE)/12*1000*Study_MW,0)</f>
        <v>1111170.592433976</v>
      </c>
      <c r="E205" s="70">
        <f t="shared" si="54"/>
        <v>3438186.9314480145</v>
      </c>
      <c r="F205" s="69">
        <v>74400</v>
      </c>
      <c r="G205" s="72">
        <f t="shared" si="55"/>
        <v>46.212189938817396</v>
      </c>
      <c r="I205" s="60">
        <f>I85</f>
        <v>79</v>
      </c>
      <c r="J205" s="73">
        <f t="shared" si="56"/>
        <v>2038</v>
      </c>
      <c r="K205" s="74">
        <f t="shared" si="57"/>
        <v>50406</v>
      </c>
      <c r="M205" s="41">
        <f t="shared" si="58"/>
        <v>2.155E-2</v>
      </c>
      <c r="T205" s="171"/>
    </row>
    <row r="206" spans="2:20" hidden="1" outlineLevel="1">
      <c r="B206" s="78">
        <f t="shared" ref="B206:B240" si="60">EDATE(B205,1)</f>
        <v>50437</v>
      </c>
      <c r="C206" s="75">
        <v>2219320.4642223716</v>
      </c>
      <c r="D206" s="71">
        <f>IF(F206&lt;&gt;0,VLOOKUP($J206,'Table 1'!$B$13:$C$33,2,FALSE)/12*1000*Study_MW,0)</f>
        <v>1111170.592433976</v>
      </c>
      <c r="E206" s="71">
        <f t="shared" si="54"/>
        <v>3330491.0566563476</v>
      </c>
      <c r="F206" s="75">
        <v>67200</v>
      </c>
      <c r="G206" s="76">
        <f t="shared" si="55"/>
        <v>49.560878819290885</v>
      </c>
      <c r="I206" s="77">
        <f t="shared" ref="I206:I216" si="61">I86</f>
        <v>80</v>
      </c>
      <c r="J206" s="73">
        <f t="shared" si="56"/>
        <v>2038</v>
      </c>
      <c r="K206" s="78">
        <f t="shared" si="57"/>
        <v>50437</v>
      </c>
      <c r="M206" s="41">
        <f t="shared" si="58"/>
        <v>2.155E-2</v>
      </c>
      <c r="T206" s="171"/>
    </row>
    <row r="207" spans="2:20" hidden="1" outlineLevel="1">
      <c r="B207" s="78">
        <f t="shared" si="60"/>
        <v>50465</v>
      </c>
      <c r="C207" s="75">
        <v>1534014.2807935327</v>
      </c>
      <c r="D207" s="71">
        <f>IF(F207&lt;&gt;0,VLOOKUP($J207,'Table 1'!$B$13:$C$33,2,FALSE)/12*1000*Study_MW,0)</f>
        <v>1111170.592433976</v>
      </c>
      <c r="E207" s="71">
        <f t="shared" si="54"/>
        <v>2645184.8732275087</v>
      </c>
      <c r="F207" s="75">
        <v>74400</v>
      </c>
      <c r="G207" s="76">
        <f t="shared" si="55"/>
        <v>35.553560124025658</v>
      </c>
      <c r="I207" s="77">
        <f t="shared" si="61"/>
        <v>81</v>
      </c>
      <c r="J207" s="73">
        <f t="shared" si="56"/>
        <v>2038</v>
      </c>
      <c r="K207" s="78">
        <f t="shared" si="57"/>
        <v>50465</v>
      </c>
      <c r="M207" s="41">
        <f t="shared" si="58"/>
        <v>2.155E-2</v>
      </c>
      <c r="T207" s="171"/>
    </row>
    <row r="208" spans="2:20" hidden="1" outlineLevel="1">
      <c r="B208" s="78">
        <f t="shared" si="60"/>
        <v>50496</v>
      </c>
      <c r="C208" s="75">
        <v>865626.74354736507</v>
      </c>
      <c r="D208" s="71">
        <f>IF(F208&lt;&gt;0,VLOOKUP($J208,'Table 1'!$B$13:$C$33,2,FALSE)/12*1000*Study_MW,0)</f>
        <v>1111170.592433976</v>
      </c>
      <c r="E208" s="71">
        <f t="shared" si="54"/>
        <v>1976797.3359813411</v>
      </c>
      <c r="F208" s="75">
        <v>72000</v>
      </c>
      <c r="G208" s="76">
        <f t="shared" si="55"/>
        <v>27.455518555296404</v>
      </c>
      <c r="I208" s="77">
        <f t="shared" si="61"/>
        <v>82</v>
      </c>
      <c r="J208" s="73">
        <f t="shared" si="56"/>
        <v>2038</v>
      </c>
      <c r="K208" s="78">
        <f t="shared" si="57"/>
        <v>50496</v>
      </c>
      <c r="M208" s="41">
        <f t="shared" si="58"/>
        <v>2.155E-2</v>
      </c>
      <c r="T208" s="171"/>
    </row>
    <row r="209" spans="2:20" hidden="1" outlineLevel="1">
      <c r="B209" s="78">
        <f t="shared" si="60"/>
        <v>50526</v>
      </c>
      <c r="C209" s="75">
        <v>783798.28903976828</v>
      </c>
      <c r="D209" s="71">
        <f>IF(F209&lt;&gt;0,VLOOKUP($J209,'Table 1'!$B$13:$C$33,2,FALSE)/12*1000*Study_MW,0)</f>
        <v>1111170.592433976</v>
      </c>
      <c r="E209" s="71">
        <f t="shared" si="54"/>
        <v>1894968.8814737443</v>
      </c>
      <c r="F209" s="75">
        <v>74400</v>
      </c>
      <c r="G209" s="76">
        <f t="shared" si="55"/>
        <v>25.470011847765381</v>
      </c>
      <c r="I209" s="77">
        <f t="shared" si="61"/>
        <v>83</v>
      </c>
      <c r="J209" s="73">
        <f t="shared" si="56"/>
        <v>2038</v>
      </c>
      <c r="K209" s="78">
        <f t="shared" si="57"/>
        <v>50526</v>
      </c>
      <c r="M209" s="41">
        <f t="shared" si="58"/>
        <v>2.155E-2</v>
      </c>
      <c r="T209" s="171"/>
    </row>
    <row r="210" spans="2:20" hidden="1" outlineLevel="1">
      <c r="B210" s="78">
        <f t="shared" si="60"/>
        <v>50557</v>
      </c>
      <c r="C210" s="75">
        <v>1051708.4653507993</v>
      </c>
      <c r="D210" s="71">
        <f>IF(F210&lt;&gt;0,VLOOKUP($J210,'Table 1'!$B$13:$C$33,2,FALSE)/12*1000*Study_MW,0)</f>
        <v>1111170.592433976</v>
      </c>
      <c r="E210" s="71">
        <f t="shared" si="54"/>
        <v>2162879.0577847753</v>
      </c>
      <c r="F210" s="75">
        <v>72000</v>
      </c>
      <c r="G210" s="76">
        <f t="shared" si="55"/>
        <v>30.039986913677435</v>
      </c>
      <c r="I210" s="77">
        <f t="shared" si="61"/>
        <v>84</v>
      </c>
      <c r="J210" s="73">
        <f t="shared" si="56"/>
        <v>2038</v>
      </c>
      <c r="K210" s="78">
        <f t="shared" si="57"/>
        <v>50557</v>
      </c>
      <c r="M210" s="41">
        <f t="shared" si="58"/>
        <v>2.155E-2</v>
      </c>
      <c r="T210" s="171"/>
    </row>
    <row r="211" spans="2:20" hidden="1" outlineLevel="1">
      <c r="B211" s="78">
        <f t="shared" si="60"/>
        <v>50587</v>
      </c>
      <c r="C211" s="75">
        <v>1694993.7814761847</v>
      </c>
      <c r="D211" s="71">
        <f>IF(F211&lt;&gt;0,VLOOKUP($J211,'Table 1'!$B$13:$C$33,2,FALSE)/12*1000*Study_MW,0)</f>
        <v>1111170.592433976</v>
      </c>
      <c r="E211" s="71">
        <f t="shared" si="54"/>
        <v>2806164.3739101607</v>
      </c>
      <c r="F211" s="75">
        <v>74400</v>
      </c>
      <c r="G211" s="76">
        <f t="shared" si="55"/>
        <v>37.717263090190329</v>
      </c>
      <c r="I211" s="77">
        <f t="shared" si="61"/>
        <v>85</v>
      </c>
      <c r="J211" s="73">
        <f t="shared" si="56"/>
        <v>2038</v>
      </c>
      <c r="K211" s="78">
        <f t="shared" si="57"/>
        <v>50587</v>
      </c>
      <c r="M211" s="41">
        <f t="shared" si="58"/>
        <v>2.155E-2</v>
      </c>
      <c r="T211" s="171"/>
    </row>
    <row r="212" spans="2:20" hidden="1" outlineLevel="1">
      <c r="B212" s="78">
        <f t="shared" si="60"/>
        <v>50618</v>
      </c>
      <c r="C212" s="75">
        <v>2146900.61377047</v>
      </c>
      <c r="D212" s="71">
        <f>IF(F212&lt;&gt;0,VLOOKUP($J212,'Table 1'!$B$13:$C$33,2,FALSE)/12*1000*Study_MW,0)</f>
        <v>1111170.592433976</v>
      </c>
      <c r="E212" s="71">
        <f t="shared" si="54"/>
        <v>3258071.206204446</v>
      </c>
      <c r="F212" s="75">
        <v>74400</v>
      </c>
      <c r="G212" s="76">
        <f t="shared" si="55"/>
        <v>43.791279653285564</v>
      </c>
      <c r="I212" s="77">
        <f t="shared" si="61"/>
        <v>86</v>
      </c>
      <c r="J212" s="73">
        <f t="shared" si="56"/>
        <v>2038</v>
      </c>
      <c r="K212" s="78">
        <f t="shared" si="57"/>
        <v>50618</v>
      </c>
      <c r="M212" s="41">
        <f t="shared" si="58"/>
        <v>2.155E-2</v>
      </c>
      <c r="T212" s="171"/>
    </row>
    <row r="213" spans="2:20" hidden="1" outlineLevel="1">
      <c r="B213" s="78">
        <f t="shared" si="60"/>
        <v>50649</v>
      </c>
      <c r="C213" s="75">
        <v>2009968.9140586853</v>
      </c>
      <c r="D213" s="71">
        <f>IF(F213&lt;&gt;0,VLOOKUP($J213,'Table 1'!$B$13:$C$33,2,FALSE)/12*1000*Study_MW,0)</f>
        <v>1111170.592433976</v>
      </c>
      <c r="E213" s="71">
        <f t="shared" si="54"/>
        <v>3121139.5064926613</v>
      </c>
      <c r="F213" s="75">
        <v>72000</v>
      </c>
      <c r="G213" s="76">
        <f t="shared" si="55"/>
        <v>43.349159812398071</v>
      </c>
      <c r="I213" s="77">
        <f t="shared" si="61"/>
        <v>87</v>
      </c>
      <c r="J213" s="73">
        <f t="shared" si="56"/>
        <v>2038</v>
      </c>
      <c r="K213" s="78">
        <f t="shared" si="57"/>
        <v>50649</v>
      </c>
      <c r="M213" s="41">
        <f t="shared" si="58"/>
        <v>2.155E-2</v>
      </c>
      <c r="T213" s="171"/>
    </row>
    <row r="214" spans="2:20" hidden="1" outlineLevel="1">
      <c r="B214" s="78">
        <f t="shared" si="60"/>
        <v>50679</v>
      </c>
      <c r="C214" s="75">
        <v>2088619.9768374562</v>
      </c>
      <c r="D214" s="71">
        <f>IF(F214&lt;&gt;0,VLOOKUP($J214,'Table 1'!$B$13:$C$33,2,FALSE)/12*1000*Study_MW,0)</f>
        <v>1111170.592433976</v>
      </c>
      <c r="E214" s="71">
        <f t="shared" si="54"/>
        <v>3199790.5692714322</v>
      </c>
      <c r="F214" s="75">
        <v>74400</v>
      </c>
      <c r="G214" s="76">
        <f t="shared" si="55"/>
        <v>43.007937759024628</v>
      </c>
      <c r="I214" s="77">
        <f t="shared" si="61"/>
        <v>88</v>
      </c>
      <c r="J214" s="73">
        <f t="shared" si="56"/>
        <v>2038</v>
      </c>
      <c r="K214" s="78">
        <f t="shared" si="57"/>
        <v>50679</v>
      </c>
      <c r="M214" s="41">
        <f t="shared" si="58"/>
        <v>2.155E-2</v>
      </c>
      <c r="T214" s="171"/>
    </row>
    <row r="215" spans="2:20" hidden="1" outlineLevel="1">
      <c r="B215" s="78">
        <f t="shared" si="60"/>
        <v>50710</v>
      </c>
      <c r="C215" s="75">
        <v>2052311.7940825522</v>
      </c>
      <c r="D215" s="71">
        <f>IF(F215&lt;&gt;0,VLOOKUP($J215,'Table 1'!$B$13:$C$33,2,FALSE)/12*1000*Study_MW,0)</f>
        <v>1111170.592433976</v>
      </c>
      <c r="E215" s="71">
        <f t="shared" si="54"/>
        <v>3163482.3865165282</v>
      </c>
      <c r="F215" s="75">
        <v>72000</v>
      </c>
      <c r="G215" s="76">
        <f t="shared" si="55"/>
        <v>43.937255368285115</v>
      </c>
      <c r="I215" s="77">
        <f t="shared" si="61"/>
        <v>89</v>
      </c>
      <c r="J215" s="73">
        <f t="shared" si="56"/>
        <v>2038</v>
      </c>
      <c r="K215" s="78">
        <f t="shared" si="57"/>
        <v>50710</v>
      </c>
      <c r="M215" s="41">
        <f t="shared" si="58"/>
        <v>2.155E-2</v>
      </c>
      <c r="T215" s="171"/>
    </row>
    <row r="216" spans="2:20" hidden="1" outlineLevel="1">
      <c r="B216" s="82">
        <f t="shared" si="60"/>
        <v>50740</v>
      </c>
      <c r="C216" s="79">
        <v>2792459.0818152428</v>
      </c>
      <c r="D216" s="80">
        <f>IF(F216&lt;&gt;0,VLOOKUP($J216,'Table 1'!$B$13:$C$33,2,FALSE)/12*1000*Study_MW,0)</f>
        <v>1111170.592433976</v>
      </c>
      <c r="E216" s="80">
        <f t="shared" si="54"/>
        <v>3903629.6742492188</v>
      </c>
      <c r="F216" s="79">
        <v>74400</v>
      </c>
      <c r="G216" s="81">
        <f t="shared" si="55"/>
        <v>52.468140782919605</v>
      </c>
      <c r="I216" s="64">
        <f t="shared" si="61"/>
        <v>90</v>
      </c>
      <c r="J216" s="73">
        <f t="shared" si="56"/>
        <v>2038</v>
      </c>
      <c r="K216" s="82">
        <f t="shared" si="57"/>
        <v>50740</v>
      </c>
      <c r="M216" s="41">
        <f t="shared" si="58"/>
        <v>2.155E-2</v>
      </c>
      <c r="T216" s="171"/>
    </row>
    <row r="217" spans="2:20" hidden="1" outlineLevel="1">
      <c r="B217" s="74">
        <f t="shared" si="60"/>
        <v>50771</v>
      </c>
      <c r="C217" s="69">
        <v>2492634.3580769002</v>
      </c>
      <c r="D217" s="70">
        <f>IF(F217&lt;&gt;0,VLOOKUP($J217,'Table 1'!$B$13:$C$33,2,FALSE)/12*1000*Study_MW,0)</f>
        <v>1135082.0842255531</v>
      </c>
      <c r="E217" s="70">
        <f t="shared" ref="E217:E240" si="62">C217+D217</f>
        <v>3627716.4423024533</v>
      </c>
      <c r="F217" s="69">
        <v>74400</v>
      </c>
      <c r="G217" s="72">
        <f t="shared" ref="G217:G240" si="63">IF(ISNUMBER($F217),E217/$F217,"")</f>
        <v>48.759629600839425</v>
      </c>
      <c r="I217" s="60">
        <f>I97</f>
        <v>92</v>
      </c>
      <c r="J217" s="73">
        <f t="shared" si="56"/>
        <v>2039</v>
      </c>
      <c r="K217" s="74">
        <f t="shared" si="57"/>
        <v>50771</v>
      </c>
      <c r="M217" s="41">
        <f t="shared" si="58"/>
        <v>2.155E-2</v>
      </c>
      <c r="T217" s="171"/>
    </row>
    <row r="218" spans="2:20" hidden="1" outlineLevel="1">
      <c r="B218" s="78">
        <f t="shared" si="60"/>
        <v>50802</v>
      </c>
      <c r="C218" s="75">
        <v>2352384.9578805566</v>
      </c>
      <c r="D218" s="71">
        <f>IF(F218&lt;&gt;0,VLOOKUP($J218,'Table 1'!$B$13:$C$33,2,FALSE)/12*1000*Study_MW,0)</f>
        <v>1135082.0842255531</v>
      </c>
      <c r="E218" s="71">
        <f t="shared" si="62"/>
        <v>3487467.0421061097</v>
      </c>
      <c r="F218" s="75">
        <v>67200</v>
      </c>
      <c r="G218" s="76">
        <f t="shared" si="63"/>
        <v>51.89683098372187</v>
      </c>
      <c r="I218" s="77">
        <f t="shared" ref="I218:I228" si="64">I98</f>
        <v>93</v>
      </c>
      <c r="J218" s="73">
        <f t="shared" si="56"/>
        <v>2039</v>
      </c>
      <c r="K218" s="78">
        <f t="shared" si="57"/>
        <v>50802</v>
      </c>
      <c r="M218" s="41">
        <f t="shared" si="58"/>
        <v>2.155E-2</v>
      </c>
      <c r="T218" s="171"/>
    </row>
    <row r="219" spans="2:20" hidden="1" outlineLevel="1">
      <c r="B219" s="78">
        <f t="shared" si="60"/>
        <v>50830</v>
      </c>
      <c r="C219" s="75">
        <v>1637201.9852521718</v>
      </c>
      <c r="D219" s="71">
        <f>IF(F219&lt;&gt;0,VLOOKUP($J219,'Table 1'!$B$13:$C$33,2,FALSE)/12*1000*Study_MW,0)</f>
        <v>1135082.0842255531</v>
      </c>
      <c r="E219" s="71">
        <f t="shared" si="62"/>
        <v>2772284.0694777248</v>
      </c>
      <c r="F219" s="75">
        <v>74400</v>
      </c>
      <c r="G219" s="76">
        <f t="shared" si="63"/>
        <v>37.261882654270494</v>
      </c>
      <c r="I219" s="77">
        <f t="shared" si="64"/>
        <v>94</v>
      </c>
      <c r="J219" s="73">
        <f t="shared" si="56"/>
        <v>2039</v>
      </c>
      <c r="K219" s="78">
        <f t="shared" si="57"/>
        <v>50830</v>
      </c>
      <c r="M219" s="41">
        <f t="shared" si="58"/>
        <v>2.155E-2</v>
      </c>
      <c r="T219" s="171"/>
    </row>
    <row r="220" spans="2:20" hidden="1" outlineLevel="1">
      <c r="B220" s="78">
        <f t="shared" si="60"/>
        <v>50861</v>
      </c>
      <c r="C220" s="75">
        <v>907610.47381806374</v>
      </c>
      <c r="D220" s="71">
        <f>IF(F220&lt;&gt;0,VLOOKUP($J220,'Table 1'!$B$13:$C$33,2,FALSE)/12*1000*Study_MW,0)</f>
        <v>1135082.0842255531</v>
      </c>
      <c r="E220" s="71">
        <f t="shared" si="62"/>
        <v>2042692.5580436168</v>
      </c>
      <c r="F220" s="75">
        <v>72000</v>
      </c>
      <c r="G220" s="76">
        <f t="shared" si="63"/>
        <v>28.370729972828013</v>
      </c>
      <c r="I220" s="77">
        <f t="shared" si="64"/>
        <v>95</v>
      </c>
      <c r="J220" s="73">
        <f t="shared" si="56"/>
        <v>2039</v>
      </c>
      <c r="K220" s="78">
        <f t="shared" si="57"/>
        <v>50861</v>
      </c>
      <c r="M220" s="41">
        <f t="shared" si="58"/>
        <v>2.155E-2</v>
      </c>
      <c r="T220" s="171"/>
    </row>
    <row r="221" spans="2:20" hidden="1" outlineLevel="1">
      <c r="B221" s="78">
        <f t="shared" si="60"/>
        <v>50891</v>
      </c>
      <c r="C221" s="75">
        <v>859228.43754988909</v>
      </c>
      <c r="D221" s="71">
        <f>IF(F221&lt;&gt;0,VLOOKUP($J221,'Table 1'!$B$13:$C$33,2,FALSE)/12*1000*Study_MW,0)</f>
        <v>1135082.0842255531</v>
      </c>
      <c r="E221" s="71">
        <f t="shared" si="62"/>
        <v>1994310.5217754422</v>
      </c>
      <c r="F221" s="75">
        <v>74400</v>
      </c>
      <c r="G221" s="76">
        <f t="shared" si="63"/>
        <v>26.805248948594652</v>
      </c>
      <c r="I221" s="77">
        <f t="shared" si="64"/>
        <v>96</v>
      </c>
      <c r="J221" s="73">
        <f t="shared" si="56"/>
        <v>2039</v>
      </c>
      <c r="K221" s="78">
        <f t="shared" si="57"/>
        <v>50891</v>
      </c>
      <c r="M221" s="41">
        <f t="shared" si="58"/>
        <v>2.155E-2</v>
      </c>
      <c r="T221" s="171"/>
    </row>
    <row r="222" spans="2:20" hidden="1" outlineLevel="1">
      <c r="B222" s="78">
        <f t="shared" si="60"/>
        <v>50922</v>
      </c>
      <c r="C222" s="75">
        <v>1110122.4810665846</v>
      </c>
      <c r="D222" s="71">
        <f>IF(F222&lt;&gt;0,VLOOKUP($J222,'Table 1'!$B$13:$C$33,2,FALSE)/12*1000*Study_MW,0)</f>
        <v>1135082.0842255531</v>
      </c>
      <c r="E222" s="71">
        <f t="shared" si="62"/>
        <v>2245204.5652921377</v>
      </c>
      <c r="F222" s="75">
        <v>72000</v>
      </c>
      <c r="G222" s="76">
        <f t="shared" si="63"/>
        <v>31.183396740168579</v>
      </c>
      <c r="I222" s="77">
        <f t="shared" si="64"/>
        <v>97</v>
      </c>
      <c r="J222" s="73">
        <f t="shared" si="56"/>
        <v>2039</v>
      </c>
      <c r="K222" s="78">
        <f t="shared" si="57"/>
        <v>50922</v>
      </c>
      <c r="M222" s="41">
        <f t="shared" si="58"/>
        <v>2.155E-2</v>
      </c>
      <c r="T222" s="171"/>
    </row>
    <row r="223" spans="2:20" hidden="1" outlineLevel="1">
      <c r="B223" s="78">
        <f t="shared" si="60"/>
        <v>50952</v>
      </c>
      <c r="C223" s="75">
        <v>1749378.0271463394</v>
      </c>
      <c r="D223" s="71">
        <f>IF(F223&lt;&gt;0,VLOOKUP($J223,'Table 1'!$B$13:$C$33,2,FALSE)/12*1000*Study_MW,0)</f>
        <v>1135082.0842255531</v>
      </c>
      <c r="E223" s="71">
        <f t="shared" si="62"/>
        <v>2884460.1113718925</v>
      </c>
      <c r="F223" s="75">
        <v>74400</v>
      </c>
      <c r="G223" s="76">
        <f t="shared" si="63"/>
        <v>38.769625152848015</v>
      </c>
      <c r="I223" s="77">
        <f t="shared" si="64"/>
        <v>98</v>
      </c>
      <c r="J223" s="73">
        <f t="shared" si="56"/>
        <v>2039</v>
      </c>
      <c r="K223" s="78">
        <f t="shared" si="57"/>
        <v>50952</v>
      </c>
      <c r="M223" s="41">
        <f t="shared" si="58"/>
        <v>2.155E-2</v>
      </c>
      <c r="T223" s="171"/>
    </row>
    <row r="224" spans="2:20" hidden="1" outlineLevel="1">
      <c r="B224" s="78">
        <f t="shared" si="60"/>
        <v>50983</v>
      </c>
      <c r="C224" s="75">
        <v>2175448.0928558409</v>
      </c>
      <c r="D224" s="71">
        <f>IF(F224&lt;&gt;0,VLOOKUP($J224,'Table 1'!$B$13:$C$33,2,FALSE)/12*1000*Study_MW,0)</f>
        <v>1135082.0842255531</v>
      </c>
      <c r="E224" s="71">
        <f t="shared" si="62"/>
        <v>3310530.177081394</v>
      </c>
      <c r="F224" s="75">
        <v>74400</v>
      </c>
      <c r="G224" s="76">
        <f t="shared" si="63"/>
        <v>44.4963733478682</v>
      </c>
      <c r="I224" s="77">
        <f t="shared" si="64"/>
        <v>99</v>
      </c>
      <c r="J224" s="73">
        <f t="shared" si="56"/>
        <v>2039</v>
      </c>
      <c r="K224" s="78">
        <f t="shared" si="57"/>
        <v>50983</v>
      </c>
      <c r="M224" s="41">
        <f t="shared" si="58"/>
        <v>2.155E-2</v>
      </c>
      <c r="T224" s="171"/>
    </row>
    <row r="225" spans="2:20" hidden="1" outlineLevel="1">
      <c r="B225" s="78">
        <f t="shared" si="60"/>
        <v>51014</v>
      </c>
      <c r="C225" s="75">
        <v>2127076.5757993758</v>
      </c>
      <c r="D225" s="71">
        <f>IF(F225&lt;&gt;0,VLOOKUP($J225,'Table 1'!$B$13:$C$33,2,FALSE)/12*1000*Study_MW,0)</f>
        <v>1135082.0842255531</v>
      </c>
      <c r="E225" s="71">
        <f t="shared" si="62"/>
        <v>3262158.6600249289</v>
      </c>
      <c r="F225" s="75">
        <v>72000</v>
      </c>
      <c r="G225" s="76">
        <f t="shared" si="63"/>
        <v>45.307759167012904</v>
      </c>
      <c r="I225" s="77">
        <f t="shared" si="64"/>
        <v>100</v>
      </c>
      <c r="J225" s="73">
        <f t="shared" si="56"/>
        <v>2039</v>
      </c>
      <c r="K225" s="78">
        <f t="shared" si="57"/>
        <v>51014</v>
      </c>
      <c r="M225" s="41">
        <f t="shared" si="58"/>
        <v>2.155E-2</v>
      </c>
      <c r="T225" s="171"/>
    </row>
    <row r="226" spans="2:20" hidden="1" outlineLevel="1">
      <c r="B226" s="78">
        <f t="shared" si="60"/>
        <v>51044</v>
      </c>
      <c r="C226" s="75">
        <v>2160255.5918490589</v>
      </c>
      <c r="D226" s="71">
        <f>IF(F226&lt;&gt;0,VLOOKUP($J226,'Table 1'!$B$13:$C$33,2,FALSE)/12*1000*Study_MW,0)</f>
        <v>1135082.0842255531</v>
      </c>
      <c r="E226" s="71">
        <f t="shared" si="62"/>
        <v>3295337.676074612</v>
      </c>
      <c r="F226" s="75">
        <v>74400</v>
      </c>
      <c r="G226" s="76">
        <f t="shared" si="63"/>
        <v>44.29217306551898</v>
      </c>
      <c r="I226" s="77">
        <f t="shared" si="64"/>
        <v>101</v>
      </c>
      <c r="J226" s="73">
        <f t="shared" si="56"/>
        <v>2039</v>
      </c>
      <c r="K226" s="78">
        <f t="shared" si="57"/>
        <v>51044</v>
      </c>
      <c r="M226" s="41">
        <f t="shared" si="58"/>
        <v>2.155E-2</v>
      </c>
      <c r="T226" s="171"/>
    </row>
    <row r="227" spans="2:20" hidden="1" outlineLevel="1">
      <c r="B227" s="78">
        <f t="shared" si="60"/>
        <v>51075</v>
      </c>
      <c r="C227" s="75">
        <v>2118800.803468883</v>
      </c>
      <c r="D227" s="71">
        <f>IF(F227&lt;&gt;0,VLOOKUP($J227,'Table 1'!$B$13:$C$33,2,FALSE)/12*1000*Study_MW,0)</f>
        <v>1135082.0842255531</v>
      </c>
      <c r="E227" s="71">
        <f t="shared" si="62"/>
        <v>3253882.8876944361</v>
      </c>
      <c r="F227" s="75">
        <v>72000</v>
      </c>
      <c r="G227" s="76">
        <f t="shared" si="63"/>
        <v>45.192817884644946</v>
      </c>
      <c r="I227" s="77">
        <f t="shared" si="64"/>
        <v>102</v>
      </c>
      <c r="J227" s="73">
        <f t="shared" si="56"/>
        <v>2039</v>
      </c>
      <c r="K227" s="78">
        <f t="shared" si="57"/>
        <v>51075</v>
      </c>
      <c r="M227" s="41">
        <f t="shared" si="58"/>
        <v>2.155E-2</v>
      </c>
      <c r="T227" s="171"/>
    </row>
    <row r="228" spans="2:20" hidden="1" outlineLevel="1">
      <c r="B228" s="82">
        <f t="shared" si="60"/>
        <v>51105</v>
      </c>
      <c r="C228" s="79">
        <v>2845163.5060516596</v>
      </c>
      <c r="D228" s="80">
        <f>IF(F228&lt;&gt;0,VLOOKUP($J228,'Table 1'!$B$13:$C$33,2,FALSE)/12*1000*Study_MW,0)</f>
        <v>1135082.0842255531</v>
      </c>
      <c r="E228" s="80">
        <f t="shared" si="62"/>
        <v>3980245.5902772127</v>
      </c>
      <c r="F228" s="79">
        <v>74400</v>
      </c>
      <c r="G228" s="81">
        <f t="shared" si="63"/>
        <v>53.49792460050017</v>
      </c>
      <c r="I228" s="64">
        <f t="shared" si="64"/>
        <v>103</v>
      </c>
      <c r="J228" s="73">
        <f t="shared" si="56"/>
        <v>2039</v>
      </c>
      <c r="K228" s="82">
        <f t="shared" si="57"/>
        <v>51105</v>
      </c>
      <c r="M228" s="41">
        <f t="shared" si="58"/>
        <v>2.155E-2</v>
      </c>
      <c r="T228" s="171"/>
    </row>
    <row r="229" spans="2:20" hidden="1" outlineLevel="1">
      <c r="B229" s="74">
        <f t="shared" si="60"/>
        <v>51136</v>
      </c>
      <c r="C229" s="69">
        <v>2622109.9207460284</v>
      </c>
      <c r="D229" s="70">
        <f>IF(F229&lt;&gt;0,VLOOKUP($J229,'Table 1'!$B$13:$C$33,2,FALSE)/12*1000*Study_MW,0)</f>
        <v>1159528.9079229124</v>
      </c>
      <c r="E229" s="70">
        <f t="shared" si="62"/>
        <v>3781638.8286689408</v>
      </c>
      <c r="F229" s="69">
        <v>74400</v>
      </c>
      <c r="G229" s="72">
        <f t="shared" si="63"/>
        <v>50.82847887995888</v>
      </c>
      <c r="I229" s="60">
        <f>I109</f>
        <v>105</v>
      </c>
      <c r="J229" s="73">
        <f t="shared" si="56"/>
        <v>2040</v>
      </c>
      <c r="K229" s="74">
        <f t="shared" si="57"/>
        <v>51136</v>
      </c>
      <c r="M229" s="41">
        <f t="shared" si="58"/>
        <v>2.155E-2</v>
      </c>
      <c r="T229" s="171"/>
    </row>
    <row r="230" spans="2:20" hidden="1" outlineLevel="1">
      <c r="B230" s="78">
        <f t="shared" si="60"/>
        <v>51167</v>
      </c>
      <c r="C230" s="75">
        <v>2663347.2106493115</v>
      </c>
      <c r="D230" s="71">
        <f>IF(F230&lt;&gt;0,VLOOKUP($J230,'Table 1'!$B$13:$C$33,2,FALSE)/12*1000*Study_MW,0)</f>
        <v>1159528.9079229124</v>
      </c>
      <c r="E230" s="71">
        <f t="shared" si="62"/>
        <v>3822876.1185722239</v>
      </c>
      <c r="F230" s="75">
        <v>69600</v>
      </c>
      <c r="G230" s="76">
        <f t="shared" si="63"/>
        <v>54.926381013968737</v>
      </c>
      <c r="I230" s="77">
        <f t="shared" ref="I230:I240" si="65">I110</f>
        <v>106</v>
      </c>
      <c r="J230" s="73">
        <f t="shared" si="56"/>
        <v>2040</v>
      </c>
      <c r="K230" s="78">
        <f t="shared" si="57"/>
        <v>51167</v>
      </c>
      <c r="M230" s="41">
        <f t="shared" si="58"/>
        <v>2.155E-2</v>
      </c>
      <c r="T230" s="171"/>
    </row>
    <row r="231" spans="2:20" hidden="1" outlineLevel="1">
      <c r="B231" s="78">
        <f t="shared" si="60"/>
        <v>51196</v>
      </c>
      <c r="C231" s="75">
        <v>1731753.9147874117</v>
      </c>
      <c r="D231" s="71">
        <f>IF(F231&lt;&gt;0,VLOOKUP($J231,'Table 1'!$B$13:$C$33,2,FALSE)/12*1000*Study_MW,0)</f>
        <v>1159528.9079229124</v>
      </c>
      <c r="E231" s="71">
        <f t="shared" si="62"/>
        <v>2891282.8227103241</v>
      </c>
      <c r="F231" s="75">
        <v>74400</v>
      </c>
      <c r="G231" s="76">
        <f t="shared" si="63"/>
        <v>38.861328262235538</v>
      </c>
      <c r="I231" s="77">
        <f t="shared" si="65"/>
        <v>107</v>
      </c>
      <c r="J231" s="73">
        <f t="shared" si="56"/>
        <v>2040</v>
      </c>
      <c r="K231" s="78">
        <f t="shared" si="57"/>
        <v>51196</v>
      </c>
      <c r="M231" s="41">
        <f t="shared" si="58"/>
        <v>2.155E-2</v>
      </c>
      <c r="T231" s="171"/>
    </row>
    <row r="232" spans="2:20" hidden="1" outlineLevel="1">
      <c r="B232" s="78">
        <f t="shared" si="60"/>
        <v>51227</v>
      </c>
      <c r="C232" s="75">
        <v>1000351.3207376599</v>
      </c>
      <c r="D232" s="71">
        <f>IF(F232&lt;&gt;0,VLOOKUP($J232,'Table 1'!$B$13:$C$33,2,FALSE)/12*1000*Study_MW,0)</f>
        <v>1159528.9079229124</v>
      </c>
      <c r="E232" s="71">
        <f t="shared" si="62"/>
        <v>2159880.2286605723</v>
      </c>
      <c r="F232" s="75">
        <v>72000</v>
      </c>
      <c r="G232" s="76">
        <f t="shared" si="63"/>
        <v>29.998336509174617</v>
      </c>
      <c r="I232" s="77">
        <f t="shared" si="65"/>
        <v>108</v>
      </c>
      <c r="J232" s="73">
        <f t="shared" si="56"/>
        <v>2040</v>
      </c>
      <c r="K232" s="78">
        <f t="shared" si="57"/>
        <v>51227</v>
      </c>
      <c r="M232" s="41">
        <f t="shared" si="58"/>
        <v>2.155E-2</v>
      </c>
      <c r="T232" s="171"/>
    </row>
    <row r="233" spans="2:20" hidden="1" outlineLevel="1">
      <c r="B233" s="78">
        <f t="shared" si="60"/>
        <v>51257</v>
      </c>
      <c r="C233" s="75">
        <v>962290.23965251446</v>
      </c>
      <c r="D233" s="71">
        <f>IF(F233&lt;&gt;0,VLOOKUP($J233,'Table 1'!$B$13:$C$33,2,FALSE)/12*1000*Study_MW,0)</f>
        <v>1159528.9079229124</v>
      </c>
      <c r="E233" s="71">
        <f t="shared" si="62"/>
        <v>2121819.1475754268</v>
      </c>
      <c r="F233" s="75">
        <v>74400</v>
      </c>
      <c r="G233" s="76">
        <f t="shared" si="63"/>
        <v>28.519074564185846</v>
      </c>
      <c r="I233" s="77">
        <f t="shared" si="65"/>
        <v>109</v>
      </c>
      <c r="J233" s="73">
        <f t="shared" si="56"/>
        <v>2040</v>
      </c>
      <c r="K233" s="78">
        <f t="shared" si="57"/>
        <v>51257</v>
      </c>
      <c r="M233" s="41">
        <f t="shared" si="58"/>
        <v>2.155E-2</v>
      </c>
      <c r="T233" s="171"/>
    </row>
    <row r="234" spans="2:20" hidden="1" outlineLevel="1">
      <c r="B234" s="78">
        <f t="shared" si="60"/>
        <v>51288</v>
      </c>
      <c r="C234" s="75">
        <v>1256479.4867318571</v>
      </c>
      <c r="D234" s="71">
        <f>IF(F234&lt;&gt;0,VLOOKUP($J234,'Table 1'!$B$13:$C$33,2,FALSE)/12*1000*Study_MW,0)</f>
        <v>1159528.9079229124</v>
      </c>
      <c r="E234" s="71">
        <f t="shared" si="62"/>
        <v>2416008.3946547695</v>
      </c>
      <c r="F234" s="75">
        <v>72000</v>
      </c>
      <c r="G234" s="76">
        <f t="shared" si="63"/>
        <v>33.555672147982911</v>
      </c>
      <c r="I234" s="77">
        <f t="shared" si="65"/>
        <v>110</v>
      </c>
      <c r="J234" s="73">
        <f t="shared" si="56"/>
        <v>2040</v>
      </c>
      <c r="K234" s="78">
        <f t="shared" si="57"/>
        <v>51288</v>
      </c>
      <c r="M234" s="41">
        <f t="shared" si="58"/>
        <v>2.155E-2</v>
      </c>
      <c r="T234" s="171"/>
    </row>
    <row r="235" spans="2:20" hidden="1" outlineLevel="1">
      <c r="B235" s="78">
        <f t="shared" si="60"/>
        <v>51318</v>
      </c>
      <c r="C235" s="75">
        <v>1819174.9804029465</v>
      </c>
      <c r="D235" s="71">
        <f>IF(F235&lt;&gt;0,VLOOKUP($J235,'Table 1'!$B$13:$C$33,2,FALSE)/12*1000*Study_MW,0)</f>
        <v>1159528.9079229124</v>
      </c>
      <c r="E235" s="71">
        <f t="shared" si="62"/>
        <v>2978703.8883258589</v>
      </c>
      <c r="F235" s="75">
        <v>74400</v>
      </c>
      <c r="G235" s="76">
        <f t="shared" si="63"/>
        <v>40.036342585024983</v>
      </c>
      <c r="I235" s="77">
        <f t="shared" si="65"/>
        <v>111</v>
      </c>
      <c r="J235" s="73">
        <f t="shared" si="56"/>
        <v>2040</v>
      </c>
      <c r="K235" s="78">
        <f t="shared" si="57"/>
        <v>51318</v>
      </c>
      <c r="M235" s="41">
        <f t="shared" si="58"/>
        <v>2.155E-2</v>
      </c>
      <c r="T235" s="171"/>
    </row>
    <row r="236" spans="2:20" hidden="1" outlineLevel="1">
      <c r="B236" s="78">
        <f t="shared" si="60"/>
        <v>51349</v>
      </c>
      <c r="C236" s="75">
        <v>2067228.8523264825</v>
      </c>
      <c r="D236" s="71">
        <f>IF(F236&lt;&gt;0,VLOOKUP($J236,'Table 1'!$B$13:$C$33,2,FALSE)/12*1000*Study_MW,0)</f>
        <v>1159528.9079229124</v>
      </c>
      <c r="E236" s="71">
        <f t="shared" si="62"/>
        <v>3226757.7602493949</v>
      </c>
      <c r="F236" s="75">
        <v>74400</v>
      </c>
      <c r="G236" s="76">
        <f t="shared" si="63"/>
        <v>43.370400003352081</v>
      </c>
      <c r="I236" s="77">
        <f t="shared" si="65"/>
        <v>112</v>
      </c>
      <c r="J236" s="73">
        <f t="shared" si="56"/>
        <v>2040</v>
      </c>
      <c r="K236" s="78">
        <f t="shared" si="57"/>
        <v>51349</v>
      </c>
      <c r="M236" s="41">
        <f t="shared" si="58"/>
        <v>2.155E-2</v>
      </c>
      <c r="T236" s="171"/>
    </row>
    <row r="237" spans="2:20" hidden="1" outlineLevel="1">
      <c r="B237" s="78">
        <f t="shared" si="60"/>
        <v>51380</v>
      </c>
      <c r="C237" s="75">
        <v>2272124.4705834389</v>
      </c>
      <c r="D237" s="71">
        <f>IF(F237&lt;&gt;0,VLOOKUP($J237,'Table 1'!$B$13:$C$33,2,FALSE)/12*1000*Study_MW,0)</f>
        <v>1159528.9079229124</v>
      </c>
      <c r="E237" s="71">
        <f t="shared" si="62"/>
        <v>3431653.3785063513</v>
      </c>
      <c r="F237" s="75">
        <v>72000</v>
      </c>
      <c r="G237" s="76">
        <f t="shared" si="63"/>
        <v>47.661852479254875</v>
      </c>
      <c r="I237" s="77">
        <f t="shared" si="65"/>
        <v>113</v>
      </c>
      <c r="J237" s="73">
        <f t="shared" si="56"/>
        <v>2040</v>
      </c>
      <c r="K237" s="78">
        <f t="shared" si="57"/>
        <v>51380</v>
      </c>
      <c r="M237" s="41">
        <f t="shared" si="58"/>
        <v>2.155E-2</v>
      </c>
      <c r="T237" s="171"/>
    </row>
    <row r="238" spans="2:20" hidden="1" outlineLevel="1">
      <c r="B238" s="78">
        <f t="shared" si="60"/>
        <v>51410</v>
      </c>
      <c r="C238" s="75">
        <v>2490583.6841382682</v>
      </c>
      <c r="D238" s="71">
        <f>IF(F238&lt;&gt;0,VLOOKUP($J238,'Table 1'!$B$13:$C$33,2,FALSE)/12*1000*Study_MW,0)</f>
        <v>1159528.9079229124</v>
      </c>
      <c r="E238" s="71">
        <f t="shared" si="62"/>
        <v>3650112.5920611806</v>
      </c>
      <c r="F238" s="75">
        <v>74400</v>
      </c>
      <c r="G238" s="76">
        <f t="shared" si="63"/>
        <v>49.060653119101893</v>
      </c>
      <c r="I238" s="77">
        <f t="shared" si="65"/>
        <v>114</v>
      </c>
      <c r="J238" s="73">
        <f t="shared" si="56"/>
        <v>2040</v>
      </c>
      <c r="K238" s="78">
        <f t="shared" si="57"/>
        <v>51410</v>
      </c>
      <c r="M238" s="41">
        <f t="shared" si="58"/>
        <v>2.155E-2</v>
      </c>
      <c r="T238" s="171"/>
    </row>
    <row r="239" spans="2:20" hidden="1" outlineLevel="1">
      <c r="B239" s="78">
        <f t="shared" si="60"/>
        <v>51441</v>
      </c>
      <c r="C239" s="75">
        <v>2060484.5769545734</v>
      </c>
      <c r="D239" s="71">
        <f>IF(F239&lt;&gt;0,VLOOKUP($J239,'Table 1'!$B$13:$C$33,2,FALSE)/12*1000*Study_MW,0)</f>
        <v>1159528.9079229124</v>
      </c>
      <c r="E239" s="71">
        <f t="shared" si="62"/>
        <v>3220013.4848774858</v>
      </c>
      <c r="F239" s="75">
        <v>72000</v>
      </c>
      <c r="G239" s="76">
        <f t="shared" si="63"/>
        <v>44.722409512187305</v>
      </c>
      <c r="I239" s="77">
        <f t="shared" si="65"/>
        <v>115</v>
      </c>
      <c r="J239" s="73">
        <f t="shared" si="56"/>
        <v>2040</v>
      </c>
      <c r="K239" s="78">
        <f t="shared" si="57"/>
        <v>51441</v>
      </c>
      <c r="M239" s="41">
        <f t="shared" si="58"/>
        <v>2.155E-2</v>
      </c>
      <c r="T239" s="171"/>
    </row>
    <row r="240" spans="2:20" hidden="1" outlineLevel="1">
      <c r="B240" s="82">
        <f t="shared" si="60"/>
        <v>51471</v>
      </c>
      <c r="C240" s="79">
        <v>3010105.8110131025</v>
      </c>
      <c r="D240" s="80">
        <f>IF(F240&lt;&gt;0,VLOOKUP($J240,'Table 1'!$B$13:$C$33,2,FALSE)/12*1000*Study_MW,0)</f>
        <v>1159528.9079229124</v>
      </c>
      <c r="E240" s="80">
        <f t="shared" si="62"/>
        <v>4169634.7189360149</v>
      </c>
      <c r="F240" s="79">
        <v>74400</v>
      </c>
      <c r="G240" s="81">
        <f t="shared" si="63"/>
        <v>56.043477405053963</v>
      </c>
      <c r="I240" s="64">
        <f t="shared" si="65"/>
        <v>116</v>
      </c>
      <c r="J240" s="73">
        <f t="shared" si="56"/>
        <v>2040</v>
      </c>
      <c r="K240" s="82">
        <f t="shared" si="57"/>
        <v>51471</v>
      </c>
      <c r="M240" s="41">
        <f t="shared" si="58"/>
        <v>2.155E-2</v>
      </c>
      <c r="T240" s="171"/>
    </row>
    <row r="241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topLeftCell="O9" zoomScale="80" zoomScaleNormal="80" workbookViewId="0">
      <selection activeCell="AA4" sqref="AA4:AD4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59" customWidth="1"/>
    <col min="60" max="60" width="12.5" style="117" customWidth="1"/>
    <col min="61" max="61" width="9.33203125" style="117"/>
    <col min="62" max="62" width="9.83203125" style="117" customWidth="1"/>
    <col min="63" max="63" width="13.83203125" style="117" customWidth="1"/>
    <col min="64" max="64" width="12.5" style="159" customWidth="1"/>
    <col min="65" max="65" width="12.5" style="117" customWidth="1"/>
    <col min="66" max="16384" width="9.33203125" style="117"/>
  </cols>
  <sheetData>
    <row r="1" spans="2:6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5" ht="15.75">
      <c r="B2" s="115" t="s">
        <v>178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5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5" s="327" customFormat="1" ht="18.95" customHeight="1">
      <c r="B4" s="429" t="s">
        <v>145</v>
      </c>
      <c r="C4" s="430"/>
      <c r="D4" s="430"/>
      <c r="E4" s="431"/>
      <c r="F4" s="118"/>
      <c r="G4" s="429" t="s">
        <v>163</v>
      </c>
      <c r="H4" s="430"/>
      <c r="I4" s="430"/>
      <c r="J4" s="431"/>
      <c r="K4" s="118"/>
      <c r="L4" s="432" t="s">
        <v>164</v>
      </c>
      <c r="M4" s="433"/>
      <c r="N4" s="433"/>
      <c r="O4" s="434"/>
      <c r="Q4" s="432" t="s">
        <v>166</v>
      </c>
      <c r="R4" s="433"/>
      <c r="S4" s="433"/>
      <c r="T4" s="434"/>
      <c r="U4" s="118"/>
      <c r="V4" s="429" t="s">
        <v>167</v>
      </c>
      <c r="W4" s="430"/>
      <c r="X4" s="430"/>
      <c r="Y4" s="431"/>
      <c r="Z4" s="118"/>
      <c r="AA4" s="429" t="s">
        <v>168</v>
      </c>
      <c r="AB4" s="430"/>
      <c r="AC4" s="430"/>
      <c r="AD4" s="431"/>
      <c r="AE4" s="118"/>
      <c r="AF4" s="429" t="s">
        <v>170</v>
      </c>
      <c r="AG4" s="430"/>
      <c r="AH4" s="430"/>
      <c r="AI4" s="431"/>
      <c r="AJ4" s="118"/>
      <c r="AK4" s="432" t="s">
        <v>171</v>
      </c>
      <c r="AL4" s="433"/>
      <c r="AM4" s="433"/>
      <c r="AN4" s="434"/>
      <c r="AO4" s="118"/>
      <c r="AP4" s="432" t="s">
        <v>173</v>
      </c>
      <c r="AQ4" s="433"/>
      <c r="AR4" s="433"/>
      <c r="AS4" s="434"/>
      <c r="AT4" s="118"/>
      <c r="AU4" s="432" t="s">
        <v>146</v>
      </c>
      <c r="AV4" s="433"/>
      <c r="AW4" s="433"/>
      <c r="AX4" s="434"/>
      <c r="AY4" s="118"/>
      <c r="AZ4" s="432" t="s">
        <v>176</v>
      </c>
      <c r="BA4" s="433"/>
      <c r="BB4" s="433"/>
      <c r="BC4" s="434"/>
      <c r="BD4" s="341"/>
      <c r="BE4" s="432" t="s">
        <v>177</v>
      </c>
      <c r="BF4" s="433"/>
      <c r="BG4" s="433"/>
      <c r="BH4" s="434"/>
      <c r="BJ4" s="432" t="s">
        <v>147</v>
      </c>
      <c r="BK4" s="433"/>
      <c r="BL4" s="433"/>
      <c r="BM4" s="434"/>
    </row>
    <row r="5" spans="2:65" ht="51.75" customHeight="1">
      <c r="B5" s="120" t="s">
        <v>0</v>
      </c>
      <c r="C5" s="121" t="s">
        <v>86</v>
      </c>
      <c r="D5" s="121" t="s">
        <v>82</v>
      </c>
      <c r="E5" s="17" t="s">
        <v>52</v>
      </c>
      <c r="G5" s="120" t="s">
        <v>0</v>
      </c>
      <c r="H5" s="121" t="s">
        <v>86</v>
      </c>
      <c r="I5" s="121" t="s">
        <v>82</v>
      </c>
      <c r="J5" s="17" t="s">
        <v>52</v>
      </c>
      <c r="L5" s="120" t="s">
        <v>0</v>
      </c>
      <c r="M5" s="121" t="s">
        <v>86</v>
      </c>
      <c r="N5" s="121" t="s">
        <v>82</v>
      </c>
      <c r="O5" s="17" t="s">
        <v>52</v>
      </c>
      <c r="Q5" s="120" t="s">
        <v>0</v>
      </c>
      <c r="R5" s="121" t="s">
        <v>86</v>
      </c>
      <c r="S5" s="121" t="s">
        <v>82</v>
      </c>
      <c r="T5" s="17" t="s">
        <v>52</v>
      </c>
      <c r="V5" s="120" t="s">
        <v>0</v>
      </c>
      <c r="W5" s="121" t="s">
        <v>86</v>
      </c>
      <c r="X5" s="121" t="s">
        <v>82</v>
      </c>
      <c r="Y5" s="17" t="s">
        <v>52</v>
      </c>
      <c r="AA5" s="120" t="s">
        <v>0</v>
      </c>
      <c r="AB5" s="121" t="s">
        <v>86</v>
      </c>
      <c r="AC5" s="121" t="s">
        <v>82</v>
      </c>
      <c r="AD5" s="17" t="s">
        <v>52</v>
      </c>
      <c r="AF5" s="120" t="s">
        <v>0</v>
      </c>
      <c r="AG5" s="121" t="s">
        <v>86</v>
      </c>
      <c r="AH5" s="121" t="s">
        <v>82</v>
      </c>
      <c r="AI5" s="17" t="s">
        <v>52</v>
      </c>
      <c r="AK5" s="120" t="s">
        <v>0</v>
      </c>
      <c r="AL5" s="121" t="s">
        <v>86</v>
      </c>
      <c r="AM5" s="121" t="s">
        <v>82</v>
      </c>
      <c r="AN5" s="17" t="s">
        <v>52</v>
      </c>
      <c r="AP5" s="120" t="s">
        <v>0</v>
      </c>
      <c r="AQ5" s="121" t="s">
        <v>86</v>
      </c>
      <c r="AR5" s="121" t="s">
        <v>82</v>
      </c>
      <c r="AS5" s="17" t="s">
        <v>52</v>
      </c>
      <c r="AU5" s="120" t="s">
        <v>0</v>
      </c>
      <c r="AV5" s="121" t="s">
        <v>86</v>
      </c>
      <c r="AW5" s="121" t="s">
        <v>82</v>
      </c>
      <c r="AX5" s="17" t="s">
        <v>52</v>
      </c>
      <c r="AZ5" s="120" t="s">
        <v>0</v>
      </c>
      <c r="BA5" s="121" t="s">
        <v>86</v>
      </c>
      <c r="BB5" s="121" t="s">
        <v>82</v>
      </c>
      <c r="BC5" s="17" t="s">
        <v>52</v>
      </c>
      <c r="BE5" s="120" t="s">
        <v>0</v>
      </c>
      <c r="BF5" s="121" t="s">
        <v>86</v>
      </c>
      <c r="BG5" s="121" t="s">
        <v>82</v>
      </c>
      <c r="BH5" s="17" t="s">
        <v>52</v>
      </c>
      <c r="BJ5" s="120" t="s">
        <v>0</v>
      </c>
      <c r="BK5" s="121" t="s">
        <v>86</v>
      </c>
      <c r="BL5" s="121" t="s">
        <v>82</v>
      </c>
      <c r="BM5" s="17" t="s">
        <v>52</v>
      </c>
    </row>
    <row r="6" spans="2:65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  <c r="BJ6" s="122"/>
      <c r="BK6" s="124" t="s">
        <v>9</v>
      </c>
      <c r="BL6" s="123" t="s">
        <v>83</v>
      </c>
      <c r="BM6" s="19" t="s">
        <v>9</v>
      </c>
    </row>
    <row r="7" spans="2:65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  <c r="BK7" s="125" t="s">
        <v>2</v>
      </c>
      <c r="BL7" s="125" t="s">
        <v>4</v>
      </c>
      <c r="BM7" s="125" t="s">
        <v>23</v>
      </c>
    </row>
    <row r="8" spans="2:65" ht="6" customHeight="1">
      <c r="BG8" s="117"/>
      <c r="BL8" s="117"/>
    </row>
    <row r="9" spans="2:65">
      <c r="B9" s="340" t="str">
        <f>B4</f>
        <v>Aeolus_Wyoming - to - Utah S, Expansion</v>
      </c>
      <c r="D9" s="119"/>
      <c r="E9" s="119"/>
      <c r="G9" s="340" t="str">
        <f>G4</f>
        <v>Utah S - to - Utah N, Expansion</v>
      </c>
      <c r="I9" s="119"/>
      <c r="J9" s="119"/>
      <c r="L9" s="340" t="str">
        <f>L4</f>
        <v>Portland NC - Willamette V, Expansion</v>
      </c>
      <c r="N9" s="119"/>
      <c r="O9" s="119"/>
      <c r="Q9" s="340" t="str">
        <f>Q4</f>
        <v>Portland NC - to - Southern Oregon, Expansion</v>
      </c>
      <c r="S9" s="119"/>
      <c r="T9" s="119"/>
      <c r="V9" s="340" t="str">
        <f>V4</f>
        <v>Central OR - to - Willamette V, Expansion</v>
      </c>
      <c r="X9" s="119"/>
      <c r="Y9" s="119"/>
      <c r="AA9" s="340" t="s">
        <v>148</v>
      </c>
      <c r="AC9" s="119"/>
      <c r="AD9" s="119"/>
      <c r="AF9" s="340" t="s">
        <v>149</v>
      </c>
      <c r="AH9" s="119"/>
      <c r="AI9" s="119"/>
      <c r="AK9" s="340" t="str">
        <f>AK4</f>
        <v>Portland NC, Transmission Integration</v>
      </c>
      <c r="AM9" s="119"/>
      <c r="AN9" s="119"/>
      <c r="AP9" s="340" t="str">
        <f>AP4</f>
        <v>Southern OR, Transmission Integration 2028</v>
      </c>
      <c r="AR9" s="119"/>
      <c r="AS9" s="119"/>
      <c r="AU9" s="340" t="str">
        <f>AU4</f>
        <v>Utah N, Transmission Integration</v>
      </c>
      <c r="AW9" s="119"/>
      <c r="AX9" s="119"/>
      <c r="AZ9" s="340" t="str">
        <f>AZ4</f>
        <v>Utah S, Transmission Integration</v>
      </c>
      <c r="BB9" s="119"/>
      <c r="BC9" s="119"/>
      <c r="BE9" s="340" t="str">
        <f>BE4</f>
        <v>Willamette V, Transmission Integration</v>
      </c>
      <c r="BG9" s="119"/>
      <c r="BH9" s="119"/>
      <c r="BJ9" s="340" t="str">
        <f>BJ4</f>
        <v>Yakima, Transmission Integration</v>
      </c>
      <c r="BL9" s="119"/>
      <c r="BM9" s="119"/>
    </row>
    <row r="10" spans="2:65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135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0</v>
      </c>
      <c r="AC10" s="135">
        <v>12</v>
      </c>
      <c r="AD10" s="130">
        <f t="shared" ref="AD10:AD32" si="5">SUM(AB10:AB10)*AC10/12</f>
        <v>0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  <c r="BJ10" s="135">
        <f>AF10</f>
        <v>2023</v>
      </c>
      <c r="BK10" s="128">
        <f>IF($B10&lt;BL$35,0,IF($B10=BL$35,BL$39,ROUND(BK9*(1+(IFERROR(INDEX($D$44:$D$52,MATCH($B10,$C$44:$C$52,0),1),0)+IFERROR(INDEX($G$44:$G$52,MATCH($B10,$F$44:$F$52,0),1),0)+IFERROR(INDEX($J$44:$J$52,MATCH($B10,$I$44:$I$52,0),1),0))),2)))</f>
        <v>0</v>
      </c>
      <c r="BL10" s="135">
        <v>12</v>
      </c>
      <c r="BM10" s="130">
        <f t="shared" ref="BM10:BM32" si="12">SUM(BK10:BK10)*BL10/12</f>
        <v>0</v>
      </c>
    </row>
    <row r="11" spans="2:65">
      <c r="B11" s="135">
        <f t="shared" ref="B11:B32" si="13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0</v>
      </c>
      <c r="D11" s="135">
        <v>12</v>
      </c>
      <c r="E11" s="130">
        <f t="shared" si="0"/>
        <v>0</v>
      </c>
      <c r="F11" s="119"/>
      <c r="G11" s="135">
        <f t="shared" ref="G11:G32" si="14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5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135">
        <f t="shared" ref="Q11:Q32" si="16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0</v>
      </c>
      <c r="S11" s="135">
        <v>12</v>
      </c>
      <c r="T11" s="130">
        <f t="shared" si="3"/>
        <v>0</v>
      </c>
      <c r="U11" s="119"/>
      <c r="V11" s="135">
        <f t="shared" ref="V11:V32" si="17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</v>
      </c>
      <c r="X11" s="135">
        <v>12</v>
      </c>
      <c r="Y11" s="130">
        <f t="shared" si="4"/>
        <v>0</v>
      </c>
      <c r="Z11" s="119"/>
      <c r="AA11" s="135">
        <f t="shared" ref="AA11:AA32" si="18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0</v>
      </c>
      <c r="AC11" s="135">
        <v>12</v>
      </c>
      <c r="AD11" s="130">
        <f t="shared" si="5"/>
        <v>0</v>
      </c>
      <c r="AE11" s="119"/>
      <c r="AF11" s="135">
        <f t="shared" ref="AF11:AF32" si="19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20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1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2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331">
        <f t="shared" ref="AZ11:AZ32" si="23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578.93401308399336</v>
      </c>
      <c r="BB11" s="135">
        <v>12</v>
      </c>
      <c r="BC11" s="130">
        <f t="shared" si="10"/>
        <v>578.93401308399336</v>
      </c>
      <c r="BE11" s="135">
        <f t="shared" ref="BE11:BE32" si="24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  <c r="BJ11" s="135">
        <f t="shared" ref="BJ11:BJ32" si="25">BJ10+1</f>
        <v>2024</v>
      </c>
      <c r="BK11" s="128">
        <f>IF($B11&lt;BL$35,0,IF($B11=BL$35,BL$39,ROUND(BK10*(1+(IFERROR(INDEX($D$44:$D$52,MATCH($B11,$C$44:$C$52,0),1),0)+IFERROR(INDEX($G$44:$G$52,MATCH($B11,$F$44:$F$52,0),1),0)+IFERROR(INDEX($J$44:$J$52,MATCH($B11,$I$44:$I$52,0),1),0))),2)))</f>
        <v>0</v>
      </c>
      <c r="BL11" s="135">
        <v>12</v>
      </c>
      <c r="BM11" s="130">
        <f t="shared" si="12"/>
        <v>0</v>
      </c>
    </row>
    <row r="12" spans="2:65">
      <c r="B12" s="331">
        <f t="shared" si="13"/>
        <v>2025</v>
      </c>
      <c r="C12" s="128">
        <f t="shared" ref="C12:C32" si="26">IF($B12&lt;D$35,0,IF($B12=D$35,D$39,ROUND(C11*(1+(IFERROR(INDEX($D$44:$D$52,MATCH($B12,$C$44:$C$52,0),1),0)+IFERROR(INDEX($G$44:$G$52,MATCH($B12,$F$44:$F$52,0),1),0)+IFERROR(INDEX($J$44:$J$52,MATCH($B12,$I$44:$I$52,0),1),0))),2)))</f>
        <v>58.544856686682266</v>
      </c>
      <c r="D12" s="135">
        <v>12</v>
      </c>
      <c r="E12" s="130">
        <f t="shared" si="0"/>
        <v>58.544856686682266</v>
      </c>
      <c r="F12" s="119"/>
      <c r="G12" s="135">
        <f t="shared" si="14"/>
        <v>2025</v>
      </c>
      <c r="H12" s="128">
        <f t="shared" ref="H12:H32" si="27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5"/>
        <v>2025</v>
      </c>
      <c r="M12" s="128">
        <f t="shared" ref="M12:M32" si="28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6"/>
        <v>2025</v>
      </c>
      <c r="R12" s="128">
        <f t="shared" ref="R12:R32" si="29">IF($B12&lt;S$35,0,IF($B12=S$35,S$39,ROUND(R11*(1+(IFERROR(INDEX($D$44:$D$52,MATCH($B12,$C$44:$C$52,0),1),0)+IFERROR(INDEX($G$44:$G$52,MATCH($B12,$F$44:$F$52,0),1),0)+IFERROR(INDEX($J$44:$J$52,MATCH($B12,$I$44:$I$52,0),1),0))),2)))</f>
        <v>0</v>
      </c>
      <c r="S12" s="135">
        <v>12</v>
      </c>
      <c r="T12" s="130">
        <f t="shared" si="3"/>
        <v>0</v>
      </c>
      <c r="U12" s="119"/>
      <c r="V12" s="135">
        <f t="shared" si="17"/>
        <v>2025</v>
      </c>
      <c r="W12" s="128">
        <f t="shared" ref="W12:W32" si="30">IF($B12&lt;X$35,0,IF($B12=X$35,X$39,ROUND(W11*(1+(IFERROR(INDEX($D$44:$D$52,MATCH($B12,$C$44:$C$52,0),1),0)+IFERROR(INDEX($G$44:$G$52,MATCH($B12,$F$44:$F$52,0),1),0)+IFERROR(INDEX($J$44:$J$52,MATCH($B12,$I$44:$I$52,0),1),0))),2)))</f>
        <v>0</v>
      </c>
      <c r="X12" s="135">
        <v>12</v>
      </c>
      <c r="Y12" s="130">
        <f t="shared" si="4"/>
        <v>0</v>
      </c>
      <c r="Z12" s="119"/>
      <c r="AA12" s="135">
        <f t="shared" si="18"/>
        <v>2025</v>
      </c>
      <c r="AB12" s="128">
        <f t="shared" ref="AB12:AB32" si="31">IF($B12&lt;AC$35,0,IF($B12=AC$35,AC$39,ROUND(AB11*(1+(IFERROR(INDEX($D$44:$D$52,MATCH($B12,$C$44:$C$52,0),1),0)+IFERROR(INDEX($G$44:$G$52,MATCH($B12,$F$44:$F$52,0),1),0)+IFERROR(INDEX($J$44:$J$52,MATCH($B12,$I$44:$I$52,0),1),0))),2)))</f>
        <v>0</v>
      </c>
      <c r="AC12" s="135">
        <v>12</v>
      </c>
      <c r="AD12" s="130">
        <f t="shared" si="5"/>
        <v>0</v>
      </c>
      <c r="AE12" s="119"/>
      <c r="AF12" s="135">
        <f t="shared" si="19"/>
        <v>2025</v>
      </c>
      <c r="AG12" s="128">
        <f t="shared" ref="AG12:AG32" si="32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20"/>
        <v>2025</v>
      </c>
      <c r="AL12" s="128">
        <f t="shared" ref="AL12:AL32" si="33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1"/>
        <v>2025</v>
      </c>
      <c r="AQ12" s="128">
        <f t="shared" ref="AQ12:AQ32" si="34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2"/>
        <v>2025</v>
      </c>
      <c r="AV12" s="128">
        <f t="shared" ref="AV12:AV32" si="35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3"/>
        <v>2025</v>
      </c>
      <c r="BA12" s="128">
        <f t="shared" ref="BA12:BA32" si="36">IF($B12&lt;BB$35,0,IF($B12=BB$35,BB$39,ROUND(BA11*(1+(IFERROR(INDEX($D$44:$D$52,MATCH($B12,$C$44:$C$52,0),1),0)+IFERROR(INDEX($G$44:$G$52,MATCH($B12,$F$44:$F$52,0),1),0)+IFERROR(INDEX($J$44:$J$52,MATCH($B12,$I$44:$I$52,0),1),0))),2)))</f>
        <v>592.25</v>
      </c>
      <c r="BB12" s="135">
        <v>12</v>
      </c>
      <c r="BC12" s="130">
        <f t="shared" si="10"/>
        <v>592.25</v>
      </c>
      <c r="BE12" s="135">
        <f t="shared" si="24"/>
        <v>2025</v>
      </c>
      <c r="BF12" s="128">
        <f t="shared" ref="BF12:BF32" si="37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  <c r="BJ12" s="135">
        <f t="shared" si="25"/>
        <v>2025</v>
      </c>
      <c r="BK12" s="128">
        <f t="shared" ref="BK12:BK32" si="38">IF($B12&lt;BL$35,0,IF($B12=BL$35,BL$39,ROUND(BK11*(1+(IFERROR(INDEX($D$44:$D$52,MATCH($B12,$C$44:$C$52,0),1),0)+IFERROR(INDEX($G$44:$G$52,MATCH($B12,$F$44:$F$52,0),1),0)+IFERROR(INDEX($J$44:$J$52,MATCH($B12,$I$44:$I$52,0),1),0))),2)))</f>
        <v>0</v>
      </c>
      <c r="BL12" s="135">
        <v>12</v>
      </c>
      <c r="BM12" s="130">
        <f t="shared" si="12"/>
        <v>0</v>
      </c>
    </row>
    <row r="13" spans="2:65">
      <c r="B13" s="135">
        <f t="shared" si="13"/>
        <v>2026</v>
      </c>
      <c r="C13" s="128">
        <f t="shared" si="26"/>
        <v>59.95</v>
      </c>
      <c r="D13" s="135">
        <v>12</v>
      </c>
      <c r="E13" s="130">
        <f t="shared" si="0"/>
        <v>59.95000000000001</v>
      </c>
      <c r="F13" s="119"/>
      <c r="G13" s="135">
        <f t="shared" si="14"/>
        <v>2026</v>
      </c>
      <c r="H13" s="128">
        <f t="shared" si="27"/>
        <v>0</v>
      </c>
      <c r="I13" s="135">
        <v>12</v>
      </c>
      <c r="J13" s="130">
        <f t="shared" si="1"/>
        <v>0</v>
      </c>
      <c r="K13" s="119"/>
      <c r="L13" s="135">
        <f t="shared" si="15"/>
        <v>2026</v>
      </c>
      <c r="M13" s="128">
        <f t="shared" si="28"/>
        <v>0</v>
      </c>
      <c r="N13" s="135">
        <v>12</v>
      </c>
      <c r="O13" s="130">
        <f t="shared" si="2"/>
        <v>0</v>
      </c>
      <c r="Q13" s="135">
        <f t="shared" si="16"/>
        <v>2026</v>
      </c>
      <c r="R13" s="128">
        <f t="shared" si="29"/>
        <v>0</v>
      </c>
      <c r="S13" s="135">
        <v>12</v>
      </c>
      <c r="T13" s="130">
        <f t="shared" si="3"/>
        <v>0</v>
      </c>
      <c r="U13" s="119"/>
      <c r="V13" s="135">
        <f t="shared" si="17"/>
        <v>2026</v>
      </c>
      <c r="W13" s="128">
        <f t="shared" si="30"/>
        <v>0</v>
      </c>
      <c r="X13" s="135">
        <v>12</v>
      </c>
      <c r="Y13" s="130">
        <f t="shared" si="4"/>
        <v>0</v>
      </c>
      <c r="Z13" s="119"/>
      <c r="AA13" s="331">
        <f t="shared" si="18"/>
        <v>2026</v>
      </c>
      <c r="AB13" s="128">
        <f t="shared" si="31"/>
        <v>54.441007169221002</v>
      </c>
      <c r="AC13" s="135">
        <v>12</v>
      </c>
      <c r="AD13" s="130">
        <f t="shared" si="5"/>
        <v>54.441007169221002</v>
      </c>
      <c r="AE13" s="119"/>
      <c r="AF13" s="135">
        <f t="shared" si="19"/>
        <v>2026</v>
      </c>
      <c r="AG13" s="128">
        <f t="shared" si="32"/>
        <v>0</v>
      </c>
      <c r="AH13" s="135">
        <v>12</v>
      </c>
      <c r="AI13" s="130">
        <f t="shared" si="6"/>
        <v>0</v>
      </c>
      <c r="AJ13" s="119"/>
      <c r="AK13" s="331">
        <f t="shared" si="20"/>
        <v>2026</v>
      </c>
      <c r="AL13" s="128">
        <f t="shared" si="33"/>
        <v>24.740174248339812</v>
      </c>
      <c r="AM13" s="135">
        <v>12</v>
      </c>
      <c r="AN13" s="130">
        <f t="shared" si="7"/>
        <v>24.740174248339812</v>
      </c>
      <c r="AO13" s="119"/>
      <c r="AP13" s="135">
        <f t="shared" si="21"/>
        <v>2026</v>
      </c>
      <c r="AQ13" s="128">
        <f t="shared" si="34"/>
        <v>0</v>
      </c>
      <c r="AR13" s="135">
        <v>12</v>
      </c>
      <c r="AS13" s="130">
        <f t="shared" si="8"/>
        <v>0</v>
      </c>
      <c r="AT13" s="119"/>
      <c r="AU13" s="135">
        <f t="shared" si="22"/>
        <v>2026</v>
      </c>
      <c r="AV13" s="128">
        <f t="shared" si="35"/>
        <v>0</v>
      </c>
      <c r="AW13" s="135">
        <v>12</v>
      </c>
      <c r="AX13" s="130">
        <f t="shared" si="9"/>
        <v>0</v>
      </c>
      <c r="AY13" s="119"/>
      <c r="AZ13" s="135">
        <f t="shared" si="23"/>
        <v>2026</v>
      </c>
      <c r="BA13" s="128">
        <f t="shared" si="36"/>
        <v>606.46</v>
      </c>
      <c r="BB13" s="135">
        <v>12</v>
      </c>
      <c r="BC13" s="130">
        <f t="shared" si="10"/>
        <v>606.46</v>
      </c>
      <c r="BE13" s="331">
        <f t="shared" si="24"/>
        <v>2026</v>
      </c>
      <c r="BF13" s="128">
        <f t="shared" si="37"/>
        <v>2.5355612781817829</v>
      </c>
      <c r="BG13" s="135">
        <v>12</v>
      </c>
      <c r="BH13" s="130">
        <f t="shared" si="11"/>
        <v>2.5355612781817829</v>
      </c>
      <c r="BJ13" s="135">
        <f t="shared" si="25"/>
        <v>2026</v>
      </c>
      <c r="BK13" s="128">
        <f t="shared" si="38"/>
        <v>0</v>
      </c>
      <c r="BL13" s="135">
        <v>12</v>
      </c>
      <c r="BM13" s="130">
        <f t="shared" si="12"/>
        <v>0</v>
      </c>
    </row>
    <row r="14" spans="2:65">
      <c r="B14" s="135">
        <f t="shared" si="13"/>
        <v>2027</v>
      </c>
      <c r="C14" s="128">
        <f t="shared" si="26"/>
        <v>61.45</v>
      </c>
      <c r="D14" s="135">
        <v>12</v>
      </c>
      <c r="E14" s="130">
        <f t="shared" si="0"/>
        <v>61.45000000000001</v>
      </c>
      <c r="F14" s="119"/>
      <c r="G14" s="135">
        <f t="shared" si="14"/>
        <v>2027</v>
      </c>
      <c r="H14" s="128">
        <f t="shared" si="27"/>
        <v>0</v>
      </c>
      <c r="I14" s="135">
        <v>12</v>
      </c>
      <c r="J14" s="130">
        <f t="shared" si="1"/>
        <v>0</v>
      </c>
      <c r="K14" s="119"/>
      <c r="L14" s="135">
        <f t="shared" si="15"/>
        <v>2027</v>
      </c>
      <c r="M14" s="128">
        <f t="shared" si="28"/>
        <v>0</v>
      </c>
      <c r="N14" s="135">
        <v>12</v>
      </c>
      <c r="O14" s="130">
        <f t="shared" si="2"/>
        <v>0</v>
      </c>
      <c r="Q14" s="135">
        <f t="shared" si="16"/>
        <v>2027</v>
      </c>
      <c r="R14" s="128">
        <f t="shared" si="29"/>
        <v>0</v>
      </c>
      <c r="S14" s="135">
        <v>12</v>
      </c>
      <c r="T14" s="130">
        <f t="shared" si="3"/>
        <v>0</v>
      </c>
      <c r="U14" s="119"/>
      <c r="V14" s="135">
        <f t="shared" si="17"/>
        <v>2027</v>
      </c>
      <c r="W14" s="128">
        <f t="shared" si="30"/>
        <v>0</v>
      </c>
      <c r="X14" s="135">
        <v>12</v>
      </c>
      <c r="Y14" s="130">
        <f t="shared" si="4"/>
        <v>0</v>
      </c>
      <c r="Z14" s="119"/>
      <c r="AA14" s="135">
        <f t="shared" si="18"/>
        <v>2027</v>
      </c>
      <c r="AB14" s="128">
        <f t="shared" si="31"/>
        <v>55.8</v>
      </c>
      <c r="AC14" s="135">
        <v>12</v>
      </c>
      <c r="AD14" s="130">
        <f t="shared" si="5"/>
        <v>55.79999999999999</v>
      </c>
      <c r="AE14" s="119"/>
      <c r="AF14" s="135">
        <f t="shared" si="19"/>
        <v>2027</v>
      </c>
      <c r="AG14" s="128">
        <f t="shared" si="32"/>
        <v>0</v>
      </c>
      <c r="AH14" s="135">
        <v>12</v>
      </c>
      <c r="AI14" s="130">
        <f t="shared" si="6"/>
        <v>0</v>
      </c>
      <c r="AJ14" s="119"/>
      <c r="AK14" s="135">
        <f t="shared" si="20"/>
        <v>2027</v>
      </c>
      <c r="AL14" s="128">
        <f t="shared" si="33"/>
        <v>25.36</v>
      </c>
      <c r="AM14" s="135">
        <v>12</v>
      </c>
      <c r="AN14" s="130">
        <f t="shared" si="7"/>
        <v>25.36</v>
      </c>
      <c r="AO14" s="119"/>
      <c r="AP14" s="135">
        <f t="shared" si="21"/>
        <v>2027</v>
      </c>
      <c r="AQ14" s="128">
        <f t="shared" si="34"/>
        <v>0</v>
      </c>
      <c r="AR14" s="135">
        <v>12</v>
      </c>
      <c r="AS14" s="130">
        <f t="shared" si="8"/>
        <v>0</v>
      </c>
      <c r="AT14" s="119"/>
      <c r="AU14" s="135">
        <f t="shared" si="22"/>
        <v>2027</v>
      </c>
      <c r="AV14" s="128">
        <f t="shared" si="35"/>
        <v>0</v>
      </c>
      <c r="AW14" s="135">
        <v>12</v>
      </c>
      <c r="AX14" s="130">
        <f t="shared" si="9"/>
        <v>0</v>
      </c>
      <c r="AY14" s="119"/>
      <c r="AZ14" s="135">
        <f t="shared" si="23"/>
        <v>2027</v>
      </c>
      <c r="BA14" s="128">
        <f t="shared" si="36"/>
        <v>621.62</v>
      </c>
      <c r="BB14" s="135">
        <v>12</v>
      </c>
      <c r="BC14" s="130">
        <f t="shared" si="10"/>
        <v>621.62</v>
      </c>
      <c r="BD14" s="173"/>
      <c r="BE14" s="135">
        <f t="shared" si="24"/>
        <v>2027</v>
      </c>
      <c r="BF14" s="128">
        <f t="shared" si="37"/>
        <v>2.6</v>
      </c>
      <c r="BG14" s="135">
        <v>12</v>
      </c>
      <c r="BH14" s="130">
        <f t="shared" si="11"/>
        <v>2.6</v>
      </c>
      <c r="BJ14" s="135">
        <f t="shared" si="25"/>
        <v>2027</v>
      </c>
      <c r="BK14" s="128">
        <f t="shared" si="38"/>
        <v>0</v>
      </c>
      <c r="BL14" s="135">
        <v>12</v>
      </c>
      <c r="BM14" s="130">
        <f t="shared" si="12"/>
        <v>0</v>
      </c>
    </row>
    <row r="15" spans="2:65">
      <c r="B15" s="135">
        <f t="shared" si="13"/>
        <v>2028</v>
      </c>
      <c r="C15" s="128">
        <f t="shared" si="26"/>
        <v>62.99</v>
      </c>
      <c r="D15" s="135">
        <v>12</v>
      </c>
      <c r="E15" s="130">
        <f t="shared" si="0"/>
        <v>62.99</v>
      </c>
      <c r="F15" s="119"/>
      <c r="G15" s="135">
        <f t="shared" si="14"/>
        <v>2028</v>
      </c>
      <c r="H15" s="128">
        <f t="shared" si="27"/>
        <v>0</v>
      </c>
      <c r="I15" s="135">
        <v>12</v>
      </c>
      <c r="J15" s="130">
        <f t="shared" si="1"/>
        <v>0</v>
      </c>
      <c r="K15" s="119"/>
      <c r="L15" s="135">
        <f t="shared" si="15"/>
        <v>2028</v>
      </c>
      <c r="M15" s="128">
        <f t="shared" si="28"/>
        <v>0</v>
      </c>
      <c r="N15" s="135">
        <v>12</v>
      </c>
      <c r="O15" s="130">
        <f t="shared" si="2"/>
        <v>0</v>
      </c>
      <c r="Q15" s="135">
        <f t="shared" si="16"/>
        <v>2028</v>
      </c>
      <c r="R15" s="128">
        <f t="shared" si="29"/>
        <v>0</v>
      </c>
      <c r="S15" s="135">
        <v>12</v>
      </c>
      <c r="T15" s="130">
        <f t="shared" si="3"/>
        <v>0</v>
      </c>
      <c r="U15" s="119"/>
      <c r="V15" s="135">
        <f t="shared" si="17"/>
        <v>2028</v>
      </c>
      <c r="W15" s="128">
        <f t="shared" si="30"/>
        <v>0</v>
      </c>
      <c r="X15" s="135">
        <v>12</v>
      </c>
      <c r="Y15" s="130">
        <f t="shared" si="4"/>
        <v>0</v>
      </c>
      <c r="Z15" s="119"/>
      <c r="AA15" s="135">
        <f t="shared" si="18"/>
        <v>2028</v>
      </c>
      <c r="AB15" s="128">
        <f t="shared" si="31"/>
        <v>57.2</v>
      </c>
      <c r="AC15" s="135">
        <v>12</v>
      </c>
      <c r="AD15" s="130">
        <f t="shared" si="5"/>
        <v>57.20000000000001</v>
      </c>
      <c r="AE15" s="119"/>
      <c r="AF15" s="135">
        <f t="shared" si="19"/>
        <v>2028</v>
      </c>
      <c r="AG15" s="128">
        <f t="shared" si="32"/>
        <v>0</v>
      </c>
      <c r="AH15" s="135">
        <v>12</v>
      </c>
      <c r="AI15" s="130">
        <f t="shared" si="6"/>
        <v>0</v>
      </c>
      <c r="AJ15" s="119"/>
      <c r="AK15" s="135">
        <f t="shared" si="20"/>
        <v>2028</v>
      </c>
      <c r="AL15" s="128">
        <f t="shared" si="33"/>
        <v>25.99</v>
      </c>
      <c r="AM15" s="135">
        <v>12</v>
      </c>
      <c r="AN15" s="130">
        <f t="shared" si="7"/>
        <v>25.99</v>
      </c>
      <c r="AO15" s="119"/>
      <c r="AP15" s="331">
        <f t="shared" si="21"/>
        <v>2028</v>
      </c>
      <c r="AQ15" s="128">
        <f t="shared" si="34"/>
        <v>9.0939944302083777</v>
      </c>
      <c r="AR15" s="135">
        <v>12</v>
      </c>
      <c r="AS15" s="130">
        <f t="shared" si="8"/>
        <v>9.0939944302083777</v>
      </c>
      <c r="AT15" s="119"/>
      <c r="AU15" s="135">
        <f t="shared" si="22"/>
        <v>2028</v>
      </c>
      <c r="AV15" s="128">
        <f t="shared" si="35"/>
        <v>0</v>
      </c>
      <c r="AW15" s="135">
        <v>12</v>
      </c>
      <c r="AX15" s="130">
        <f t="shared" si="9"/>
        <v>0</v>
      </c>
      <c r="AY15" s="119"/>
      <c r="AZ15" s="135">
        <f t="shared" si="23"/>
        <v>2028</v>
      </c>
      <c r="BA15" s="128">
        <f t="shared" si="36"/>
        <v>637.16</v>
      </c>
      <c r="BB15" s="135">
        <v>12</v>
      </c>
      <c r="BC15" s="130">
        <f t="shared" si="10"/>
        <v>637.16</v>
      </c>
      <c r="BE15" s="135">
        <f t="shared" si="24"/>
        <v>2028</v>
      </c>
      <c r="BF15" s="128">
        <f t="shared" si="37"/>
        <v>2.67</v>
      </c>
      <c r="BG15" s="135">
        <v>12</v>
      </c>
      <c r="BH15" s="130">
        <f t="shared" si="11"/>
        <v>2.67</v>
      </c>
      <c r="BJ15" s="135">
        <f t="shared" si="25"/>
        <v>2028</v>
      </c>
      <c r="BK15" s="128">
        <f t="shared" si="38"/>
        <v>0</v>
      </c>
      <c r="BL15" s="135">
        <v>12</v>
      </c>
      <c r="BM15" s="130">
        <f t="shared" si="12"/>
        <v>0</v>
      </c>
    </row>
    <row r="16" spans="2:65">
      <c r="B16" s="135">
        <f t="shared" si="13"/>
        <v>2029</v>
      </c>
      <c r="C16" s="128">
        <f t="shared" si="26"/>
        <v>64.5</v>
      </c>
      <c r="D16" s="135">
        <v>12</v>
      </c>
      <c r="E16" s="130">
        <f t="shared" si="0"/>
        <v>64.5</v>
      </c>
      <c r="F16" s="119"/>
      <c r="G16" s="135">
        <f t="shared" si="14"/>
        <v>2029</v>
      </c>
      <c r="H16" s="128">
        <f t="shared" si="27"/>
        <v>0</v>
      </c>
      <c r="I16" s="135">
        <v>12</v>
      </c>
      <c r="J16" s="130">
        <f t="shared" si="1"/>
        <v>0</v>
      </c>
      <c r="K16" s="119"/>
      <c r="L16" s="135">
        <f t="shared" si="15"/>
        <v>2029</v>
      </c>
      <c r="M16" s="128">
        <f t="shared" si="28"/>
        <v>0</v>
      </c>
      <c r="N16" s="135">
        <v>12</v>
      </c>
      <c r="O16" s="130">
        <f t="shared" si="2"/>
        <v>0</v>
      </c>
      <c r="Q16" s="135">
        <f t="shared" si="16"/>
        <v>2029</v>
      </c>
      <c r="R16" s="128">
        <f t="shared" si="29"/>
        <v>0</v>
      </c>
      <c r="S16" s="135">
        <v>12</v>
      </c>
      <c r="T16" s="130">
        <f t="shared" si="3"/>
        <v>0</v>
      </c>
      <c r="U16" s="119"/>
      <c r="V16" s="135">
        <f t="shared" si="17"/>
        <v>2029</v>
      </c>
      <c r="W16" s="128">
        <f t="shared" si="30"/>
        <v>0</v>
      </c>
      <c r="X16" s="135">
        <v>12</v>
      </c>
      <c r="Y16" s="130">
        <f t="shared" si="4"/>
        <v>0</v>
      </c>
      <c r="Z16" s="119"/>
      <c r="AA16" s="135">
        <f t="shared" si="18"/>
        <v>2029</v>
      </c>
      <c r="AB16" s="128">
        <f t="shared" si="31"/>
        <v>58.57</v>
      </c>
      <c r="AC16" s="135">
        <v>12</v>
      </c>
      <c r="AD16" s="130">
        <f t="shared" si="5"/>
        <v>58.57</v>
      </c>
      <c r="AE16" s="119"/>
      <c r="AF16" s="135">
        <f t="shared" si="19"/>
        <v>2029</v>
      </c>
      <c r="AG16" s="128">
        <f t="shared" si="32"/>
        <v>0</v>
      </c>
      <c r="AH16" s="135">
        <v>12</v>
      </c>
      <c r="AI16" s="130">
        <f t="shared" si="6"/>
        <v>0</v>
      </c>
      <c r="AJ16" s="119"/>
      <c r="AK16" s="135">
        <f t="shared" si="20"/>
        <v>2029</v>
      </c>
      <c r="AL16" s="128">
        <f t="shared" si="33"/>
        <v>26.61</v>
      </c>
      <c r="AM16" s="135">
        <v>12</v>
      </c>
      <c r="AN16" s="130">
        <f t="shared" si="7"/>
        <v>26.61</v>
      </c>
      <c r="AO16" s="119"/>
      <c r="AP16" s="135">
        <f t="shared" si="21"/>
        <v>2029</v>
      </c>
      <c r="AQ16" s="128">
        <f t="shared" si="34"/>
        <v>9.31</v>
      </c>
      <c r="AR16" s="135">
        <v>12</v>
      </c>
      <c r="AS16" s="130">
        <f t="shared" si="8"/>
        <v>9.31</v>
      </c>
      <c r="AT16" s="119"/>
      <c r="AU16" s="135">
        <f t="shared" si="22"/>
        <v>2029</v>
      </c>
      <c r="AV16" s="128">
        <f t="shared" si="35"/>
        <v>0</v>
      </c>
      <c r="AW16" s="135">
        <v>12</v>
      </c>
      <c r="AX16" s="130">
        <f t="shared" si="9"/>
        <v>0</v>
      </c>
      <c r="AY16" s="119"/>
      <c r="AZ16" s="135">
        <f t="shared" si="23"/>
        <v>2029</v>
      </c>
      <c r="BA16" s="128">
        <f t="shared" si="36"/>
        <v>652.45000000000005</v>
      </c>
      <c r="BB16" s="135">
        <v>12</v>
      </c>
      <c r="BC16" s="130">
        <f t="shared" si="10"/>
        <v>652.45000000000005</v>
      </c>
      <c r="BE16" s="135">
        <f t="shared" si="24"/>
        <v>2029</v>
      </c>
      <c r="BF16" s="128">
        <f t="shared" si="37"/>
        <v>2.73</v>
      </c>
      <c r="BG16" s="135">
        <v>12</v>
      </c>
      <c r="BH16" s="130">
        <f t="shared" si="11"/>
        <v>2.73</v>
      </c>
      <c r="BJ16" s="135">
        <f t="shared" si="25"/>
        <v>2029</v>
      </c>
      <c r="BK16" s="128">
        <f t="shared" si="38"/>
        <v>0</v>
      </c>
      <c r="BL16" s="135">
        <v>12</v>
      </c>
      <c r="BM16" s="130">
        <f t="shared" si="12"/>
        <v>0</v>
      </c>
    </row>
    <row r="17" spans="2:65">
      <c r="B17" s="135">
        <f t="shared" si="13"/>
        <v>2030</v>
      </c>
      <c r="C17" s="128">
        <f t="shared" si="26"/>
        <v>65.98</v>
      </c>
      <c r="D17" s="135">
        <v>12</v>
      </c>
      <c r="E17" s="130">
        <f t="shared" si="0"/>
        <v>65.98</v>
      </c>
      <c r="F17" s="119"/>
      <c r="G17" s="135">
        <f t="shared" si="14"/>
        <v>2030</v>
      </c>
      <c r="H17" s="128">
        <f t="shared" si="27"/>
        <v>0</v>
      </c>
      <c r="I17" s="135">
        <v>12</v>
      </c>
      <c r="J17" s="130">
        <f t="shared" si="1"/>
        <v>0</v>
      </c>
      <c r="K17" s="119"/>
      <c r="L17" s="135">
        <f t="shared" si="15"/>
        <v>2030</v>
      </c>
      <c r="M17" s="128">
        <f t="shared" si="28"/>
        <v>0</v>
      </c>
      <c r="N17" s="135">
        <v>12</v>
      </c>
      <c r="O17" s="130">
        <f t="shared" si="2"/>
        <v>0</v>
      </c>
      <c r="Q17" s="135">
        <f t="shared" si="16"/>
        <v>2030</v>
      </c>
      <c r="R17" s="128">
        <f t="shared" si="29"/>
        <v>0</v>
      </c>
      <c r="S17" s="135">
        <v>12</v>
      </c>
      <c r="T17" s="130">
        <f t="shared" si="3"/>
        <v>0</v>
      </c>
      <c r="U17" s="119"/>
      <c r="V17" s="135">
        <f t="shared" si="17"/>
        <v>2030</v>
      </c>
      <c r="W17" s="128">
        <f t="shared" si="30"/>
        <v>0</v>
      </c>
      <c r="X17" s="135">
        <v>12</v>
      </c>
      <c r="Y17" s="130">
        <f t="shared" si="4"/>
        <v>0</v>
      </c>
      <c r="Z17" s="119"/>
      <c r="AA17" s="135">
        <f t="shared" si="18"/>
        <v>2030</v>
      </c>
      <c r="AB17" s="128">
        <f t="shared" si="31"/>
        <v>59.92</v>
      </c>
      <c r="AC17" s="135">
        <v>12</v>
      </c>
      <c r="AD17" s="130">
        <f t="shared" si="5"/>
        <v>59.919999999999995</v>
      </c>
      <c r="AE17" s="119"/>
      <c r="AF17" s="135">
        <f t="shared" si="19"/>
        <v>2030</v>
      </c>
      <c r="AG17" s="128">
        <f t="shared" si="32"/>
        <v>0</v>
      </c>
      <c r="AH17" s="135">
        <v>12</v>
      </c>
      <c r="AI17" s="130">
        <f t="shared" si="6"/>
        <v>0</v>
      </c>
      <c r="AJ17" s="119"/>
      <c r="AK17" s="135">
        <f t="shared" si="20"/>
        <v>2030</v>
      </c>
      <c r="AL17" s="128">
        <f t="shared" si="33"/>
        <v>27.22</v>
      </c>
      <c r="AM17" s="135">
        <v>12</v>
      </c>
      <c r="AN17" s="130">
        <f t="shared" si="7"/>
        <v>27.22</v>
      </c>
      <c r="AO17" s="119"/>
      <c r="AP17" s="135">
        <f t="shared" si="21"/>
        <v>2030</v>
      </c>
      <c r="AQ17" s="128">
        <f t="shared" si="34"/>
        <v>9.52</v>
      </c>
      <c r="AR17" s="135">
        <v>12</v>
      </c>
      <c r="AS17" s="130">
        <f t="shared" si="8"/>
        <v>9.52</v>
      </c>
      <c r="AT17" s="119"/>
      <c r="AU17" s="135">
        <f t="shared" si="22"/>
        <v>2030</v>
      </c>
      <c r="AV17" s="128">
        <f t="shared" si="35"/>
        <v>0</v>
      </c>
      <c r="AW17" s="135">
        <v>12</v>
      </c>
      <c r="AX17" s="130">
        <f t="shared" si="9"/>
        <v>0</v>
      </c>
      <c r="AY17" s="119"/>
      <c r="AZ17" s="135">
        <f t="shared" si="23"/>
        <v>2030</v>
      </c>
      <c r="BA17" s="128">
        <f t="shared" si="36"/>
        <v>667.46</v>
      </c>
      <c r="BB17" s="135">
        <v>12</v>
      </c>
      <c r="BC17" s="130">
        <f t="shared" si="10"/>
        <v>667.46</v>
      </c>
      <c r="BE17" s="135">
        <f t="shared" si="24"/>
        <v>2030</v>
      </c>
      <c r="BF17" s="128">
        <f t="shared" si="37"/>
        <v>2.79</v>
      </c>
      <c r="BG17" s="135">
        <v>12</v>
      </c>
      <c r="BH17" s="130">
        <f t="shared" si="11"/>
        <v>2.7900000000000005</v>
      </c>
      <c r="BJ17" s="331">
        <f t="shared" si="25"/>
        <v>2030</v>
      </c>
      <c r="BK17" s="128">
        <f t="shared" si="38"/>
        <v>5.7969932450072994</v>
      </c>
      <c r="BL17" s="135">
        <v>12</v>
      </c>
      <c r="BM17" s="130">
        <f t="shared" si="12"/>
        <v>5.7969932450072994</v>
      </c>
    </row>
    <row r="18" spans="2:65">
      <c r="B18" s="135">
        <f t="shared" si="13"/>
        <v>2031</v>
      </c>
      <c r="C18" s="128">
        <f t="shared" si="26"/>
        <v>67.5</v>
      </c>
      <c r="D18" s="135">
        <v>12</v>
      </c>
      <c r="E18" s="130">
        <f t="shared" si="0"/>
        <v>67.5</v>
      </c>
      <c r="F18" s="119"/>
      <c r="G18" s="135">
        <f t="shared" si="14"/>
        <v>2031</v>
      </c>
      <c r="H18" s="128">
        <f t="shared" si="27"/>
        <v>0</v>
      </c>
      <c r="I18" s="135">
        <v>12</v>
      </c>
      <c r="J18" s="130">
        <f t="shared" si="1"/>
        <v>0</v>
      </c>
      <c r="K18" s="119"/>
      <c r="L18" s="135">
        <f t="shared" si="15"/>
        <v>2031</v>
      </c>
      <c r="M18" s="128">
        <f t="shared" si="28"/>
        <v>0</v>
      </c>
      <c r="N18" s="135">
        <v>12</v>
      </c>
      <c r="O18" s="130">
        <f t="shared" si="2"/>
        <v>0</v>
      </c>
      <c r="Q18" s="135">
        <f t="shared" si="16"/>
        <v>2031</v>
      </c>
      <c r="R18" s="128">
        <f t="shared" si="29"/>
        <v>0</v>
      </c>
      <c r="S18" s="135">
        <v>12</v>
      </c>
      <c r="T18" s="130">
        <f t="shared" si="3"/>
        <v>0</v>
      </c>
      <c r="U18" s="119"/>
      <c r="V18" s="135">
        <f t="shared" si="17"/>
        <v>2031</v>
      </c>
      <c r="W18" s="128">
        <f t="shared" si="30"/>
        <v>0</v>
      </c>
      <c r="X18" s="135">
        <v>12</v>
      </c>
      <c r="Y18" s="130">
        <f t="shared" si="4"/>
        <v>0</v>
      </c>
      <c r="Z18" s="119"/>
      <c r="AA18" s="135">
        <f t="shared" si="18"/>
        <v>2031</v>
      </c>
      <c r="AB18" s="128">
        <f t="shared" si="31"/>
        <v>61.3</v>
      </c>
      <c r="AC18" s="135">
        <v>12</v>
      </c>
      <c r="AD18" s="130">
        <f t="shared" si="5"/>
        <v>61.29999999999999</v>
      </c>
      <c r="AE18" s="119"/>
      <c r="AF18" s="135">
        <f t="shared" si="19"/>
        <v>2031</v>
      </c>
      <c r="AG18" s="128">
        <f t="shared" si="32"/>
        <v>0</v>
      </c>
      <c r="AH18" s="135">
        <v>12</v>
      </c>
      <c r="AI18" s="130">
        <f t="shared" si="6"/>
        <v>0</v>
      </c>
      <c r="AJ18" s="119"/>
      <c r="AK18" s="135">
        <f t="shared" si="20"/>
        <v>2031</v>
      </c>
      <c r="AL18" s="128">
        <f t="shared" si="33"/>
        <v>27.85</v>
      </c>
      <c r="AM18" s="135">
        <v>12</v>
      </c>
      <c r="AN18" s="130">
        <f t="shared" si="7"/>
        <v>27.850000000000005</v>
      </c>
      <c r="AO18" s="119"/>
      <c r="AP18" s="135">
        <f t="shared" si="21"/>
        <v>2031</v>
      </c>
      <c r="AQ18" s="128">
        <f t="shared" si="34"/>
        <v>9.74</v>
      </c>
      <c r="AR18" s="135">
        <v>12</v>
      </c>
      <c r="AS18" s="130">
        <f t="shared" si="8"/>
        <v>9.74</v>
      </c>
      <c r="AT18" s="119"/>
      <c r="AU18" s="331">
        <f t="shared" si="22"/>
        <v>2031</v>
      </c>
      <c r="AV18" s="128">
        <f t="shared" si="35"/>
        <v>12.45513744317196</v>
      </c>
      <c r="AW18" s="135">
        <v>12</v>
      </c>
      <c r="AX18" s="130">
        <f t="shared" si="9"/>
        <v>12.455137443171958</v>
      </c>
      <c r="AY18" s="119"/>
      <c r="AZ18" s="135">
        <f t="shared" si="23"/>
        <v>2031</v>
      </c>
      <c r="BA18" s="128">
        <f t="shared" si="36"/>
        <v>682.81</v>
      </c>
      <c r="BB18" s="135">
        <v>12</v>
      </c>
      <c r="BC18" s="130">
        <f t="shared" si="10"/>
        <v>682.81</v>
      </c>
      <c r="BE18" s="135">
        <f t="shared" si="24"/>
        <v>2031</v>
      </c>
      <c r="BF18" s="128">
        <f t="shared" si="37"/>
        <v>2.85</v>
      </c>
      <c r="BG18" s="135">
        <v>12</v>
      </c>
      <c r="BH18" s="130">
        <f t="shared" si="11"/>
        <v>2.85</v>
      </c>
      <c r="BJ18" s="135">
        <f t="shared" si="25"/>
        <v>2031</v>
      </c>
      <c r="BK18" s="128">
        <f t="shared" si="38"/>
        <v>5.93</v>
      </c>
      <c r="BL18" s="135">
        <v>12</v>
      </c>
      <c r="BM18" s="130">
        <f t="shared" si="12"/>
        <v>5.93</v>
      </c>
    </row>
    <row r="19" spans="2:65">
      <c r="B19" s="135">
        <f t="shared" si="13"/>
        <v>2032</v>
      </c>
      <c r="C19" s="128">
        <f t="shared" si="26"/>
        <v>69.05</v>
      </c>
      <c r="D19" s="135">
        <v>12</v>
      </c>
      <c r="E19" s="130">
        <f t="shared" si="0"/>
        <v>69.05</v>
      </c>
      <c r="F19" s="119"/>
      <c r="G19" s="135">
        <f t="shared" si="14"/>
        <v>2032</v>
      </c>
      <c r="H19" s="128">
        <f t="shared" si="27"/>
        <v>0</v>
      </c>
      <c r="I19" s="135">
        <v>12</v>
      </c>
      <c r="J19" s="130">
        <f t="shared" si="1"/>
        <v>0</v>
      </c>
      <c r="K19" s="119"/>
      <c r="L19" s="331">
        <f t="shared" si="15"/>
        <v>2032</v>
      </c>
      <c r="M19" s="128">
        <f t="shared" si="28"/>
        <v>34.476843122008333</v>
      </c>
      <c r="N19" s="135">
        <v>12</v>
      </c>
      <c r="O19" s="130">
        <f t="shared" si="2"/>
        <v>34.476843122008333</v>
      </c>
      <c r="Q19" s="135">
        <f t="shared" si="16"/>
        <v>2032</v>
      </c>
      <c r="R19" s="128">
        <f t="shared" si="29"/>
        <v>0</v>
      </c>
      <c r="S19" s="135">
        <v>12</v>
      </c>
      <c r="T19" s="130">
        <f t="shared" si="3"/>
        <v>0</v>
      </c>
      <c r="U19" s="119"/>
      <c r="V19" s="135">
        <f t="shared" si="17"/>
        <v>2032</v>
      </c>
      <c r="W19" s="128">
        <f t="shared" si="30"/>
        <v>0</v>
      </c>
      <c r="X19" s="135">
        <v>12</v>
      </c>
      <c r="Y19" s="130">
        <f t="shared" si="4"/>
        <v>0</v>
      </c>
      <c r="Z19" s="119"/>
      <c r="AA19" s="135">
        <f t="shared" si="18"/>
        <v>2032</v>
      </c>
      <c r="AB19" s="128">
        <f t="shared" si="31"/>
        <v>62.71</v>
      </c>
      <c r="AC19" s="135">
        <v>12</v>
      </c>
      <c r="AD19" s="130">
        <f t="shared" si="5"/>
        <v>62.71</v>
      </c>
      <c r="AE19" s="119"/>
      <c r="AF19" s="135">
        <f t="shared" si="19"/>
        <v>2032</v>
      </c>
      <c r="AG19" s="128">
        <f t="shared" si="32"/>
        <v>0</v>
      </c>
      <c r="AH19" s="135">
        <v>12</v>
      </c>
      <c r="AI19" s="130">
        <f t="shared" si="6"/>
        <v>0</v>
      </c>
      <c r="AJ19" s="119"/>
      <c r="AK19" s="135">
        <f t="shared" si="20"/>
        <v>2032</v>
      </c>
      <c r="AL19" s="128">
        <f t="shared" si="33"/>
        <v>28.49</v>
      </c>
      <c r="AM19" s="135">
        <v>12</v>
      </c>
      <c r="AN19" s="130">
        <f t="shared" si="7"/>
        <v>28.49</v>
      </c>
      <c r="AO19" s="119"/>
      <c r="AP19" s="135">
        <f t="shared" si="21"/>
        <v>2032</v>
      </c>
      <c r="AQ19" s="128">
        <f t="shared" si="34"/>
        <v>9.9600000000000009</v>
      </c>
      <c r="AR19" s="135">
        <v>12</v>
      </c>
      <c r="AS19" s="130">
        <f t="shared" si="8"/>
        <v>9.9600000000000009</v>
      </c>
      <c r="AT19" s="119"/>
      <c r="AU19" s="135">
        <f t="shared" si="22"/>
        <v>2032</v>
      </c>
      <c r="AV19" s="128">
        <f t="shared" si="35"/>
        <v>12.74</v>
      </c>
      <c r="AW19" s="135">
        <v>12</v>
      </c>
      <c r="AX19" s="130">
        <f t="shared" si="9"/>
        <v>12.74</v>
      </c>
      <c r="AY19" s="119"/>
      <c r="AZ19" s="135">
        <f t="shared" si="23"/>
        <v>2032</v>
      </c>
      <c r="BA19" s="128">
        <f t="shared" si="36"/>
        <v>698.51</v>
      </c>
      <c r="BB19" s="135">
        <v>12</v>
      </c>
      <c r="BC19" s="130">
        <f t="shared" si="10"/>
        <v>698.50999999999988</v>
      </c>
      <c r="BE19" s="135">
        <f t="shared" si="24"/>
        <v>2032</v>
      </c>
      <c r="BF19" s="128">
        <f t="shared" si="37"/>
        <v>2.92</v>
      </c>
      <c r="BG19" s="135">
        <v>12</v>
      </c>
      <c r="BH19" s="130">
        <f t="shared" si="11"/>
        <v>2.92</v>
      </c>
      <c r="BJ19" s="135">
        <f t="shared" si="25"/>
        <v>2032</v>
      </c>
      <c r="BK19" s="128">
        <f t="shared" si="38"/>
        <v>6.07</v>
      </c>
      <c r="BL19" s="135">
        <v>12</v>
      </c>
      <c r="BM19" s="130">
        <f t="shared" si="12"/>
        <v>6.07</v>
      </c>
    </row>
    <row r="20" spans="2:65">
      <c r="B20" s="135">
        <f t="shared" si="13"/>
        <v>2033</v>
      </c>
      <c r="C20" s="128">
        <f t="shared" si="26"/>
        <v>70.64</v>
      </c>
      <c r="D20" s="135">
        <v>12</v>
      </c>
      <c r="E20" s="130">
        <f t="shared" si="0"/>
        <v>70.64</v>
      </c>
      <c r="F20" s="119"/>
      <c r="G20" s="331">
        <f t="shared" si="14"/>
        <v>2033</v>
      </c>
      <c r="H20" s="128">
        <f t="shared" si="27"/>
        <v>13.460972789327549</v>
      </c>
      <c r="I20" s="135">
        <v>12</v>
      </c>
      <c r="J20" s="130">
        <f t="shared" si="1"/>
        <v>13.460972789327549</v>
      </c>
      <c r="K20" s="119"/>
      <c r="L20" s="135">
        <f t="shared" si="15"/>
        <v>2033</v>
      </c>
      <c r="M20" s="128">
        <f t="shared" si="28"/>
        <v>35.270000000000003</v>
      </c>
      <c r="N20" s="135">
        <v>12</v>
      </c>
      <c r="O20" s="130">
        <f t="shared" si="2"/>
        <v>35.270000000000003</v>
      </c>
      <c r="Q20" s="135">
        <f t="shared" si="16"/>
        <v>2033</v>
      </c>
      <c r="R20" s="128">
        <f t="shared" si="29"/>
        <v>0</v>
      </c>
      <c r="S20" s="135">
        <v>12</v>
      </c>
      <c r="T20" s="130">
        <f t="shared" si="3"/>
        <v>0</v>
      </c>
      <c r="U20" s="119"/>
      <c r="V20" s="135">
        <f t="shared" si="17"/>
        <v>2033</v>
      </c>
      <c r="W20" s="128">
        <f t="shared" si="30"/>
        <v>0</v>
      </c>
      <c r="X20" s="135">
        <v>12</v>
      </c>
      <c r="Y20" s="130">
        <f t="shared" si="4"/>
        <v>0</v>
      </c>
      <c r="Z20" s="119"/>
      <c r="AA20" s="135">
        <f t="shared" si="18"/>
        <v>2033</v>
      </c>
      <c r="AB20" s="128">
        <f t="shared" si="31"/>
        <v>64.150000000000006</v>
      </c>
      <c r="AC20" s="135">
        <v>12</v>
      </c>
      <c r="AD20" s="130">
        <f t="shared" si="5"/>
        <v>64.150000000000006</v>
      </c>
      <c r="AE20" s="119"/>
      <c r="AF20" s="135">
        <f t="shared" si="19"/>
        <v>2033</v>
      </c>
      <c r="AG20" s="128">
        <f t="shared" si="32"/>
        <v>0</v>
      </c>
      <c r="AH20" s="135">
        <v>12</v>
      </c>
      <c r="AI20" s="130">
        <f t="shared" si="6"/>
        <v>0</v>
      </c>
      <c r="AJ20" s="119"/>
      <c r="AK20" s="135">
        <f t="shared" si="20"/>
        <v>2033</v>
      </c>
      <c r="AL20" s="128">
        <f t="shared" si="33"/>
        <v>29.15</v>
      </c>
      <c r="AM20" s="135">
        <v>12</v>
      </c>
      <c r="AN20" s="130">
        <f t="shared" si="7"/>
        <v>29.149999999999995</v>
      </c>
      <c r="AO20" s="119"/>
      <c r="AP20" s="135">
        <f t="shared" si="21"/>
        <v>2033</v>
      </c>
      <c r="AQ20" s="128">
        <f t="shared" si="34"/>
        <v>10.19</v>
      </c>
      <c r="AR20" s="135">
        <v>12</v>
      </c>
      <c r="AS20" s="130">
        <f t="shared" si="8"/>
        <v>10.19</v>
      </c>
      <c r="AT20" s="119"/>
      <c r="AU20" s="135">
        <f t="shared" si="22"/>
        <v>2033</v>
      </c>
      <c r="AV20" s="128">
        <f t="shared" si="35"/>
        <v>13.03</v>
      </c>
      <c r="AW20" s="135">
        <v>12</v>
      </c>
      <c r="AX20" s="130">
        <f t="shared" si="9"/>
        <v>13.03</v>
      </c>
      <c r="AY20" s="119"/>
      <c r="AZ20" s="135">
        <f t="shared" si="23"/>
        <v>2033</v>
      </c>
      <c r="BA20" s="128">
        <f t="shared" si="36"/>
        <v>714.58</v>
      </c>
      <c r="BB20" s="135">
        <v>12</v>
      </c>
      <c r="BC20" s="130">
        <f t="shared" si="10"/>
        <v>714.58</v>
      </c>
      <c r="BE20" s="135">
        <f t="shared" si="24"/>
        <v>2033</v>
      </c>
      <c r="BF20" s="128">
        <f t="shared" si="37"/>
        <v>2.99</v>
      </c>
      <c r="BG20" s="135">
        <v>12</v>
      </c>
      <c r="BH20" s="130">
        <f t="shared" si="11"/>
        <v>2.99</v>
      </c>
      <c r="BJ20" s="135">
        <f t="shared" si="25"/>
        <v>2033</v>
      </c>
      <c r="BK20" s="128">
        <f t="shared" si="38"/>
        <v>6.21</v>
      </c>
      <c r="BL20" s="135">
        <v>12</v>
      </c>
      <c r="BM20" s="130">
        <f t="shared" si="12"/>
        <v>6.21</v>
      </c>
    </row>
    <row r="21" spans="2:65">
      <c r="B21" s="135">
        <f t="shared" si="13"/>
        <v>2034</v>
      </c>
      <c r="C21" s="128">
        <f t="shared" si="26"/>
        <v>72.260000000000005</v>
      </c>
      <c r="D21" s="135">
        <v>12</v>
      </c>
      <c r="E21" s="130">
        <f t="shared" si="0"/>
        <v>72.260000000000005</v>
      </c>
      <c r="F21" s="119"/>
      <c r="G21" s="135">
        <f t="shared" si="14"/>
        <v>2034</v>
      </c>
      <c r="H21" s="128">
        <f t="shared" si="27"/>
        <v>13.77</v>
      </c>
      <c r="I21" s="135">
        <v>12</v>
      </c>
      <c r="J21" s="130">
        <f t="shared" si="1"/>
        <v>13.770000000000001</v>
      </c>
      <c r="K21" s="119"/>
      <c r="L21" s="135">
        <f t="shared" si="15"/>
        <v>2034</v>
      </c>
      <c r="M21" s="128">
        <f t="shared" si="28"/>
        <v>36.08</v>
      </c>
      <c r="N21" s="135">
        <v>12</v>
      </c>
      <c r="O21" s="130">
        <f t="shared" si="2"/>
        <v>36.08</v>
      </c>
      <c r="Q21" s="135">
        <f t="shared" si="16"/>
        <v>2034</v>
      </c>
      <c r="R21" s="128">
        <f t="shared" si="29"/>
        <v>0</v>
      </c>
      <c r="S21" s="135">
        <v>12</v>
      </c>
      <c r="T21" s="130">
        <f t="shared" si="3"/>
        <v>0</v>
      </c>
      <c r="U21" s="119"/>
      <c r="V21" s="135">
        <f t="shared" si="17"/>
        <v>2034</v>
      </c>
      <c r="W21" s="128">
        <f t="shared" si="30"/>
        <v>0</v>
      </c>
      <c r="X21" s="135">
        <v>12</v>
      </c>
      <c r="Y21" s="130">
        <f t="shared" si="4"/>
        <v>0</v>
      </c>
      <c r="Z21" s="119"/>
      <c r="AA21" s="135">
        <f t="shared" si="18"/>
        <v>2034</v>
      </c>
      <c r="AB21" s="128">
        <f t="shared" si="31"/>
        <v>65.63</v>
      </c>
      <c r="AC21" s="135">
        <v>12</v>
      </c>
      <c r="AD21" s="130">
        <f t="shared" si="5"/>
        <v>65.63</v>
      </c>
      <c r="AE21" s="119"/>
      <c r="AF21" s="135">
        <f t="shared" si="19"/>
        <v>2034</v>
      </c>
      <c r="AG21" s="128">
        <f t="shared" si="32"/>
        <v>0</v>
      </c>
      <c r="AH21" s="135">
        <v>12</v>
      </c>
      <c r="AI21" s="130">
        <f t="shared" si="6"/>
        <v>0</v>
      </c>
      <c r="AJ21" s="119"/>
      <c r="AK21" s="135">
        <f t="shared" si="20"/>
        <v>2034</v>
      </c>
      <c r="AL21" s="128">
        <f t="shared" si="33"/>
        <v>29.82</v>
      </c>
      <c r="AM21" s="135">
        <v>12</v>
      </c>
      <c r="AN21" s="130">
        <f t="shared" si="7"/>
        <v>29.820000000000004</v>
      </c>
      <c r="AO21" s="119"/>
      <c r="AP21" s="135">
        <f t="shared" si="21"/>
        <v>2034</v>
      </c>
      <c r="AQ21" s="128">
        <f t="shared" si="34"/>
        <v>10.42</v>
      </c>
      <c r="AR21" s="135">
        <v>12</v>
      </c>
      <c r="AS21" s="130">
        <f t="shared" si="8"/>
        <v>10.42</v>
      </c>
      <c r="AT21" s="119"/>
      <c r="AU21" s="135">
        <f t="shared" si="22"/>
        <v>2034</v>
      </c>
      <c r="AV21" s="128">
        <f t="shared" si="35"/>
        <v>13.33</v>
      </c>
      <c r="AW21" s="135">
        <v>12</v>
      </c>
      <c r="AX21" s="130">
        <f t="shared" si="9"/>
        <v>13.33</v>
      </c>
      <c r="AY21" s="119"/>
      <c r="AZ21" s="135">
        <f t="shared" si="23"/>
        <v>2034</v>
      </c>
      <c r="BA21" s="128">
        <f t="shared" si="36"/>
        <v>731.02</v>
      </c>
      <c r="BB21" s="135">
        <v>12</v>
      </c>
      <c r="BC21" s="130">
        <f t="shared" si="10"/>
        <v>731.02</v>
      </c>
      <c r="BE21" s="135">
        <f t="shared" si="24"/>
        <v>2034</v>
      </c>
      <c r="BF21" s="128">
        <f t="shared" si="37"/>
        <v>3.06</v>
      </c>
      <c r="BG21" s="135">
        <v>12</v>
      </c>
      <c r="BH21" s="130">
        <f t="shared" si="11"/>
        <v>3.06</v>
      </c>
      <c r="BJ21" s="135">
        <f t="shared" si="25"/>
        <v>2034</v>
      </c>
      <c r="BK21" s="128">
        <f t="shared" si="38"/>
        <v>6.35</v>
      </c>
      <c r="BL21" s="135">
        <v>12</v>
      </c>
      <c r="BM21" s="130">
        <f t="shared" si="12"/>
        <v>6.3499999999999988</v>
      </c>
    </row>
    <row r="22" spans="2:65">
      <c r="B22" s="135">
        <f t="shared" si="13"/>
        <v>2035</v>
      </c>
      <c r="C22" s="128">
        <f t="shared" si="26"/>
        <v>73.92</v>
      </c>
      <c r="D22" s="135">
        <v>12</v>
      </c>
      <c r="E22" s="130">
        <f t="shared" si="0"/>
        <v>73.92</v>
      </c>
      <c r="F22" s="119"/>
      <c r="G22" s="135">
        <f t="shared" si="14"/>
        <v>2035</v>
      </c>
      <c r="H22" s="128">
        <f t="shared" si="27"/>
        <v>14.09</v>
      </c>
      <c r="I22" s="135">
        <v>12</v>
      </c>
      <c r="J22" s="130">
        <f t="shared" si="1"/>
        <v>14.089999999999998</v>
      </c>
      <c r="K22" s="119"/>
      <c r="L22" s="135">
        <f t="shared" si="15"/>
        <v>2035</v>
      </c>
      <c r="M22" s="128">
        <f t="shared" si="28"/>
        <v>36.909999999999997</v>
      </c>
      <c r="N22" s="135">
        <v>12</v>
      </c>
      <c r="O22" s="130">
        <f t="shared" si="2"/>
        <v>36.909999999999997</v>
      </c>
      <c r="Q22" s="135">
        <f t="shared" si="16"/>
        <v>2035</v>
      </c>
      <c r="R22" s="128">
        <f t="shared" si="29"/>
        <v>0</v>
      </c>
      <c r="S22" s="135">
        <v>12</v>
      </c>
      <c r="T22" s="130">
        <f t="shared" si="3"/>
        <v>0</v>
      </c>
      <c r="U22" s="119"/>
      <c r="V22" s="135">
        <f t="shared" si="17"/>
        <v>2035</v>
      </c>
      <c r="W22" s="128">
        <f t="shared" si="30"/>
        <v>0</v>
      </c>
      <c r="X22" s="135">
        <v>12</v>
      </c>
      <c r="Y22" s="130">
        <f t="shared" si="4"/>
        <v>0</v>
      </c>
      <c r="Z22" s="119"/>
      <c r="AA22" s="135">
        <f t="shared" si="18"/>
        <v>2035</v>
      </c>
      <c r="AB22" s="128">
        <f t="shared" si="31"/>
        <v>67.14</v>
      </c>
      <c r="AC22" s="135">
        <v>12</v>
      </c>
      <c r="AD22" s="130">
        <f t="shared" si="5"/>
        <v>67.14</v>
      </c>
      <c r="AE22" s="119"/>
      <c r="AF22" s="135">
        <f t="shared" si="19"/>
        <v>2035</v>
      </c>
      <c r="AG22" s="128">
        <f t="shared" si="32"/>
        <v>0</v>
      </c>
      <c r="AH22" s="135">
        <v>12</v>
      </c>
      <c r="AI22" s="130">
        <f t="shared" si="6"/>
        <v>0</v>
      </c>
      <c r="AJ22" s="119"/>
      <c r="AK22" s="135">
        <f t="shared" si="20"/>
        <v>2035</v>
      </c>
      <c r="AL22" s="128">
        <f t="shared" si="33"/>
        <v>30.51</v>
      </c>
      <c r="AM22" s="135">
        <v>12</v>
      </c>
      <c r="AN22" s="130">
        <f t="shared" si="7"/>
        <v>30.51</v>
      </c>
      <c r="AO22" s="119"/>
      <c r="AP22" s="135">
        <f t="shared" si="21"/>
        <v>2035</v>
      </c>
      <c r="AQ22" s="128">
        <f t="shared" si="34"/>
        <v>10.66</v>
      </c>
      <c r="AR22" s="135">
        <v>12</v>
      </c>
      <c r="AS22" s="130">
        <f t="shared" si="8"/>
        <v>10.66</v>
      </c>
      <c r="AT22" s="119"/>
      <c r="AU22" s="135">
        <f t="shared" si="22"/>
        <v>2035</v>
      </c>
      <c r="AV22" s="128">
        <f t="shared" si="35"/>
        <v>13.64</v>
      </c>
      <c r="AW22" s="135">
        <v>12</v>
      </c>
      <c r="AX22" s="130">
        <f t="shared" si="9"/>
        <v>13.64</v>
      </c>
      <c r="AY22" s="119"/>
      <c r="AZ22" s="135">
        <f t="shared" si="23"/>
        <v>2035</v>
      </c>
      <c r="BA22" s="128">
        <f t="shared" si="36"/>
        <v>747.83</v>
      </c>
      <c r="BB22" s="135">
        <v>12</v>
      </c>
      <c r="BC22" s="130">
        <f t="shared" si="10"/>
        <v>747.83</v>
      </c>
      <c r="BE22" s="135">
        <f t="shared" si="24"/>
        <v>2035</v>
      </c>
      <c r="BF22" s="128">
        <f t="shared" si="37"/>
        <v>3.13</v>
      </c>
      <c r="BG22" s="135">
        <v>12</v>
      </c>
      <c r="BH22" s="130">
        <f t="shared" si="11"/>
        <v>3.1300000000000003</v>
      </c>
      <c r="BJ22" s="135">
        <f t="shared" si="25"/>
        <v>2035</v>
      </c>
      <c r="BK22" s="128">
        <f t="shared" si="38"/>
        <v>6.5</v>
      </c>
      <c r="BL22" s="135">
        <v>12</v>
      </c>
      <c r="BM22" s="130">
        <f t="shared" si="12"/>
        <v>6.5</v>
      </c>
    </row>
    <row r="23" spans="2:65">
      <c r="B23" s="135">
        <f t="shared" si="13"/>
        <v>2036</v>
      </c>
      <c r="C23" s="128">
        <f t="shared" si="26"/>
        <v>75.62</v>
      </c>
      <c r="D23" s="135">
        <v>12</v>
      </c>
      <c r="E23" s="130">
        <f t="shared" si="0"/>
        <v>75.62</v>
      </c>
      <c r="F23" s="119"/>
      <c r="G23" s="135">
        <f t="shared" si="14"/>
        <v>2036</v>
      </c>
      <c r="H23" s="128">
        <f t="shared" si="27"/>
        <v>14.41</v>
      </c>
      <c r="I23" s="135">
        <v>12</v>
      </c>
      <c r="J23" s="130">
        <f t="shared" si="1"/>
        <v>14.410000000000002</v>
      </c>
      <c r="K23" s="119"/>
      <c r="L23" s="135">
        <f t="shared" si="15"/>
        <v>2036</v>
      </c>
      <c r="M23" s="128">
        <f t="shared" si="28"/>
        <v>37.76</v>
      </c>
      <c r="N23" s="135">
        <v>12</v>
      </c>
      <c r="O23" s="130">
        <f t="shared" si="2"/>
        <v>37.76</v>
      </c>
      <c r="Q23" s="135">
        <f t="shared" si="16"/>
        <v>2036</v>
      </c>
      <c r="R23" s="128">
        <f t="shared" si="29"/>
        <v>0</v>
      </c>
      <c r="S23" s="135">
        <v>12</v>
      </c>
      <c r="T23" s="130">
        <f t="shared" si="3"/>
        <v>0</v>
      </c>
      <c r="U23" s="119"/>
      <c r="V23" s="135">
        <f t="shared" si="17"/>
        <v>2036</v>
      </c>
      <c r="W23" s="128">
        <f t="shared" si="30"/>
        <v>0</v>
      </c>
      <c r="X23" s="135">
        <v>12</v>
      </c>
      <c r="Y23" s="130">
        <f t="shared" si="4"/>
        <v>0</v>
      </c>
      <c r="Z23" s="119"/>
      <c r="AA23" s="135">
        <f t="shared" si="18"/>
        <v>2036</v>
      </c>
      <c r="AB23" s="128">
        <f t="shared" si="31"/>
        <v>68.680000000000007</v>
      </c>
      <c r="AC23" s="135">
        <v>12</v>
      </c>
      <c r="AD23" s="130">
        <f t="shared" si="5"/>
        <v>68.680000000000007</v>
      </c>
      <c r="AE23" s="119"/>
      <c r="AF23" s="135">
        <f t="shared" si="19"/>
        <v>2036</v>
      </c>
      <c r="AG23" s="128">
        <f t="shared" si="32"/>
        <v>0</v>
      </c>
      <c r="AH23" s="135">
        <v>12</v>
      </c>
      <c r="AI23" s="130">
        <f t="shared" si="6"/>
        <v>0</v>
      </c>
      <c r="AJ23" s="119"/>
      <c r="AK23" s="135">
        <f t="shared" si="20"/>
        <v>2036</v>
      </c>
      <c r="AL23" s="128">
        <f t="shared" si="33"/>
        <v>31.21</v>
      </c>
      <c r="AM23" s="135">
        <v>12</v>
      </c>
      <c r="AN23" s="130">
        <f t="shared" si="7"/>
        <v>31.209999999999997</v>
      </c>
      <c r="AO23" s="119"/>
      <c r="AP23" s="135">
        <f t="shared" si="21"/>
        <v>2036</v>
      </c>
      <c r="AQ23" s="128">
        <f t="shared" si="34"/>
        <v>10.91</v>
      </c>
      <c r="AR23" s="135">
        <v>12</v>
      </c>
      <c r="AS23" s="130">
        <f t="shared" si="8"/>
        <v>10.910000000000002</v>
      </c>
      <c r="AT23" s="119"/>
      <c r="AU23" s="135">
        <f t="shared" si="22"/>
        <v>2036</v>
      </c>
      <c r="AV23" s="128">
        <f t="shared" si="35"/>
        <v>13.95</v>
      </c>
      <c r="AW23" s="135">
        <v>12</v>
      </c>
      <c r="AX23" s="130">
        <f t="shared" si="9"/>
        <v>13.949999999999998</v>
      </c>
      <c r="AY23" s="119"/>
      <c r="AZ23" s="135">
        <f t="shared" si="23"/>
        <v>2036</v>
      </c>
      <c r="BA23" s="128">
        <f t="shared" si="36"/>
        <v>765.03</v>
      </c>
      <c r="BB23" s="135">
        <v>12</v>
      </c>
      <c r="BC23" s="130">
        <f t="shared" si="10"/>
        <v>765.03000000000009</v>
      </c>
      <c r="BE23" s="135">
        <f t="shared" si="24"/>
        <v>2036</v>
      </c>
      <c r="BF23" s="128">
        <f t="shared" si="37"/>
        <v>3.2</v>
      </c>
      <c r="BG23" s="135">
        <v>12</v>
      </c>
      <c r="BH23" s="130">
        <f t="shared" si="11"/>
        <v>3.2000000000000006</v>
      </c>
      <c r="BJ23" s="135">
        <f t="shared" si="25"/>
        <v>2036</v>
      </c>
      <c r="BK23" s="128">
        <f t="shared" si="38"/>
        <v>6.65</v>
      </c>
      <c r="BL23" s="135">
        <v>12</v>
      </c>
      <c r="BM23" s="130">
        <f t="shared" si="12"/>
        <v>6.6500000000000012</v>
      </c>
    </row>
    <row r="24" spans="2:65">
      <c r="B24" s="135">
        <f t="shared" si="13"/>
        <v>2037</v>
      </c>
      <c r="C24" s="128">
        <f t="shared" si="26"/>
        <v>77.36</v>
      </c>
      <c r="D24" s="135">
        <v>12</v>
      </c>
      <c r="E24" s="130">
        <f t="shared" si="0"/>
        <v>77.36</v>
      </c>
      <c r="F24" s="119"/>
      <c r="G24" s="135">
        <f t="shared" si="14"/>
        <v>2037</v>
      </c>
      <c r="H24" s="128">
        <f t="shared" si="27"/>
        <v>14.74</v>
      </c>
      <c r="I24" s="135">
        <v>12</v>
      </c>
      <c r="J24" s="130">
        <f t="shared" si="1"/>
        <v>14.74</v>
      </c>
      <c r="K24" s="119"/>
      <c r="L24" s="135">
        <f t="shared" si="15"/>
        <v>2037</v>
      </c>
      <c r="M24" s="128">
        <f t="shared" si="28"/>
        <v>38.630000000000003</v>
      </c>
      <c r="N24" s="135">
        <v>12</v>
      </c>
      <c r="O24" s="130">
        <f t="shared" si="2"/>
        <v>38.630000000000003</v>
      </c>
      <c r="Q24" s="331">
        <f t="shared" si="16"/>
        <v>2037</v>
      </c>
      <c r="R24" s="128">
        <f t="shared" si="29"/>
        <v>17.902711588140626</v>
      </c>
      <c r="S24" s="135">
        <v>12</v>
      </c>
      <c r="T24" s="130">
        <f t="shared" si="3"/>
        <v>17.902711588140626</v>
      </c>
      <c r="U24" s="119"/>
      <c r="V24" s="135">
        <f t="shared" si="17"/>
        <v>2037</v>
      </c>
      <c r="W24" s="128">
        <f t="shared" si="30"/>
        <v>0</v>
      </c>
      <c r="X24" s="135">
        <v>12</v>
      </c>
      <c r="Y24" s="130">
        <f t="shared" si="4"/>
        <v>0</v>
      </c>
      <c r="Z24" s="119"/>
      <c r="AA24" s="135">
        <f t="shared" si="18"/>
        <v>2037</v>
      </c>
      <c r="AB24" s="128">
        <f t="shared" si="31"/>
        <v>70.260000000000005</v>
      </c>
      <c r="AC24" s="135">
        <v>12</v>
      </c>
      <c r="AD24" s="130">
        <f t="shared" si="5"/>
        <v>70.260000000000005</v>
      </c>
      <c r="AE24" s="119"/>
      <c r="AF24" s="331">
        <f t="shared" si="19"/>
        <v>2037</v>
      </c>
      <c r="AG24" s="128">
        <f t="shared" si="32"/>
        <v>36.48563707005443</v>
      </c>
      <c r="AH24" s="135">
        <v>12</v>
      </c>
      <c r="AI24" s="130">
        <f t="shared" si="6"/>
        <v>36.48563707005443</v>
      </c>
      <c r="AJ24" s="119"/>
      <c r="AK24" s="135">
        <f t="shared" si="20"/>
        <v>2037</v>
      </c>
      <c r="AL24" s="128">
        <f t="shared" si="33"/>
        <v>31.93</v>
      </c>
      <c r="AM24" s="135">
        <v>12</v>
      </c>
      <c r="AN24" s="130">
        <f t="shared" si="7"/>
        <v>31.929999999999996</v>
      </c>
      <c r="AO24" s="119"/>
      <c r="AP24" s="135">
        <f t="shared" si="21"/>
        <v>2037</v>
      </c>
      <c r="AQ24" s="128">
        <f t="shared" si="34"/>
        <v>11.16</v>
      </c>
      <c r="AR24" s="135">
        <v>12</v>
      </c>
      <c r="AS24" s="130">
        <f t="shared" si="8"/>
        <v>11.160000000000002</v>
      </c>
      <c r="AT24" s="119"/>
      <c r="AU24" s="135">
        <f t="shared" si="22"/>
        <v>2037</v>
      </c>
      <c r="AV24" s="128">
        <f t="shared" si="35"/>
        <v>14.27</v>
      </c>
      <c r="AW24" s="135">
        <v>12</v>
      </c>
      <c r="AX24" s="130">
        <f t="shared" si="9"/>
        <v>14.270000000000001</v>
      </c>
      <c r="AY24" s="119"/>
      <c r="AZ24" s="135">
        <f t="shared" si="23"/>
        <v>2037</v>
      </c>
      <c r="BA24" s="128">
        <f t="shared" si="36"/>
        <v>782.63</v>
      </c>
      <c r="BB24" s="135">
        <v>12</v>
      </c>
      <c r="BC24" s="130">
        <f t="shared" si="10"/>
        <v>782.63</v>
      </c>
      <c r="BE24" s="135">
        <f t="shared" si="24"/>
        <v>2037</v>
      </c>
      <c r="BF24" s="128">
        <f t="shared" si="37"/>
        <v>3.27</v>
      </c>
      <c r="BG24" s="135">
        <v>12</v>
      </c>
      <c r="BH24" s="130">
        <f t="shared" si="11"/>
        <v>3.27</v>
      </c>
      <c r="BJ24" s="135">
        <f t="shared" si="25"/>
        <v>2037</v>
      </c>
      <c r="BK24" s="128">
        <f t="shared" si="38"/>
        <v>6.8</v>
      </c>
      <c r="BL24" s="135">
        <v>12</v>
      </c>
      <c r="BM24" s="130">
        <f t="shared" si="12"/>
        <v>6.8</v>
      </c>
    </row>
    <row r="25" spans="2:65">
      <c r="B25" s="135">
        <f t="shared" si="13"/>
        <v>2038</v>
      </c>
      <c r="C25" s="128">
        <f t="shared" si="26"/>
        <v>79.14</v>
      </c>
      <c r="D25" s="135">
        <v>12</v>
      </c>
      <c r="E25" s="130">
        <f t="shared" si="0"/>
        <v>79.14</v>
      </c>
      <c r="F25" s="119"/>
      <c r="G25" s="135">
        <f t="shared" si="14"/>
        <v>2038</v>
      </c>
      <c r="H25" s="128">
        <f t="shared" si="27"/>
        <v>15.08</v>
      </c>
      <c r="I25" s="135">
        <v>12</v>
      </c>
      <c r="J25" s="130">
        <f t="shared" si="1"/>
        <v>15.08</v>
      </c>
      <c r="K25" s="119"/>
      <c r="L25" s="135">
        <f t="shared" si="15"/>
        <v>2038</v>
      </c>
      <c r="M25" s="128">
        <f t="shared" si="28"/>
        <v>39.520000000000003</v>
      </c>
      <c r="N25" s="135">
        <v>12</v>
      </c>
      <c r="O25" s="130">
        <f t="shared" si="2"/>
        <v>39.520000000000003</v>
      </c>
      <c r="Q25" s="135">
        <f t="shared" si="16"/>
        <v>2038</v>
      </c>
      <c r="R25" s="128">
        <f t="shared" si="29"/>
        <v>18.309999999999999</v>
      </c>
      <c r="S25" s="135">
        <v>12</v>
      </c>
      <c r="T25" s="130">
        <f t="shared" si="3"/>
        <v>18.309999999999999</v>
      </c>
      <c r="U25" s="119"/>
      <c r="V25" s="135">
        <f t="shared" si="17"/>
        <v>2038</v>
      </c>
      <c r="W25" s="128">
        <f t="shared" si="30"/>
        <v>0</v>
      </c>
      <c r="X25" s="135">
        <v>12</v>
      </c>
      <c r="Y25" s="130">
        <f t="shared" si="4"/>
        <v>0</v>
      </c>
      <c r="Z25" s="119"/>
      <c r="AA25" s="135">
        <f t="shared" si="18"/>
        <v>2038</v>
      </c>
      <c r="AB25" s="128">
        <f t="shared" si="31"/>
        <v>71.88</v>
      </c>
      <c r="AC25" s="135">
        <v>12</v>
      </c>
      <c r="AD25" s="130">
        <f t="shared" si="5"/>
        <v>71.88</v>
      </c>
      <c r="AE25" s="119"/>
      <c r="AF25" s="135">
        <f t="shared" si="19"/>
        <v>2038</v>
      </c>
      <c r="AG25" s="128">
        <f t="shared" si="32"/>
        <v>37.32</v>
      </c>
      <c r="AH25" s="135">
        <v>12</v>
      </c>
      <c r="AI25" s="130">
        <f t="shared" si="6"/>
        <v>37.32</v>
      </c>
      <c r="AJ25" s="119"/>
      <c r="AK25" s="135">
        <f t="shared" si="20"/>
        <v>2038</v>
      </c>
      <c r="AL25" s="128">
        <f t="shared" si="33"/>
        <v>32.659999999999997</v>
      </c>
      <c r="AM25" s="135">
        <v>12</v>
      </c>
      <c r="AN25" s="130">
        <f t="shared" si="7"/>
        <v>32.659999999999997</v>
      </c>
      <c r="AO25" s="119"/>
      <c r="AP25" s="135">
        <f t="shared" si="21"/>
        <v>2038</v>
      </c>
      <c r="AQ25" s="128">
        <f t="shared" si="34"/>
        <v>11.42</v>
      </c>
      <c r="AR25" s="135">
        <v>12</v>
      </c>
      <c r="AS25" s="130">
        <f t="shared" si="8"/>
        <v>11.42</v>
      </c>
      <c r="AT25" s="119"/>
      <c r="AU25" s="135">
        <f t="shared" si="22"/>
        <v>2038</v>
      </c>
      <c r="AV25" s="128">
        <f t="shared" si="35"/>
        <v>14.6</v>
      </c>
      <c r="AW25" s="135">
        <v>12</v>
      </c>
      <c r="AX25" s="130">
        <f t="shared" si="9"/>
        <v>14.6</v>
      </c>
      <c r="AY25" s="119"/>
      <c r="AZ25" s="135">
        <f t="shared" si="23"/>
        <v>2038</v>
      </c>
      <c r="BA25" s="128">
        <f t="shared" si="36"/>
        <v>800.63</v>
      </c>
      <c r="BB25" s="135">
        <v>12</v>
      </c>
      <c r="BC25" s="130">
        <f t="shared" si="10"/>
        <v>800.63</v>
      </c>
      <c r="BE25" s="135">
        <f t="shared" si="24"/>
        <v>2038</v>
      </c>
      <c r="BF25" s="128">
        <f t="shared" si="37"/>
        <v>3.35</v>
      </c>
      <c r="BG25" s="135">
        <v>12</v>
      </c>
      <c r="BH25" s="130">
        <f t="shared" si="11"/>
        <v>3.35</v>
      </c>
      <c r="BJ25" s="135">
        <f t="shared" si="25"/>
        <v>2038</v>
      </c>
      <c r="BK25" s="128">
        <f t="shared" si="38"/>
        <v>6.96</v>
      </c>
      <c r="BL25" s="135">
        <v>12</v>
      </c>
      <c r="BM25" s="130">
        <f t="shared" si="12"/>
        <v>6.96</v>
      </c>
    </row>
    <row r="26" spans="2:65">
      <c r="B26" s="135">
        <f t="shared" si="13"/>
        <v>2039</v>
      </c>
      <c r="C26" s="128">
        <f t="shared" si="26"/>
        <v>80.959999999999994</v>
      </c>
      <c r="D26" s="135">
        <v>12</v>
      </c>
      <c r="E26" s="130">
        <f t="shared" si="0"/>
        <v>80.959999999999994</v>
      </c>
      <c r="F26" s="119"/>
      <c r="G26" s="135">
        <f t="shared" si="14"/>
        <v>2039</v>
      </c>
      <c r="H26" s="128">
        <f t="shared" si="27"/>
        <v>15.43</v>
      </c>
      <c r="I26" s="135">
        <v>12</v>
      </c>
      <c r="J26" s="130">
        <f t="shared" si="1"/>
        <v>15.43</v>
      </c>
      <c r="K26" s="119"/>
      <c r="L26" s="135">
        <f t="shared" si="15"/>
        <v>2039</v>
      </c>
      <c r="M26" s="128">
        <f t="shared" si="28"/>
        <v>40.43</v>
      </c>
      <c r="N26" s="135">
        <v>12</v>
      </c>
      <c r="O26" s="130">
        <f t="shared" si="2"/>
        <v>40.43</v>
      </c>
      <c r="Q26" s="135">
        <f t="shared" si="16"/>
        <v>2039</v>
      </c>
      <c r="R26" s="128">
        <f t="shared" si="29"/>
        <v>18.73</v>
      </c>
      <c r="S26" s="135">
        <v>12</v>
      </c>
      <c r="T26" s="130">
        <f t="shared" si="3"/>
        <v>18.73</v>
      </c>
      <c r="U26" s="119"/>
      <c r="V26" s="135">
        <f t="shared" si="17"/>
        <v>2039</v>
      </c>
      <c r="W26" s="128">
        <f t="shared" si="30"/>
        <v>0</v>
      </c>
      <c r="X26" s="135">
        <v>12</v>
      </c>
      <c r="Y26" s="130">
        <f t="shared" si="4"/>
        <v>0</v>
      </c>
      <c r="Z26" s="119"/>
      <c r="AA26" s="135">
        <f t="shared" si="18"/>
        <v>2039</v>
      </c>
      <c r="AB26" s="128">
        <f t="shared" si="31"/>
        <v>73.53</v>
      </c>
      <c r="AC26" s="135">
        <v>12</v>
      </c>
      <c r="AD26" s="130">
        <f t="shared" si="5"/>
        <v>73.53</v>
      </c>
      <c r="AE26" s="119"/>
      <c r="AF26" s="135">
        <f t="shared" si="19"/>
        <v>2039</v>
      </c>
      <c r="AG26" s="128">
        <f t="shared" si="32"/>
        <v>38.18</v>
      </c>
      <c r="AH26" s="135">
        <v>12</v>
      </c>
      <c r="AI26" s="130">
        <f t="shared" si="6"/>
        <v>38.18</v>
      </c>
      <c r="AJ26" s="119"/>
      <c r="AK26" s="135">
        <f t="shared" si="20"/>
        <v>2039</v>
      </c>
      <c r="AL26" s="128">
        <f t="shared" si="33"/>
        <v>33.409999999999997</v>
      </c>
      <c r="AM26" s="135">
        <v>12</v>
      </c>
      <c r="AN26" s="130">
        <f t="shared" si="7"/>
        <v>33.409999999999997</v>
      </c>
      <c r="AO26" s="119"/>
      <c r="AP26" s="135">
        <f t="shared" si="21"/>
        <v>2039</v>
      </c>
      <c r="AQ26" s="128">
        <f t="shared" si="34"/>
        <v>11.68</v>
      </c>
      <c r="AR26" s="135">
        <v>12</v>
      </c>
      <c r="AS26" s="130">
        <f t="shared" si="8"/>
        <v>11.68</v>
      </c>
      <c r="AT26" s="119"/>
      <c r="AU26" s="135">
        <f t="shared" si="22"/>
        <v>2039</v>
      </c>
      <c r="AV26" s="128">
        <f t="shared" si="35"/>
        <v>14.94</v>
      </c>
      <c r="AW26" s="135">
        <v>12</v>
      </c>
      <c r="AX26" s="130">
        <f t="shared" si="9"/>
        <v>14.94</v>
      </c>
      <c r="AY26" s="119"/>
      <c r="AZ26" s="135">
        <f t="shared" si="23"/>
        <v>2039</v>
      </c>
      <c r="BA26" s="128">
        <f t="shared" si="36"/>
        <v>819.04</v>
      </c>
      <c r="BB26" s="135">
        <v>12</v>
      </c>
      <c r="BC26" s="130">
        <f t="shared" si="10"/>
        <v>819.04</v>
      </c>
      <c r="BE26" s="135">
        <f t="shared" si="24"/>
        <v>2039</v>
      </c>
      <c r="BF26" s="128">
        <f t="shared" si="37"/>
        <v>3.43</v>
      </c>
      <c r="BG26" s="135">
        <v>12</v>
      </c>
      <c r="BH26" s="130">
        <f t="shared" si="11"/>
        <v>3.43</v>
      </c>
      <c r="BJ26" s="135">
        <f t="shared" si="25"/>
        <v>2039</v>
      </c>
      <c r="BK26" s="128">
        <f t="shared" si="38"/>
        <v>7.12</v>
      </c>
      <c r="BL26" s="135">
        <v>12</v>
      </c>
      <c r="BM26" s="130">
        <f t="shared" si="12"/>
        <v>7.12</v>
      </c>
    </row>
    <row r="27" spans="2:65">
      <c r="B27" s="135">
        <f t="shared" si="13"/>
        <v>2040</v>
      </c>
      <c r="C27" s="128">
        <f t="shared" si="26"/>
        <v>82.82</v>
      </c>
      <c r="D27" s="135">
        <v>12</v>
      </c>
      <c r="E27" s="130">
        <f t="shared" si="0"/>
        <v>82.82</v>
      </c>
      <c r="F27" s="119"/>
      <c r="G27" s="135">
        <f t="shared" si="14"/>
        <v>2040</v>
      </c>
      <c r="H27" s="128">
        <f t="shared" si="27"/>
        <v>15.78</v>
      </c>
      <c r="I27" s="135">
        <v>12</v>
      </c>
      <c r="J27" s="130">
        <f t="shared" si="1"/>
        <v>15.78</v>
      </c>
      <c r="K27" s="119"/>
      <c r="L27" s="135">
        <f t="shared" si="15"/>
        <v>2040</v>
      </c>
      <c r="M27" s="128">
        <f t="shared" si="28"/>
        <v>41.36</v>
      </c>
      <c r="N27" s="135">
        <v>12</v>
      </c>
      <c r="O27" s="130">
        <f t="shared" si="2"/>
        <v>41.36</v>
      </c>
      <c r="Q27" s="135">
        <f t="shared" si="16"/>
        <v>2040</v>
      </c>
      <c r="R27" s="128">
        <f t="shared" si="29"/>
        <v>19.16</v>
      </c>
      <c r="S27" s="135">
        <v>12</v>
      </c>
      <c r="T27" s="130">
        <f t="shared" si="3"/>
        <v>19.16</v>
      </c>
      <c r="U27" s="119"/>
      <c r="V27" s="331">
        <f t="shared" si="17"/>
        <v>2040</v>
      </c>
      <c r="W27" s="128">
        <f t="shared" si="30"/>
        <v>18.734858618571817</v>
      </c>
      <c r="X27" s="135">
        <v>12</v>
      </c>
      <c r="Y27" s="130">
        <f t="shared" si="4"/>
        <v>18.734858618571817</v>
      </c>
      <c r="Z27" s="119"/>
      <c r="AA27" s="135">
        <f t="shared" si="18"/>
        <v>2040</v>
      </c>
      <c r="AB27" s="128">
        <f t="shared" si="31"/>
        <v>75.22</v>
      </c>
      <c r="AC27" s="135">
        <v>12</v>
      </c>
      <c r="AD27" s="130">
        <f t="shared" si="5"/>
        <v>75.22</v>
      </c>
      <c r="AE27" s="119"/>
      <c r="AF27" s="135">
        <f t="shared" si="19"/>
        <v>2040</v>
      </c>
      <c r="AG27" s="128">
        <f t="shared" si="32"/>
        <v>39.06</v>
      </c>
      <c r="AH27" s="135">
        <v>12</v>
      </c>
      <c r="AI27" s="130">
        <f t="shared" si="6"/>
        <v>39.06</v>
      </c>
      <c r="AJ27" s="119"/>
      <c r="AK27" s="135">
        <f t="shared" si="20"/>
        <v>2040</v>
      </c>
      <c r="AL27" s="128">
        <f t="shared" si="33"/>
        <v>34.18</v>
      </c>
      <c r="AM27" s="135">
        <v>12</v>
      </c>
      <c r="AN27" s="130">
        <f t="shared" si="7"/>
        <v>34.18</v>
      </c>
      <c r="AO27" s="119"/>
      <c r="AP27" s="135">
        <f t="shared" si="21"/>
        <v>2040</v>
      </c>
      <c r="AQ27" s="128">
        <f t="shared" si="34"/>
        <v>11.95</v>
      </c>
      <c r="AR27" s="135">
        <v>12</v>
      </c>
      <c r="AS27" s="130">
        <f t="shared" si="8"/>
        <v>11.949999999999998</v>
      </c>
      <c r="AT27" s="119"/>
      <c r="AU27" s="135">
        <f t="shared" si="22"/>
        <v>2040</v>
      </c>
      <c r="AV27" s="128">
        <f t="shared" si="35"/>
        <v>15.28</v>
      </c>
      <c r="AW27" s="135">
        <v>12</v>
      </c>
      <c r="AX27" s="130">
        <f t="shared" si="9"/>
        <v>15.28</v>
      </c>
      <c r="AY27" s="119"/>
      <c r="AZ27" s="135">
        <f t="shared" si="23"/>
        <v>2040</v>
      </c>
      <c r="BA27" s="128">
        <f t="shared" si="36"/>
        <v>837.88</v>
      </c>
      <c r="BB27" s="135">
        <v>12</v>
      </c>
      <c r="BC27" s="130">
        <f t="shared" si="10"/>
        <v>837.88</v>
      </c>
      <c r="BE27" s="135">
        <f t="shared" si="24"/>
        <v>2040</v>
      </c>
      <c r="BF27" s="128">
        <f t="shared" si="37"/>
        <v>3.51</v>
      </c>
      <c r="BG27" s="135">
        <v>12</v>
      </c>
      <c r="BH27" s="130">
        <f t="shared" si="11"/>
        <v>3.51</v>
      </c>
      <c r="BJ27" s="135">
        <f t="shared" si="25"/>
        <v>2040</v>
      </c>
      <c r="BK27" s="128">
        <f t="shared" si="38"/>
        <v>7.28</v>
      </c>
      <c r="BL27" s="135">
        <v>12</v>
      </c>
      <c r="BM27" s="130">
        <f t="shared" si="12"/>
        <v>7.28</v>
      </c>
    </row>
    <row r="28" spans="2:65">
      <c r="B28" s="135">
        <f t="shared" si="13"/>
        <v>2041</v>
      </c>
      <c r="C28" s="128">
        <f t="shared" si="26"/>
        <v>84.64</v>
      </c>
      <c r="D28" s="135">
        <v>12</v>
      </c>
      <c r="E28" s="130">
        <f t="shared" si="0"/>
        <v>84.64</v>
      </c>
      <c r="F28" s="119"/>
      <c r="G28" s="135">
        <f t="shared" si="14"/>
        <v>2041</v>
      </c>
      <c r="H28" s="128">
        <f t="shared" si="27"/>
        <v>16.13</v>
      </c>
      <c r="I28" s="135">
        <v>12</v>
      </c>
      <c r="J28" s="130">
        <f t="shared" si="1"/>
        <v>16.13</v>
      </c>
      <c r="K28" s="119"/>
      <c r="L28" s="135">
        <f t="shared" si="15"/>
        <v>2041</v>
      </c>
      <c r="M28" s="128">
        <f t="shared" si="28"/>
        <v>42.27</v>
      </c>
      <c r="N28" s="135">
        <v>12</v>
      </c>
      <c r="O28" s="130">
        <f t="shared" si="2"/>
        <v>42.27</v>
      </c>
      <c r="Q28" s="135">
        <f t="shared" si="16"/>
        <v>2041</v>
      </c>
      <c r="R28" s="128">
        <f t="shared" si="29"/>
        <v>19.579999999999998</v>
      </c>
      <c r="S28" s="135">
        <v>12</v>
      </c>
      <c r="T28" s="130">
        <f t="shared" si="3"/>
        <v>19.579999999999998</v>
      </c>
      <c r="U28" s="119"/>
      <c r="V28" s="135">
        <f t="shared" si="17"/>
        <v>2041</v>
      </c>
      <c r="W28" s="128">
        <f t="shared" si="30"/>
        <v>19.149999999999999</v>
      </c>
      <c r="X28" s="135">
        <v>12</v>
      </c>
      <c r="Y28" s="130">
        <f t="shared" si="4"/>
        <v>19.149999999999999</v>
      </c>
      <c r="Z28" s="119"/>
      <c r="AA28" s="135">
        <f t="shared" si="18"/>
        <v>2041</v>
      </c>
      <c r="AB28" s="128">
        <f t="shared" si="31"/>
        <v>76.87</v>
      </c>
      <c r="AC28" s="135">
        <v>12</v>
      </c>
      <c r="AD28" s="130">
        <f t="shared" si="5"/>
        <v>76.87</v>
      </c>
      <c r="AE28" s="119"/>
      <c r="AF28" s="135">
        <f t="shared" si="19"/>
        <v>2041</v>
      </c>
      <c r="AG28" s="128">
        <f t="shared" si="32"/>
        <v>39.92</v>
      </c>
      <c r="AH28" s="135">
        <v>12</v>
      </c>
      <c r="AI28" s="130">
        <f t="shared" si="6"/>
        <v>39.92</v>
      </c>
      <c r="AJ28" s="119"/>
      <c r="AK28" s="135">
        <f t="shared" si="20"/>
        <v>2041</v>
      </c>
      <c r="AL28" s="128">
        <f t="shared" si="33"/>
        <v>34.93</v>
      </c>
      <c r="AM28" s="135">
        <v>12</v>
      </c>
      <c r="AN28" s="130">
        <f t="shared" si="7"/>
        <v>34.93</v>
      </c>
      <c r="AO28" s="119"/>
      <c r="AP28" s="135">
        <f t="shared" si="21"/>
        <v>2041</v>
      </c>
      <c r="AQ28" s="128">
        <f t="shared" si="34"/>
        <v>12.21</v>
      </c>
      <c r="AR28" s="135">
        <v>12</v>
      </c>
      <c r="AS28" s="130">
        <f t="shared" si="8"/>
        <v>12.21</v>
      </c>
      <c r="AT28" s="119"/>
      <c r="AU28" s="135">
        <f t="shared" si="22"/>
        <v>2041</v>
      </c>
      <c r="AV28" s="128">
        <f t="shared" si="35"/>
        <v>15.62</v>
      </c>
      <c r="AW28" s="135">
        <v>12</v>
      </c>
      <c r="AX28" s="130">
        <f t="shared" si="9"/>
        <v>15.62</v>
      </c>
      <c r="AY28" s="119"/>
      <c r="AZ28" s="135">
        <f t="shared" si="23"/>
        <v>2041</v>
      </c>
      <c r="BA28" s="128">
        <f t="shared" si="36"/>
        <v>856.31</v>
      </c>
      <c r="BB28" s="135">
        <v>12</v>
      </c>
      <c r="BC28" s="130">
        <f t="shared" si="10"/>
        <v>856.31</v>
      </c>
      <c r="BE28" s="135">
        <f t="shared" si="24"/>
        <v>2041</v>
      </c>
      <c r="BF28" s="128">
        <f t="shared" si="37"/>
        <v>3.59</v>
      </c>
      <c r="BG28" s="135">
        <v>12</v>
      </c>
      <c r="BH28" s="130">
        <f t="shared" si="11"/>
        <v>3.59</v>
      </c>
      <c r="BJ28" s="135">
        <f t="shared" si="25"/>
        <v>2041</v>
      </c>
      <c r="BK28" s="128">
        <f t="shared" si="38"/>
        <v>7.44</v>
      </c>
      <c r="BL28" s="135">
        <v>12</v>
      </c>
      <c r="BM28" s="130">
        <f t="shared" si="12"/>
        <v>7.44</v>
      </c>
    </row>
    <row r="29" spans="2:65">
      <c r="B29" s="135">
        <f t="shared" si="13"/>
        <v>2042</v>
      </c>
      <c r="C29" s="128">
        <f t="shared" si="26"/>
        <v>86.5</v>
      </c>
      <c r="D29" s="135">
        <v>12</v>
      </c>
      <c r="E29" s="130">
        <f t="shared" si="0"/>
        <v>86.5</v>
      </c>
      <c r="F29" s="119"/>
      <c r="G29" s="135">
        <f t="shared" si="14"/>
        <v>2042</v>
      </c>
      <c r="H29" s="128">
        <f t="shared" si="27"/>
        <v>16.48</v>
      </c>
      <c r="I29" s="135">
        <v>12</v>
      </c>
      <c r="J29" s="130">
        <f t="shared" si="1"/>
        <v>16.48</v>
      </c>
      <c r="K29" s="119"/>
      <c r="L29" s="135">
        <f t="shared" si="15"/>
        <v>2042</v>
      </c>
      <c r="M29" s="128">
        <f t="shared" si="28"/>
        <v>43.2</v>
      </c>
      <c r="N29" s="135">
        <v>12</v>
      </c>
      <c r="O29" s="130">
        <f t="shared" si="2"/>
        <v>43.20000000000001</v>
      </c>
      <c r="Q29" s="135">
        <f t="shared" si="16"/>
        <v>2042</v>
      </c>
      <c r="R29" s="128">
        <f t="shared" si="29"/>
        <v>20.010000000000002</v>
      </c>
      <c r="S29" s="135">
        <v>12</v>
      </c>
      <c r="T29" s="130">
        <f t="shared" si="3"/>
        <v>20.010000000000002</v>
      </c>
      <c r="U29" s="119"/>
      <c r="V29" s="135">
        <f t="shared" si="17"/>
        <v>2042</v>
      </c>
      <c r="W29" s="128">
        <f t="shared" si="30"/>
        <v>19.57</v>
      </c>
      <c r="X29" s="135">
        <v>12</v>
      </c>
      <c r="Y29" s="130">
        <f t="shared" si="4"/>
        <v>19.57</v>
      </c>
      <c r="Z29" s="119"/>
      <c r="AA29" s="135">
        <f t="shared" si="18"/>
        <v>2042</v>
      </c>
      <c r="AB29" s="128">
        <f t="shared" si="31"/>
        <v>78.56</v>
      </c>
      <c r="AC29" s="135">
        <v>12</v>
      </c>
      <c r="AD29" s="130">
        <f t="shared" si="5"/>
        <v>78.56</v>
      </c>
      <c r="AE29" s="119"/>
      <c r="AF29" s="135">
        <f t="shared" si="19"/>
        <v>2042</v>
      </c>
      <c r="AG29" s="128">
        <f t="shared" si="32"/>
        <v>40.799999999999997</v>
      </c>
      <c r="AH29" s="135">
        <v>12</v>
      </c>
      <c r="AI29" s="130">
        <f t="shared" si="6"/>
        <v>40.799999999999997</v>
      </c>
      <c r="AJ29" s="119"/>
      <c r="AK29" s="135">
        <f t="shared" si="20"/>
        <v>2042</v>
      </c>
      <c r="AL29" s="128">
        <f t="shared" si="33"/>
        <v>35.700000000000003</v>
      </c>
      <c r="AM29" s="135">
        <v>12</v>
      </c>
      <c r="AN29" s="130">
        <f t="shared" si="7"/>
        <v>35.700000000000003</v>
      </c>
      <c r="AO29" s="119"/>
      <c r="AP29" s="135">
        <f t="shared" si="21"/>
        <v>2042</v>
      </c>
      <c r="AQ29" s="128">
        <f t="shared" si="34"/>
        <v>12.48</v>
      </c>
      <c r="AR29" s="135">
        <v>12</v>
      </c>
      <c r="AS29" s="130">
        <f t="shared" si="8"/>
        <v>12.479999999999999</v>
      </c>
      <c r="AT29" s="119"/>
      <c r="AU29" s="135">
        <f t="shared" si="22"/>
        <v>2042</v>
      </c>
      <c r="AV29" s="128">
        <f t="shared" si="35"/>
        <v>15.96</v>
      </c>
      <c r="AW29" s="135">
        <v>12</v>
      </c>
      <c r="AX29" s="130">
        <f t="shared" si="9"/>
        <v>15.96</v>
      </c>
      <c r="AY29" s="119"/>
      <c r="AZ29" s="135">
        <f t="shared" si="23"/>
        <v>2042</v>
      </c>
      <c r="BA29" s="128">
        <f t="shared" si="36"/>
        <v>875.15</v>
      </c>
      <c r="BB29" s="135">
        <v>12</v>
      </c>
      <c r="BC29" s="130">
        <f t="shared" si="10"/>
        <v>875.15</v>
      </c>
      <c r="BE29" s="135">
        <f t="shared" si="24"/>
        <v>2042</v>
      </c>
      <c r="BF29" s="128">
        <f t="shared" si="37"/>
        <v>3.67</v>
      </c>
      <c r="BG29" s="135">
        <v>12</v>
      </c>
      <c r="BH29" s="130">
        <f t="shared" si="11"/>
        <v>3.67</v>
      </c>
      <c r="BJ29" s="135">
        <f t="shared" si="25"/>
        <v>2042</v>
      </c>
      <c r="BK29" s="128">
        <f t="shared" si="38"/>
        <v>7.6</v>
      </c>
      <c r="BL29" s="135">
        <v>12</v>
      </c>
      <c r="BM29" s="130">
        <f t="shared" si="12"/>
        <v>7.5999999999999988</v>
      </c>
    </row>
    <row r="30" spans="2:65">
      <c r="B30" s="135">
        <f t="shared" si="13"/>
        <v>2043</v>
      </c>
      <c r="C30" s="128">
        <f t="shared" si="26"/>
        <v>88.49</v>
      </c>
      <c r="D30" s="135">
        <v>12</v>
      </c>
      <c r="E30" s="130">
        <f t="shared" si="0"/>
        <v>88.49</v>
      </c>
      <c r="F30" s="119"/>
      <c r="G30" s="135">
        <f t="shared" si="14"/>
        <v>2043</v>
      </c>
      <c r="H30" s="128">
        <f t="shared" si="27"/>
        <v>16.86</v>
      </c>
      <c r="I30" s="135">
        <v>12</v>
      </c>
      <c r="J30" s="130">
        <f t="shared" si="1"/>
        <v>16.86</v>
      </c>
      <c r="K30" s="119"/>
      <c r="L30" s="135">
        <f t="shared" si="15"/>
        <v>2043</v>
      </c>
      <c r="M30" s="128">
        <f t="shared" si="28"/>
        <v>44.19</v>
      </c>
      <c r="N30" s="135">
        <v>12</v>
      </c>
      <c r="O30" s="130">
        <f t="shared" si="2"/>
        <v>44.19</v>
      </c>
      <c r="Q30" s="135">
        <f t="shared" si="16"/>
        <v>2043</v>
      </c>
      <c r="R30" s="128">
        <f t="shared" si="29"/>
        <v>20.47</v>
      </c>
      <c r="S30" s="135">
        <v>12</v>
      </c>
      <c r="T30" s="130">
        <f t="shared" si="3"/>
        <v>20.47</v>
      </c>
      <c r="U30" s="119"/>
      <c r="V30" s="135">
        <f t="shared" si="17"/>
        <v>2043</v>
      </c>
      <c r="W30" s="128">
        <f t="shared" si="30"/>
        <v>20.02</v>
      </c>
      <c r="X30" s="135">
        <v>12</v>
      </c>
      <c r="Y30" s="130">
        <f t="shared" si="4"/>
        <v>20.02</v>
      </c>
      <c r="Z30" s="119"/>
      <c r="AA30" s="135">
        <f t="shared" si="18"/>
        <v>2043</v>
      </c>
      <c r="AB30" s="128">
        <f t="shared" si="31"/>
        <v>80.37</v>
      </c>
      <c r="AC30" s="135">
        <v>12</v>
      </c>
      <c r="AD30" s="130">
        <f t="shared" si="5"/>
        <v>80.37</v>
      </c>
      <c r="AE30" s="119"/>
      <c r="AF30" s="135">
        <f t="shared" si="19"/>
        <v>2043</v>
      </c>
      <c r="AG30" s="128">
        <f t="shared" si="32"/>
        <v>41.74</v>
      </c>
      <c r="AH30" s="135">
        <v>12</v>
      </c>
      <c r="AI30" s="130">
        <f t="shared" si="6"/>
        <v>41.74</v>
      </c>
      <c r="AJ30" s="119"/>
      <c r="AK30" s="135">
        <f t="shared" si="20"/>
        <v>2043</v>
      </c>
      <c r="AL30" s="128">
        <f t="shared" si="33"/>
        <v>36.520000000000003</v>
      </c>
      <c r="AM30" s="135">
        <v>12</v>
      </c>
      <c r="AN30" s="130">
        <f t="shared" si="7"/>
        <v>36.520000000000003</v>
      </c>
      <c r="AO30" s="119"/>
      <c r="AP30" s="135">
        <f t="shared" si="21"/>
        <v>2043</v>
      </c>
      <c r="AQ30" s="128">
        <f t="shared" si="34"/>
        <v>12.77</v>
      </c>
      <c r="AR30" s="135">
        <v>12</v>
      </c>
      <c r="AS30" s="130">
        <f t="shared" si="8"/>
        <v>12.770000000000001</v>
      </c>
      <c r="AT30" s="119"/>
      <c r="AU30" s="135">
        <f t="shared" si="22"/>
        <v>2043</v>
      </c>
      <c r="AV30" s="128">
        <f t="shared" si="35"/>
        <v>16.329999999999998</v>
      </c>
      <c r="AW30" s="135">
        <v>12</v>
      </c>
      <c r="AX30" s="130">
        <f t="shared" si="9"/>
        <v>16.329999999999998</v>
      </c>
      <c r="AY30" s="119"/>
      <c r="AZ30" s="135">
        <f t="shared" si="23"/>
        <v>2043</v>
      </c>
      <c r="BA30" s="128">
        <f t="shared" si="36"/>
        <v>895.28</v>
      </c>
      <c r="BB30" s="135">
        <v>12</v>
      </c>
      <c r="BC30" s="130">
        <f t="shared" si="10"/>
        <v>895.28000000000009</v>
      </c>
      <c r="BE30" s="135">
        <f t="shared" si="24"/>
        <v>2043</v>
      </c>
      <c r="BF30" s="128">
        <f t="shared" si="37"/>
        <v>3.75</v>
      </c>
      <c r="BG30" s="135">
        <v>12</v>
      </c>
      <c r="BH30" s="130">
        <f t="shared" si="11"/>
        <v>3.75</v>
      </c>
      <c r="BJ30" s="135">
        <f t="shared" si="25"/>
        <v>2043</v>
      </c>
      <c r="BK30" s="128">
        <f t="shared" si="38"/>
        <v>7.77</v>
      </c>
      <c r="BL30" s="135">
        <v>12</v>
      </c>
      <c r="BM30" s="130">
        <f t="shared" si="12"/>
        <v>7.77</v>
      </c>
    </row>
    <row r="31" spans="2:65">
      <c r="B31" s="135">
        <f t="shared" si="13"/>
        <v>2044</v>
      </c>
      <c r="C31" s="128">
        <f t="shared" si="26"/>
        <v>90.44</v>
      </c>
      <c r="D31" s="135">
        <v>12</v>
      </c>
      <c r="E31" s="130">
        <f t="shared" si="0"/>
        <v>90.44</v>
      </c>
      <c r="F31" s="119"/>
      <c r="G31" s="135">
        <f t="shared" si="14"/>
        <v>2044</v>
      </c>
      <c r="H31" s="128">
        <f t="shared" si="27"/>
        <v>17.23</v>
      </c>
      <c r="I31" s="135">
        <v>12</v>
      </c>
      <c r="J31" s="130">
        <f t="shared" si="1"/>
        <v>17.23</v>
      </c>
      <c r="K31" s="119"/>
      <c r="L31" s="135">
        <f t="shared" si="15"/>
        <v>2044</v>
      </c>
      <c r="M31" s="128">
        <f t="shared" si="28"/>
        <v>45.16</v>
      </c>
      <c r="N31" s="135">
        <v>12</v>
      </c>
      <c r="O31" s="130">
        <f t="shared" si="2"/>
        <v>45.16</v>
      </c>
      <c r="Q31" s="135">
        <f t="shared" si="16"/>
        <v>2044</v>
      </c>
      <c r="R31" s="128">
        <f t="shared" si="29"/>
        <v>20.92</v>
      </c>
      <c r="S31" s="135">
        <v>12</v>
      </c>
      <c r="T31" s="130">
        <f t="shared" si="3"/>
        <v>20.92</v>
      </c>
      <c r="U31" s="119"/>
      <c r="V31" s="135">
        <f t="shared" si="17"/>
        <v>2044</v>
      </c>
      <c r="W31" s="128">
        <f t="shared" si="30"/>
        <v>20.46</v>
      </c>
      <c r="X31" s="135">
        <v>12</v>
      </c>
      <c r="Y31" s="130">
        <f t="shared" si="4"/>
        <v>20.46</v>
      </c>
      <c r="Z31" s="119"/>
      <c r="AA31" s="135">
        <f t="shared" si="18"/>
        <v>2044</v>
      </c>
      <c r="AB31" s="128">
        <f t="shared" si="31"/>
        <v>82.14</v>
      </c>
      <c r="AC31" s="135">
        <v>12</v>
      </c>
      <c r="AD31" s="130">
        <f t="shared" si="5"/>
        <v>82.14</v>
      </c>
      <c r="AE31" s="119"/>
      <c r="AF31" s="135">
        <f t="shared" si="19"/>
        <v>2044</v>
      </c>
      <c r="AG31" s="128">
        <f t="shared" si="32"/>
        <v>42.66</v>
      </c>
      <c r="AH31" s="135">
        <v>12</v>
      </c>
      <c r="AI31" s="130">
        <f t="shared" si="6"/>
        <v>42.66</v>
      </c>
      <c r="AJ31" s="119"/>
      <c r="AK31" s="135">
        <f t="shared" si="20"/>
        <v>2044</v>
      </c>
      <c r="AL31" s="128">
        <f t="shared" si="33"/>
        <v>37.32</v>
      </c>
      <c r="AM31" s="135">
        <v>12</v>
      </c>
      <c r="AN31" s="130">
        <f t="shared" si="7"/>
        <v>37.32</v>
      </c>
      <c r="AO31" s="119"/>
      <c r="AP31" s="135">
        <f t="shared" si="21"/>
        <v>2044</v>
      </c>
      <c r="AQ31" s="128">
        <f t="shared" si="34"/>
        <v>13.05</v>
      </c>
      <c r="AR31" s="135">
        <v>12</v>
      </c>
      <c r="AS31" s="130">
        <f t="shared" si="8"/>
        <v>13.050000000000002</v>
      </c>
      <c r="AT31" s="119"/>
      <c r="AU31" s="135">
        <f t="shared" si="22"/>
        <v>2044</v>
      </c>
      <c r="AV31" s="128">
        <f t="shared" si="35"/>
        <v>16.690000000000001</v>
      </c>
      <c r="AW31" s="135">
        <v>12</v>
      </c>
      <c r="AX31" s="130">
        <f t="shared" si="9"/>
        <v>16.690000000000001</v>
      </c>
      <c r="AY31" s="119"/>
      <c r="AZ31" s="135">
        <f t="shared" si="23"/>
        <v>2044</v>
      </c>
      <c r="BA31" s="128">
        <f t="shared" si="36"/>
        <v>914.98</v>
      </c>
      <c r="BB31" s="135">
        <v>12</v>
      </c>
      <c r="BC31" s="130">
        <f t="shared" si="10"/>
        <v>914.98</v>
      </c>
      <c r="BE31" s="135">
        <f t="shared" si="24"/>
        <v>2044</v>
      </c>
      <c r="BF31" s="128">
        <f t="shared" si="37"/>
        <v>3.83</v>
      </c>
      <c r="BG31" s="135">
        <v>12</v>
      </c>
      <c r="BH31" s="130">
        <f t="shared" si="11"/>
        <v>3.83</v>
      </c>
      <c r="BJ31" s="135">
        <f t="shared" si="25"/>
        <v>2044</v>
      </c>
      <c r="BK31" s="128">
        <f t="shared" si="38"/>
        <v>7.94</v>
      </c>
      <c r="BL31" s="135">
        <v>12</v>
      </c>
      <c r="BM31" s="130">
        <f t="shared" si="12"/>
        <v>7.94</v>
      </c>
    </row>
    <row r="32" spans="2:65">
      <c r="B32" s="135">
        <f t="shared" si="13"/>
        <v>2045</v>
      </c>
      <c r="C32" s="128">
        <f t="shared" si="26"/>
        <v>92.43</v>
      </c>
      <c r="D32" s="135">
        <v>12</v>
      </c>
      <c r="E32" s="130">
        <f t="shared" si="0"/>
        <v>92.43</v>
      </c>
      <c r="F32" s="119"/>
      <c r="G32" s="135">
        <f t="shared" si="14"/>
        <v>2045</v>
      </c>
      <c r="H32" s="128">
        <f t="shared" si="27"/>
        <v>17.61</v>
      </c>
      <c r="I32" s="135">
        <v>12</v>
      </c>
      <c r="J32" s="130">
        <f t="shared" si="1"/>
        <v>17.61</v>
      </c>
      <c r="K32" s="119"/>
      <c r="L32" s="135">
        <f t="shared" si="15"/>
        <v>2045</v>
      </c>
      <c r="M32" s="128">
        <f t="shared" si="28"/>
        <v>46.15</v>
      </c>
      <c r="N32" s="135">
        <v>12</v>
      </c>
      <c r="O32" s="130">
        <f t="shared" si="2"/>
        <v>46.15</v>
      </c>
      <c r="Q32" s="135">
        <f t="shared" si="16"/>
        <v>2045</v>
      </c>
      <c r="R32" s="128">
        <f t="shared" si="29"/>
        <v>21.38</v>
      </c>
      <c r="S32" s="135">
        <v>12</v>
      </c>
      <c r="T32" s="130">
        <f t="shared" si="3"/>
        <v>21.38</v>
      </c>
      <c r="U32" s="119"/>
      <c r="V32" s="135">
        <f t="shared" si="17"/>
        <v>2045</v>
      </c>
      <c r="W32" s="128">
        <f t="shared" si="30"/>
        <v>20.91</v>
      </c>
      <c r="X32" s="135">
        <v>12</v>
      </c>
      <c r="Y32" s="130">
        <f t="shared" si="4"/>
        <v>20.91</v>
      </c>
      <c r="Z32" s="119"/>
      <c r="AA32" s="135">
        <f t="shared" si="18"/>
        <v>2045</v>
      </c>
      <c r="AB32" s="128">
        <f t="shared" si="31"/>
        <v>83.95</v>
      </c>
      <c r="AC32" s="135">
        <v>12</v>
      </c>
      <c r="AD32" s="130">
        <f t="shared" si="5"/>
        <v>83.95</v>
      </c>
      <c r="AE32" s="119"/>
      <c r="AF32" s="135">
        <f t="shared" si="19"/>
        <v>2045</v>
      </c>
      <c r="AG32" s="128">
        <f t="shared" si="32"/>
        <v>43.6</v>
      </c>
      <c r="AH32" s="135">
        <v>12</v>
      </c>
      <c r="AI32" s="130">
        <f t="shared" si="6"/>
        <v>43.6</v>
      </c>
      <c r="AJ32" s="119"/>
      <c r="AK32" s="135">
        <f t="shared" si="20"/>
        <v>2045</v>
      </c>
      <c r="AL32" s="128">
        <f t="shared" si="33"/>
        <v>38.14</v>
      </c>
      <c r="AM32" s="135">
        <v>12</v>
      </c>
      <c r="AN32" s="130">
        <f t="shared" si="7"/>
        <v>38.14</v>
      </c>
      <c r="AO32" s="119"/>
      <c r="AP32" s="135">
        <f t="shared" si="21"/>
        <v>2045</v>
      </c>
      <c r="AQ32" s="128">
        <f t="shared" si="34"/>
        <v>13.34</v>
      </c>
      <c r="AR32" s="135">
        <v>12</v>
      </c>
      <c r="AS32" s="130">
        <f t="shared" si="8"/>
        <v>13.339999999999998</v>
      </c>
      <c r="AT32" s="119"/>
      <c r="AU32" s="135">
        <f t="shared" si="22"/>
        <v>2045</v>
      </c>
      <c r="AV32" s="128">
        <f t="shared" si="35"/>
        <v>17.059999999999999</v>
      </c>
      <c r="AW32" s="135">
        <v>12</v>
      </c>
      <c r="AX32" s="130">
        <f t="shared" si="9"/>
        <v>17.059999999999999</v>
      </c>
      <c r="AY32" s="119"/>
      <c r="AZ32" s="135">
        <f t="shared" si="23"/>
        <v>2045</v>
      </c>
      <c r="BA32" s="128">
        <f t="shared" si="36"/>
        <v>935.11</v>
      </c>
      <c r="BB32" s="135">
        <v>12</v>
      </c>
      <c r="BC32" s="130">
        <f t="shared" si="10"/>
        <v>935.11</v>
      </c>
      <c r="BE32" s="135">
        <f t="shared" si="24"/>
        <v>2045</v>
      </c>
      <c r="BF32" s="128">
        <f t="shared" si="37"/>
        <v>3.91</v>
      </c>
      <c r="BG32" s="135">
        <v>12</v>
      </c>
      <c r="BH32" s="130">
        <f t="shared" si="11"/>
        <v>3.91</v>
      </c>
      <c r="BJ32" s="135">
        <f t="shared" si="25"/>
        <v>2045</v>
      </c>
      <c r="BK32" s="128">
        <f t="shared" si="38"/>
        <v>8.11</v>
      </c>
      <c r="BL32" s="135">
        <v>12</v>
      </c>
      <c r="BM32" s="130">
        <f t="shared" si="12"/>
        <v>8.11</v>
      </c>
    </row>
    <row r="33" spans="2:65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  <c r="BJ33" s="135"/>
      <c r="BK33" s="128"/>
      <c r="BL33" s="135"/>
      <c r="BM33" s="130"/>
    </row>
    <row r="34" spans="2:65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  <c r="BJ34" s="135"/>
      <c r="BK34" s="131"/>
      <c r="BL34" s="128"/>
      <c r="BM34" s="128"/>
    </row>
    <row r="35" spans="2:65" s="119" customFormat="1" ht="12" customHeight="1">
      <c r="C35" s="128" t="s">
        <v>98</v>
      </c>
      <c r="D35" s="339">
        <v>2025</v>
      </c>
      <c r="H35" s="128" t="s">
        <v>98</v>
      </c>
      <c r="I35" s="339">
        <v>2033</v>
      </c>
      <c r="M35" s="128" t="s">
        <v>98</v>
      </c>
      <c r="N35" s="339">
        <v>2032</v>
      </c>
      <c r="R35" s="128" t="s">
        <v>98</v>
      </c>
      <c r="S35" s="339">
        <v>2037</v>
      </c>
      <c r="W35" s="128" t="s">
        <v>98</v>
      </c>
      <c r="X35" s="339">
        <v>2040</v>
      </c>
      <c r="AB35" s="128" t="s">
        <v>98</v>
      </c>
      <c r="AC35" s="339">
        <v>2026</v>
      </c>
      <c r="AG35" s="128" t="s">
        <v>98</v>
      </c>
      <c r="AH35" s="339">
        <v>2037</v>
      </c>
      <c r="AL35" s="128" t="s">
        <v>98</v>
      </c>
      <c r="AM35" s="339">
        <v>2026</v>
      </c>
      <c r="AQ35" s="128" t="s">
        <v>98</v>
      </c>
      <c r="AR35" s="339">
        <v>2028</v>
      </c>
      <c r="AV35" s="128" t="s">
        <v>98</v>
      </c>
      <c r="AW35" s="339">
        <v>2031</v>
      </c>
      <c r="BA35" s="128" t="s">
        <v>98</v>
      </c>
      <c r="BB35" s="339">
        <v>2024</v>
      </c>
      <c r="BF35" s="128" t="s">
        <v>98</v>
      </c>
      <c r="BG35" s="339">
        <v>2026</v>
      </c>
      <c r="BK35" s="128" t="s">
        <v>98</v>
      </c>
      <c r="BL35" s="339">
        <v>2030</v>
      </c>
    </row>
    <row r="36" spans="2:65">
      <c r="C36" s="174" t="s">
        <v>84</v>
      </c>
      <c r="D36" s="339">
        <v>1200</v>
      </c>
      <c r="H36" s="174" t="s">
        <v>84</v>
      </c>
      <c r="I36" s="339">
        <v>800</v>
      </c>
      <c r="M36" s="174" t="s">
        <v>84</v>
      </c>
      <c r="N36" s="339">
        <v>450</v>
      </c>
      <c r="R36" s="174" t="s">
        <v>84</v>
      </c>
      <c r="S36" s="339">
        <v>1500</v>
      </c>
      <c r="W36" s="174" t="s">
        <v>84</v>
      </c>
      <c r="X36" s="339">
        <v>1500</v>
      </c>
      <c r="AB36" s="174" t="s">
        <v>84</v>
      </c>
      <c r="AC36" s="339">
        <v>600</v>
      </c>
      <c r="AG36" s="174" t="s">
        <v>84</v>
      </c>
      <c r="AH36" s="339">
        <v>100</v>
      </c>
      <c r="AL36" s="174" t="s">
        <v>84</v>
      </c>
      <c r="AM36" s="339">
        <v>130</v>
      </c>
      <c r="AQ36" s="174" t="s">
        <v>84</v>
      </c>
      <c r="AR36" s="339">
        <v>460</v>
      </c>
      <c r="AV36" s="174" t="s">
        <v>84</v>
      </c>
      <c r="AW36" s="339">
        <v>1040</v>
      </c>
      <c r="BA36" s="174" t="s">
        <v>84</v>
      </c>
      <c r="BB36" s="339">
        <v>1</v>
      </c>
      <c r="BF36" s="174" t="s">
        <v>84</v>
      </c>
      <c r="BG36" s="339">
        <v>615</v>
      </c>
      <c r="BK36" s="174" t="s">
        <v>84</v>
      </c>
      <c r="BL36" s="339">
        <v>180</v>
      </c>
    </row>
    <row r="37" spans="2:65">
      <c r="B37" s="129"/>
      <c r="C37" s="128" t="s">
        <v>143</v>
      </c>
      <c r="D37" s="128">
        <v>1154.8910000000001</v>
      </c>
      <c r="G37" s="129"/>
      <c r="H37" s="128" t="s">
        <v>143</v>
      </c>
      <c r="I37" s="128">
        <v>177.0261551621</v>
      </c>
      <c r="L37" s="129"/>
      <c r="M37" s="128" t="s">
        <v>143</v>
      </c>
      <c r="N37" s="128">
        <v>255.04159171772</v>
      </c>
      <c r="Q37" s="129"/>
      <c r="R37" s="128" t="s">
        <v>143</v>
      </c>
      <c r="S37" s="128">
        <v>441.44954951787003</v>
      </c>
      <c r="V37" s="129"/>
      <c r="W37" s="128" t="s">
        <v>143</v>
      </c>
      <c r="X37" s="128">
        <v>461.96883956552</v>
      </c>
      <c r="AA37" s="129"/>
      <c r="AB37" s="128" t="s">
        <v>143</v>
      </c>
      <c r="AC37" s="128">
        <v>536.96799999999996</v>
      </c>
      <c r="AF37" s="129"/>
      <c r="AG37" s="128" t="s">
        <v>143</v>
      </c>
      <c r="AH37" s="128">
        <v>59.978132247920001</v>
      </c>
      <c r="AK37" s="129"/>
      <c r="AL37" s="128" t="s">
        <v>143</v>
      </c>
      <c r="AM37" s="128">
        <v>52.870949521059998</v>
      </c>
      <c r="AP37" s="129"/>
      <c r="AQ37" s="128" t="s">
        <v>143</v>
      </c>
      <c r="AR37" s="128">
        <v>68.767544826700004</v>
      </c>
      <c r="AU37" s="129"/>
      <c r="AV37" s="128" t="s">
        <v>143</v>
      </c>
      <c r="AW37" s="128">
        <v>212.93785126190002</v>
      </c>
      <c r="AZ37" s="129"/>
      <c r="BA37" s="128" t="s">
        <v>143</v>
      </c>
      <c r="BB37" s="128">
        <v>9.5169999999999995</v>
      </c>
      <c r="BE37" s="129"/>
      <c r="BF37" s="128" t="s">
        <v>143</v>
      </c>
      <c r="BG37" s="128">
        <v>25.63422726173</v>
      </c>
      <c r="BJ37" s="129"/>
      <c r="BK37" s="128" t="s">
        <v>143</v>
      </c>
      <c r="BL37" s="128">
        <v>17.15324548888</v>
      </c>
    </row>
    <row r="38" spans="2:65">
      <c r="B38" s="129"/>
      <c r="C38" s="128" t="s">
        <v>144</v>
      </c>
      <c r="D38" s="357">
        <v>6.0831565943468884E-2</v>
      </c>
      <c r="G38" s="129"/>
      <c r="H38" s="128" t="s">
        <v>144</v>
      </c>
      <c r="I38" s="337">
        <v>6.0831565943468884E-2</v>
      </c>
      <c r="L38" s="129"/>
      <c r="M38" s="128" t="s">
        <v>144</v>
      </c>
      <c r="N38" s="337">
        <v>6.0831565943468884E-2</v>
      </c>
      <c r="Q38" s="129"/>
      <c r="R38" s="128" t="s">
        <v>144</v>
      </c>
      <c r="S38" s="337">
        <v>6.0831565943468884E-2</v>
      </c>
      <c r="V38" s="129"/>
      <c r="W38" s="128" t="s">
        <v>144</v>
      </c>
      <c r="X38" s="337">
        <v>6.0831565943468884E-2</v>
      </c>
      <c r="AA38" s="129"/>
      <c r="AB38" s="128" t="s">
        <v>144</v>
      </c>
      <c r="AC38" s="337">
        <v>6.0831565943468884E-2</v>
      </c>
      <c r="AF38" s="129"/>
      <c r="AG38" s="128" t="s">
        <v>144</v>
      </c>
      <c r="AH38" s="337">
        <v>6.0831565943468884E-2</v>
      </c>
      <c r="AK38" s="129"/>
      <c r="AL38" s="128" t="s">
        <v>144</v>
      </c>
      <c r="AM38" s="337">
        <v>6.0831565943468884E-2</v>
      </c>
      <c r="AP38" s="129"/>
      <c r="AQ38" s="128" t="s">
        <v>144</v>
      </c>
      <c r="AR38" s="337">
        <v>6.0831565943468884E-2</v>
      </c>
      <c r="AU38" s="129"/>
      <c r="AV38" s="128" t="s">
        <v>144</v>
      </c>
      <c r="AW38" s="337">
        <v>6.0831565943468884E-2</v>
      </c>
      <c r="AZ38" s="129"/>
      <c r="BA38" s="128" t="s">
        <v>144</v>
      </c>
      <c r="BB38" s="337">
        <v>6.0831565943468884E-2</v>
      </c>
      <c r="BE38" s="129"/>
      <c r="BF38" s="128" t="s">
        <v>144</v>
      </c>
      <c r="BG38" s="337">
        <v>6.0831565943468884E-2</v>
      </c>
      <c r="BJ38" s="129"/>
      <c r="BK38" s="128" t="s">
        <v>144</v>
      </c>
      <c r="BL38" s="337">
        <v>6.0831565943468884E-2</v>
      </c>
    </row>
    <row r="39" spans="2:65" ht="41.25" customHeight="1">
      <c r="B39" s="427" t="s">
        <v>162</v>
      </c>
      <c r="C39" s="428"/>
      <c r="D39" s="338">
        <f>D37*1000000*D38/(D36*1000)</f>
        <v>58.544856686682266</v>
      </c>
      <c r="G39" s="427" t="s">
        <v>150</v>
      </c>
      <c r="H39" s="428"/>
      <c r="I39" s="338">
        <f>I37*1000000*I38/(I36*1000)</f>
        <v>13.460972789327549</v>
      </c>
      <c r="L39" s="427" t="s">
        <v>165</v>
      </c>
      <c r="M39" s="428"/>
      <c r="N39" s="338">
        <f>N37*1000000*N38/(N36*1000)</f>
        <v>34.476843122008333</v>
      </c>
      <c r="Q39" s="428" t="s">
        <v>152</v>
      </c>
      <c r="R39" s="428"/>
      <c r="S39" s="338">
        <f>S37*1000000*S38/(S36*1000)</f>
        <v>17.902711588140626</v>
      </c>
      <c r="V39" s="428" t="s">
        <v>169</v>
      </c>
      <c r="W39" s="428"/>
      <c r="X39" s="338">
        <f>X37*1000000*X38/(X36*1000)</f>
        <v>18.734858618571817</v>
      </c>
      <c r="AA39" s="428" t="s">
        <v>172</v>
      </c>
      <c r="AB39" s="428"/>
      <c r="AC39" s="338">
        <f>AC37*1000000*AC38/(AC36*1000)</f>
        <v>54.441007169221002</v>
      </c>
      <c r="AF39" s="428" t="s">
        <v>152</v>
      </c>
      <c r="AG39" s="428"/>
      <c r="AH39" s="338">
        <f>AH37*1000000*AH38/(AH36*1000)</f>
        <v>36.48563707005443</v>
      </c>
      <c r="AK39" s="428" t="s">
        <v>172</v>
      </c>
      <c r="AL39" s="428"/>
      <c r="AM39" s="338">
        <f>AM37*1000000*AM38/(AM36*1000)</f>
        <v>24.740174248339812</v>
      </c>
      <c r="AP39" s="428" t="s">
        <v>174</v>
      </c>
      <c r="AQ39" s="428"/>
      <c r="AR39" s="338">
        <f>AR37*1000000*AR38/(AR36*1000)</f>
        <v>9.0939944302083777</v>
      </c>
      <c r="AU39" s="428" t="s">
        <v>175</v>
      </c>
      <c r="AV39" s="428"/>
      <c r="AW39" s="338">
        <f>AW37*1000000*AW38/(AW36*1000)</f>
        <v>12.45513744317196</v>
      </c>
      <c r="AZ39" s="428" t="s">
        <v>142</v>
      </c>
      <c r="BA39" s="428"/>
      <c r="BB39" s="338">
        <f>BB37*1000000*BB38/(BB36*1000)</f>
        <v>578.93401308399336</v>
      </c>
      <c r="BE39" s="428" t="s">
        <v>172</v>
      </c>
      <c r="BF39" s="428"/>
      <c r="BG39" s="338">
        <f>BG37*1000000*BG38/(BG36*1000)</f>
        <v>2.5355612781817829</v>
      </c>
      <c r="BJ39" s="428" t="s">
        <v>151</v>
      </c>
      <c r="BK39" s="428"/>
      <c r="BL39" s="338">
        <f>BL37*1000000*BL38/(BL36*1000)</f>
        <v>5.7969932450072994</v>
      </c>
    </row>
    <row r="40" spans="2:65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5">
      <c r="E41" s="128"/>
      <c r="I41" s="130"/>
      <c r="J41" s="130"/>
      <c r="K41" s="137"/>
    </row>
    <row r="42" spans="2:65" ht="13.5" thickBot="1">
      <c r="D42" s="153"/>
    </row>
    <row r="43" spans="2:65" ht="13.5" thickBot="1">
      <c r="C43" s="40" t="str">
        <f>"Company Official Inflation Forecast Dated "&amp;TEXT('Table 4'!$H$5,"mmmm dd, yyyy")</f>
        <v>Company Official Inflation Forecast Dated September 30, 2021</v>
      </c>
      <c r="D43" s="141"/>
      <c r="E43" s="141"/>
      <c r="F43" s="141"/>
      <c r="G43" s="141"/>
      <c r="H43" s="141"/>
      <c r="I43" s="141"/>
      <c r="J43" s="141"/>
      <c r="K43" s="143"/>
    </row>
    <row r="44" spans="2:65">
      <c r="C44" s="87">
        <v>2019</v>
      </c>
      <c r="D44" s="41">
        <v>1.7999999999999999E-2</v>
      </c>
      <c r="E44" s="85"/>
      <c r="F44" s="87">
        <f>C52+1</f>
        <v>2028</v>
      </c>
      <c r="G44" s="41">
        <v>2.5000000000000001E-2</v>
      </c>
      <c r="H44" s="85"/>
      <c r="I44" s="87">
        <f>F52+1</f>
        <v>2037</v>
      </c>
      <c r="J44" s="41">
        <v>2.3E-2</v>
      </c>
    </row>
    <row r="45" spans="2:65">
      <c r="C45" s="87">
        <f t="shared" ref="C45:C52" si="39">C44+1</f>
        <v>2020</v>
      </c>
      <c r="D45" s="41">
        <v>1.2999999999999999E-2</v>
      </c>
      <c r="E45" s="85"/>
      <c r="F45" s="87">
        <f t="shared" ref="F45:F52" si="40">F44+1</f>
        <v>2029</v>
      </c>
      <c r="G45" s="41">
        <v>2.4E-2</v>
      </c>
      <c r="H45" s="85"/>
      <c r="I45" s="87">
        <f t="shared" ref="I45:I52" si="41">I44+1</f>
        <v>2038</v>
      </c>
      <c r="J45" s="41">
        <v>2.3E-2</v>
      </c>
    </row>
    <row r="46" spans="2:65">
      <c r="C46" s="87">
        <f t="shared" si="39"/>
        <v>2021</v>
      </c>
      <c r="D46" s="41">
        <v>0.04</v>
      </c>
      <c r="E46" s="85"/>
      <c r="F46" s="87">
        <f t="shared" si="40"/>
        <v>2030</v>
      </c>
      <c r="G46" s="41">
        <v>2.3E-2</v>
      </c>
      <c r="H46" s="85"/>
      <c r="I46" s="87">
        <f t="shared" si="41"/>
        <v>2039</v>
      </c>
      <c r="J46" s="41">
        <v>2.3E-2</v>
      </c>
    </row>
    <row r="47" spans="2:65">
      <c r="C47" s="87">
        <f t="shared" si="39"/>
        <v>2022</v>
      </c>
      <c r="D47" s="41">
        <v>2.5000000000000001E-2</v>
      </c>
      <c r="E47" s="85"/>
      <c r="F47" s="87">
        <f t="shared" si="40"/>
        <v>2031</v>
      </c>
      <c r="G47" s="41">
        <v>2.3E-2</v>
      </c>
      <c r="H47" s="85"/>
      <c r="I47" s="87">
        <f t="shared" si="41"/>
        <v>2040</v>
      </c>
      <c r="J47" s="41">
        <v>2.3E-2</v>
      </c>
    </row>
    <row r="48" spans="2:65" s="119" customFormat="1">
      <c r="B48" s="117"/>
      <c r="C48" s="87">
        <f t="shared" si="39"/>
        <v>2023</v>
      </c>
      <c r="D48" s="41">
        <v>1.9E-2</v>
      </c>
      <c r="E48" s="85"/>
      <c r="F48" s="87">
        <f t="shared" si="40"/>
        <v>2032</v>
      </c>
      <c r="G48" s="41">
        <v>2.3E-2</v>
      </c>
      <c r="H48" s="85"/>
      <c r="I48" s="87">
        <f t="shared" si="41"/>
        <v>2041</v>
      </c>
      <c r="J48" s="41">
        <v>2.1999999999999999E-2</v>
      </c>
      <c r="K48" s="117"/>
      <c r="L48" s="117"/>
      <c r="M48" s="117"/>
      <c r="N48" s="117"/>
      <c r="O48" s="117"/>
      <c r="P48" s="117"/>
      <c r="BG48" s="162"/>
      <c r="BL48" s="162"/>
    </row>
    <row r="49" spans="2:64" s="119" customFormat="1">
      <c r="B49" s="117"/>
      <c r="C49" s="87">
        <f t="shared" si="39"/>
        <v>2024</v>
      </c>
      <c r="D49" s="41">
        <v>2.1999999999999999E-2</v>
      </c>
      <c r="E49" s="85"/>
      <c r="F49" s="87">
        <f t="shared" si="40"/>
        <v>2033</v>
      </c>
      <c r="G49" s="41">
        <v>2.3E-2</v>
      </c>
      <c r="H49" s="85"/>
      <c r="I49" s="87">
        <f t="shared" si="41"/>
        <v>2042</v>
      </c>
      <c r="J49" s="41">
        <v>2.1999999999999999E-2</v>
      </c>
      <c r="K49" s="117"/>
      <c r="L49" s="117"/>
      <c r="M49" s="117"/>
      <c r="N49" s="117"/>
      <c r="O49" s="117"/>
      <c r="P49" s="117"/>
      <c r="BG49" s="162"/>
      <c r="BL49" s="162"/>
    </row>
    <row r="50" spans="2:64" s="119" customFormat="1">
      <c r="C50" s="87">
        <f t="shared" si="39"/>
        <v>2025</v>
      </c>
      <c r="D50" s="41">
        <v>2.3E-2</v>
      </c>
      <c r="E50" s="86"/>
      <c r="F50" s="87">
        <f t="shared" si="40"/>
        <v>2034</v>
      </c>
      <c r="G50" s="41">
        <v>2.3E-2</v>
      </c>
      <c r="H50" s="86"/>
      <c r="I50" s="87">
        <f t="shared" si="41"/>
        <v>2043</v>
      </c>
      <c r="J50" s="41">
        <v>2.3E-2</v>
      </c>
      <c r="BG50" s="162"/>
      <c r="BL50" s="162"/>
    </row>
    <row r="51" spans="2:64" s="119" customFormat="1">
      <c r="C51" s="87">
        <f t="shared" si="39"/>
        <v>2026</v>
      </c>
      <c r="D51" s="41">
        <v>2.4E-2</v>
      </c>
      <c r="E51" s="86"/>
      <c r="F51" s="87">
        <f t="shared" si="40"/>
        <v>2035</v>
      </c>
      <c r="G51" s="41">
        <v>2.3E-2</v>
      </c>
      <c r="H51" s="86"/>
      <c r="I51" s="87">
        <f t="shared" si="41"/>
        <v>2044</v>
      </c>
      <c r="J51" s="41">
        <v>2.1999999999999999E-2</v>
      </c>
      <c r="BG51" s="162"/>
      <c r="BL51" s="162"/>
    </row>
    <row r="52" spans="2:64">
      <c r="B52" s="119"/>
      <c r="C52" s="87">
        <f t="shared" si="39"/>
        <v>2027</v>
      </c>
      <c r="D52" s="41">
        <v>2.5000000000000001E-2</v>
      </c>
      <c r="E52" s="86"/>
      <c r="F52" s="87">
        <f t="shared" si="40"/>
        <v>2036</v>
      </c>
      <c r="G52" s="41">
        <v>2.3E-2</v>
      </c>
      <c r="H52" s="86"/>
      <c r="I52" s="87">
        <f t="shared" si="41"/>
        <v>2045</v>
      </c>
      <c r="J52" s="41">
        <v>2.1999999999999999E-2</v>
      </c>
      <c r="K52" s="119"/>
      <c r="L52" s="119"/>
      <c r="M52" s="119"/>
      <c r="N52" s="119"/>
      <c r="O52" s="119"/>
      <c r="P52" s="119"/>
    </row>
    <row r="53" spans="2:64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64">
      <c r="C64" s="149"/>
      <c r="D64" s="153"/>
    </row>
    <row r="65" spans="3:4">
      <c r="C65" s="149"/>
      <c r="D65" s="153"/>
    </row>
    <row r="66" spans="3:4">
      <c r="C66" s="149"/>
      <c r="D66" s="153"/>
    </row>
    <row r="67" spans="3:4">
      <c r="C67" s="149"/>
      <c r="D67" s="153"/>
    </row>
    <row r="68" spans="3:4">
      <c r="C68" s="149"/>
      <c r="D68" s="153"/>
    </row>
    <row r="69" spans="3:4">
      <c r="C69" s="149"/>
      <c r="D69" s="153"/>
    </row>
    <row r="70" spans="3:4">
      <c r="C70" s="149"/>
      <c r="D70" s="153"/>
    </row>
    <row r="71" spans="3:4">
      <c r="C71" s="149"/>
      <c r="D71" s="153"/>
    </row>
    <row r="72" spans="3:4">
      <c r="C72" s="149"/>
      <c r="D72" s="153"/>
    </row>
    <row r="73" spans="3:4">
      <c r="C73" s="149"/>
      <c r="D73" s="153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I49" sqref="I4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7" ht="15.75">
      <c r="B2" s="115" t="s">
        <v>194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200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T5" s="119"/>
      <c r="U5" s="119"/>
      <c r="V5" s="119"/>
      <c r="W5" s="119"/>
      <c r="X5" s="119"/>
      <c r="Y5" s="119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L8" s="119"/>
    </row>
    <row r="9" spans="2:27" ht="15.75">
      <c r="B9" s="43" t="str">
        <f>C52</f>
        <v>2021 IRP Portland North Coast Wind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7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7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7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7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371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371"/>
      <c r="R19" s="355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>
        <v>1417.9949999999999</v>
      </c>
      <c r="D20" s="128">
        <f>C20*$C$62</f>
        <v>98.965825152287621</v>
      </c>
      <c r="E20" s="147">
        <f>C56</f>
        <v>67.885445280087083</v>
      </c>
      <c r="F20" s="183">
        <f>$C$60</f>
        <v>24.740174248339812</v>
      </c>
      <c r="G20" s="130">
        <f t="shared" ref="G20:G23" si="1">(D20+E20+F20)/(8.76*$C$63)</f>
        <v>59.031496725829669</v>
      </c>
      <c r="H20" s="128">
        <v>0</v>
      </c>
      <c r="I20" s="128">
        <v>-22.278000000000002</v>
      </c>
      <c r="J20" s="130">
        <f t="shared" ref="J20:J23" si="2">(G20+H20+I20)</f>
        <v>36.753496725829663</v>
      </c>
      <c r="K20" s="130">
        <f t="shared" ref="K20:K23" si="3">ROUND(J20*$C$63*8.76,2)</f>
        <v>119.29</v>
      </c>
      <c r="L20" s="128">
        <f t="shared" ref="L20:L23" si="4">(D20+E20+F20)</f>
        <v>191.59144468071452</v>
      </c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>
        <f t="shared" ref="D21:D37" si="5">ROUND(D20*(1+IRP21_Infl_Rate),2)</f>
        <v>101.1</v>
      </c>
      <c r="E21" s="128">
        <f t="shared" ref="E21:E37" si="6">ROUND(E20*(1+IRP21_Infl_Rate),2)</f>
        <v>69.349999999999994</v>
      </c>
      <c r="F21" s="128">
        <f t="shared" ref="F21:F37" si="7">ROUND(F20*(1+IRP21_Infl_Rate),2)</f>
        <v>25.27</v>
      </c>
      <c r="G21" s="130">
        <f t="shared" si="1"/>
        <v>60.303551436930974</v>
      </c>
      <c r="H21" s="128">
        <v>0</v>
      </c>
      <c r="I21" s="128">
        <v>-23.07</v>
      </c>
      <c r="J21" s="130">
        <f t="shared" si="2"/>
        <v>37.233551436930973</v>
      </c>
      <c r="K21" s="130">
        <f t="shared" si="3"/>
        <v>120.84</v>
      </c>
      <c r="L21" s="128">
        <f t="shared" si="4"/>
        <v>195.72</v>
      </c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>
        <f t="shared" si="5"/>
        <v>103.28</v>
      </c>
      <c r="E22" s="128">
        <f t="shared" si="6"/>
        <v>70.84</v>
      </c>
      <c r="F22" s="128">
        <f t="shared" si="7"/>
        <v>25.81</v>
      </c>
      <c r="G22" s="130">
        <f t="shared" si="1"/>
        <v>61.600700177731504</v>
      </c>
      <c r="H22" s="128">
        <v>0</v>
      </c>
      <c r="I22" s="128">
        <v>-23.07</v>
      </c>
      <c r="J22" s="130">
        <f t="shared" si="2"/>
        <v>38.530700177731504</v>
      </c>
      <c r="K22" s="130">
        <f t="shared" si="3"/>
        <v>125.05</v>
      </c>
      <c r="L22" s="128">
        <f t="shared" si="4"/>
        <v>199.93</v>
      </c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>
        <f t="shared" si="5"/>
        <v>105.51</v>
      </c>
      <c r="E23" s="128">
        <f t="shared" si="6"/>
        <v>72.37</v>
      </c>
      <c r="F23" s="128">
        <f t="shared" si="7"/>
        <v>26.37</v>
      </c>
      <c r="G23" s="130">
        <f t="shared" si="1"/>
        <v>62.931741165916364</v>
      </c>
      <c r="H23" s="128">
        <v>0</v>
      </c>
      <c r="I23" s="128">
        <v>-23.867999999999999</v>
      </c>
      <c r="J23" s="130">
        <f t="shared" si="2"/>
        <v>39.063741165916369</v>
      </c>
      <c r="K23" s="130">
        <f t="shared" si="3"/>
        <v>126.78</v>
      </c>
      <c r="L23" s="128">
        <f t="shared" si="4"/>
        <v>204.25</v>
      </c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/>
      <c r="D24" s="128">
        <f t="shared" si="5"/>
        <v>107.78</v>
      </c>
      <c r="E24" s="128">
        <f t="shared" si="6"/>
        <v>73.930000000000007</v>
      </c>
      <c r="F24" s="128">
        <f t="shared" si="7"/>
        <v>26.94</v>
      </c>
      <c r="G24" s="130">
        <f t="shared" ref="G24:G37" si="8">(D24+E24+F24)/(8.76*$C$63)</f>
        <v>64.287431061289837</v>
      </c>
      <c r="H24" s="128">
        <v>0</v>
      </c>
      <c r="I24" s="128">
        <v>-24.666</v>
      </c>
      <c r="J24" s="130">
        <f t="shared" ref="J24:J37" si="9">(G24+H24+I24)</f>
        <v>39.62143106128984</v>
      </c>
      <c r="K24" s="130">
        <f t="shared" ref="K24:K37" si="10">ROUND(J24*$C$63*8.76,2)</f>
        <v>128.59</v>
      </c>
      <c r="L24" s="128">
        <f t="shared" ref="L24:L37" si="11">(D24+E24+F24)</f>
        <v>208.65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si="5"/>
        <v>110.1</v>
      </c>
      <c r="E25" s="128">
        <f t="shared" si="6"/>
        <v>75.52</v>
      </c>
      <c r="F25" s="128">
        <f t="shared" si="7"/>
        <v>27.52</v>
      </c>
      <c r="G25" s="130">
        <f t="shared" si="8"/>
        <v>65.67085097725051</v>
      </c>
      <c r="H25" s="128">
        <v>0</v>
      </c>
      <c r="I25" s="128">
        <v>-24.666</v>
      </c>
      <c r="J25" s="130">
        <f t="shared" si="9"/>
        <v>41.004850977250513</v>
      </c>
      <c r="K25" s="130">
        <f t="shared" si="10"/>
        <v>133.08000000000001</v>
      </c>
      <c r="L25" s="128">
        <f t="shared" si="11"/>
        <v>213.14000000000001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112.47</v>
      </c>
      <c r="E26" s="128">
        <f t="shared" si="6"/>
        <v>77.150000000000006</v>
      </c>
      <c r="F26" s="128">
        <f t="shared" si="7"/>
        <v>28.11</v>
      </c>
      <c r="G26" s="130">
        <f t="shared" si="8"/>
        <v>67.085082027196918</v>
      </c>
      <c r="H26" s="128">
        <v>0</v>
      </c>
      <c r="I26" s="128">
        <v>-25.457999999999998</v>
      </c>
      <c r="J26" s="130">
        <f t="shared" si="9"/>
        <v>41.62708202719692</v>
      </c>
      <c r="K26" s="130">
        <f t="shared" si="10"/>
        <v>135.1</v>
      </c>
      <c r="L26" s="128">
        <f t="shared" si="11"/>
        <v>217.73000000000002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114.89</v>
      </c>
      <c r="E27" s="128">
        <f t="shared" si="6"/>
        <v>78.81</v>
      </c>
      <c r="F27" s="128">
        <f t="shared" si="7"/>
        <v>28.72</v>
      </c>
      <c r="G27" s="130">
        <f t="shared" si="8"/>
        <v>68.530124211129092</v>
      </c>
      <c r="H27" s="128">
        <v>0</v>
      </c>
      <c r="I27" s="128">
        <v>-26.255999999999997</v>
      </c>
      <c r="J27" s="130">
        <f t="shared" si="9"/>
        <v>42.274124211129092</v>
      </c>
      <c r="K27" s="130">
        <f t="shared" si="10"/>
        <v>137.19999999999999</v>
      </c>
      <c r="L27" s="128">
        <f t="shared" si="11"/>
        <v>222.42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117.37</v>
      </c>
      <c r="E28" s="128">
        <f t="shared" si="6"/>
        <v>80.510000000000005</v>
      </c>
      <c r="F28" s="128">
        <f t="shared" si="7"/>
        <v>29.34</v>
      </c>
      <c r="G28" s="130">
        <f t="shared" si="8"/>
        <v>70.009058642445609</v>
      </c>
      <c r="H28" s="128">
        <v>0</v>
      </c>
      <c r="I28" s="128">
        <v>-26.255999999999997</v>
      </c>
      <c r="J28" s="130">
        <f t="shared" si="9"/>
        <v>43.753058642445609</v>
      </c>
      <c r="K28" s="130">
        <f t="shared" si="10"/>
        <v>142</v>
      </c>
      <c r="L28" s="128">
        <f t="shared" si="11"/>
        <v>227.22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119.9</v>
      </c>
      <c r="E29" s="128">
        <f t="shared" si="6"/>
        <v>82.24</v>
      </c>
      <c r="F29" s="128">
        <f t="shared" si="7"/>
        <v>29.97</v>
      </c>
      <c r="G29" s="130">
        <f t="shared" si="8"/>
        <v>71.515723094349312</v>
      </c>
      <c r="H29" s="128">
        <v>0</v>
      </c>
      <c r="I29" s="128">
        <v>-27.054000000000002</v>
      </c>
      <c r="J29" s="130">
        <f t="shared" si="9"/>
        <v>44.46172309434931</v>
      </c>
      <c r="K29" s="130">
        <f t="shared" si="10"/>
        <v>144.30000000000001</v>
      </c>
      <c r="L29" s="128">
        <f t="shared" si="11"/>
        <v>232.10999999999999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122.48</v>
      </c>
      <c r="E30" s="128">
        <f t="shared" si="6"/>
        <v>84.01</v>
      </c>
      <c r="F30" s="128">
        <f t="shared" si="7"/>
        <v>30.62</v>
      </c>
      <c r="G30" s="130">
        <f t="shared" si="8"/>
        <v>73.056279793637358</v>
      </c>
      <c r="H30" s="128">
        <v>0</v>
      </c>
      <c r="I30" s="128">
        <v>0</v>
      </c>
      <c r="J30" s="130">
        <f t="shared" si="9"/>
        <v>73.056279793637358</v>
      </c>
      <c r="K30" s="130">
        <f t="shared" si="10"/>
        <v>237.11</v>
      </c>
      <c r="L30" s="128">
        <f t="shared" si="11"/>
        <v>237.11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125.12</v>
      </c>
      <c r="E31" s="128">
        <f t="shared" si="6"/>
        <v>85.82</v>
      </c>
      <c r="F31" s="128">
        <f t="shared" si="7"/>
        <v>31.28</v>
      </c>
      <c r="G31" s="130">
        <f t="shared" si="8"/>
        <v>74.630728740309735</v>
      </c>
      <c r="H31" s="128">
        <v>0</v>
      </c>
      <c r="I31" s="128">
        <v>0</v>
      </c>
      <c r="J31" s="130">
        <f t="shared" si="9"/>
        <v>74.630728740309735</v>
      </c>
      <c r="K31" s="130">
        <f t="shared" si="10"/>
        <v>242.22</v>
      </c>
      <c r="L31" s="128">
        <f t="shared" si="11"/>
        <v>242.22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127.82</v>
      </c>
      <c r="E32" s="128">
        <f t="shared" si="6"/>
        <v>87.67</v>
      </c>
      <c r="F32" s="128">
        <f t="shared" si="7"/>
        <v>31.95</v>
      </c>
      <c r="G32" s="130">
        <f t="shared" si="8"/>
        <v>76.239069934366441</v>
      </c>
      <c r="H32" s="128">
        <v>0</v>
      </c>
      <c r="I32" s="128">
        <v>0</v>
      </c>
      <c r="J32" s="130">
        <f t="shared" si="9"/>
        <v>76.239069934366441</v>
      </c>
      <c r="K32" s="130">
        <f t="shared" si="10"/>
        <v>247.44</v>
      </c>
      <c r="L32" s="128">
        <f t="shared" si="11"/>
        <v>247.44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7">
      <c r="B33" s="135">
        <f t="shared" si="0"/>
        <v>2039</v>
      </c>
      <c r="C33" s="136"/>
      <c r="D33" s="128">
        <f t="shared" si="5"/>
        <v>130.57</v>
      </c>
      <c r="E33" s="128">
        <f t="shared" si="6"/>
        <v>89.56</v>
      </c>
      <c r="F33" s="128">
        <f t="shared" si="7"/>
        <v>32.64</v>
      </c>
      <c r="G33" s="130">
        <f t="shared" si="8"/>
        <v>77.881303375807491</v>
      </c>
      <c r="H33" s="128">
        <v>0</v>
      </c>
      <c r="I33" s="128">
        <v>0</v>
      </c>
      <c r="J33" s="130">
        <f t="shared" si="9"/>
        <v>77.881303375807491</v>
      </c>
      <c r="K33" s="130">
        <f t="shared" si="10"/>
        <v>252.77</v>
      </c>
      <c r="L33" s="128">
        <f t="shared" si="11"/>
        <v>252.76999999999998</v>
      </c>
      <c r="M33" s="119"/>
      <c r="O33" s="117"/>
      <c r="Q33" s="130"/>
    </row>
    <row r="34" spans="2:17">
      <c r="B34" s="135">
        <f t="shared" si="0"/>
        <v>2040</v>
      </c>
      <c r="C34" s="136"/>
      <c r="D34" s="128">
        <f t="shared" si="5"/>
        <v>133.38</v>
      </c>
      <c r="E34" s="128">
        <f t="shared" si="6"/>
        <v>91.49</v>
      </c>
      <c r="F34" s="128">
        <f t="shared" si="7"/>
        <v>33.340000000000003</v>
      </c>
      <c r="G34" s="130">
        <f t="shared" si="8"/>
        <v>79.557429064632885</v>
      </c>
      <c r="H34" s="128">
        <v>0</v>
      </c>
      <c r="I34" s="128">
        <v>0</v>
      </c>
      <c r="J34" s="130">
        <f t="shared" si="9"/>
        <v>79.557429064632885</v>
      </c>
      <c r="K34" s="130">
        <f t="shared" si="10"/>
        <v>258.20999999999998</v>
      </c>
      <c r="L34" s="128">
        <f t="shared" si="11"/>
        <v>258.21000000000004</v>
      </c>
      <c r="M34" s="119"/>
      <c r="O34" s="117"/>
      <c r="Q34" s="130"/>
    </row>
    <row r="35" spans="2:17">
      <c r="B35" s="135">
        <f t="shared" si="0"/>
        <v>2041</v>
      </c>
      <c r="C35" s="136"/>
      <c r="D35" s="128">
        <f t="shared" si="5"/>
        <v>136.25</v>
      </c>
      <c r="E35" s="128">
        <f t="shared" si="6"/>
        <v>93.46</v>
      </c>
      <c r="F35" s="128">
        <f t="shared" si="7"/>
        <v>34.06</v>
      </c>
      <c r="G35" s="130">
        <f t="shared" si="8"/>
        <v>81.270528114241174</v>
      </c>
      <c r="H35" s="128">
        <v>0</v>
      </c>
      <c r="I35" s="128">
        <v>0</v>
      </c>
      <c r="J35" s="130">
        <f t="shared" si="9"/>
        <v>81.270528114241174</v>
      </c>
      <c r="K35" s="130">
        <f t="shared" si="10"/>
        <v>263.77</v>
      </c>
      <c r="L35" s="128">
        <f t="shared" si="11"/>
        <v>263.77</v>
      </c>
      <c r="M35" s="119"/>
      <c r="O35" s="117"/>
      <c r="Q35" s="130"/>
    </row>
    <row r="36" spans="2:17">
      <c r="B36" s="135">
        <f t="shared" si="0"/>
        <v>2042</v>
      </c>
      <c r="C36" s="136"/>
      <c r="D36" s="128">
        <f t="shared" si="5"/>
        <v>139.19</v>
      </c>
      <c r="E36" s="128">
        <f t="shared" si="6"/>
        <v>95.47</v>
      </c>
      <c r="F36" s="128">
        <f t="shared" si="7"/>
        <v>34.79</v>
      </c>
      <c r="G36" s="130">
        <f t="shared" si="8"/>
        <v>83.020600524632385</v>
      </c>
      <c r="H36" s="128">
        <v>0</v>
      </c>
      <c r="I36" s="128">
        <v>0</v>
      </c>
      <c r="J36" s="130">
        <f t="shared" si="9"/>
        <v>83.020600524632385</v>
      </c>
      <c r="K36" s="130">
        <f t="shared" si="10"/>
        <v>269.45</v>
      </c>
      <c r="L36" s="128">
        <f t="shared" si="11"/>
        <v>269.45</v>
      </c>
      <c r="M36" s="119"/>
      <c r="O36" s="117"/>
      <c r="Q36" s="130"/>
    </row>
    <row r="37" spans="2:17">
      <c r="B37" s="135">
        <f t="shared" si="0"/>
        <v>2043</v>
      </c>
      <c r="C37" s="136"/>
      <c r="D37" s="128">
        <f t="shared" si="5"/>
        <v>142.19</v>
      </c>
      <c r="E37" s="128">
        <f t="shared" si="6"/>
        <v>97.53</v>
      </c>
      <c r="F37" s="128">
        <f t="shared" si="7"/>
        <v>35.54</v>
      </c>
      <c r="G37" s="130">
        <f t="shared" si="8"/>
        <v>84.810727409205086</v>
      </c>
      <c r="H37" s="128">
        <v>0</v>
      </c>
      <c r="I37" s="128">
        <v>0</v>
      </c>
      <c r="J37" s="130">
        <f t="shared" si="9"/>
        <v>84.810727409205086</v>
      </c>
      <c r="K37" s="130">
        <f t="shared" si="10"/>
        <v>275.26</v>
      </c>
      <c r="L37" s="128">
        <f t="shared" si="11"/>
        <v>275.26</v>
      </c>
      <c r="Q37" s="130"/>
    </row>
    <row r="38" spans="2:17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7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7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7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7">
      <c r="B44" s="117" t="s">
        <v>63</v>
      </c>
      <c r="C44" s="140" t="s">
        <v>64</v>
      </c>
      <c r="D44" s="283" t="s">
        <v>159</v>
      </c>
    </row>
    <row r="45" spans="2:17">
      <c r="C45" s="140" t="str">
        <f>C7</f>
        <v>(a)</v>
      </c>
      <c r="D45" s="117" t="s">
        <v>65</v>
      </c>
    </row>
    <row r="46" spans="2:17">
      <c r="C46" s="140" t="str">
        <f>D7</f>
        <v>(b)</v>
      </c>
      <c r="D46" s="130" t="str">
        <f>"= "&amp;C7&amp;" x "&amp;C62</f>
        <v>= (a) x 0.0697927885163824</v>
      </c>
    </row>
    <row r="47" spans="2:17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7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Portland North Coast Wind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2026</v>
      </c>
    </row>
    <row r="55" spans="2:28">
      <c r="B55" s="344" t="s">
        <v>186</v>
      </c>
      <c r="C55" s="411">
        <f>184339.35/130</f>
        <v>1417.9950000000001</v>
      </c>
      <c r="D55" s="117" t="s">
        <v>65</v>
      </c>
      <c r="P55" s="117">
        <v>130</v>
      </c>
      <c r="Q55" s="117" t="s">
        <v>32</v>
      </c>
    </row>
    <row r="56" spans="2:28">
      <c r="B56" s="344" t="s">
        <v>186</v>
      </c>
      <c r="C56" s="147">
        <f>8825.10788641132/130</f>
        <v>67.885445280087083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24.740174248339812</v>
      </c>
      <c r="D60" s="117" t="s">
        <v>153</v>
      </c>
      <c r="F60" s="117" t="s">
        <v>171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0.37049999910522241</v>
      </c>
      <c r="D63" s="117" t="s">
        <v>37</v>
      </c>
    </row>
    <row r="64" spans="2:28">
      <c r="D64" s="153"/>
    </row>
    <row r="65" spans="15:15" s="119" customFormat="1">
      <c r="O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zoomScale="70" zoomScaleNormal="70" workbookViewId="0">
      <selection activeCell="D11" sqref="D1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7" ht="15.75">
      <c r="B2" s="115" t="s">
        <v>194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T5" s="119"/>
      <c r="U5" s="119"/>
      <c r="V5" s="119"/>
      <c r="W5" s="119"/>
      <c r="X5" s="119"/>
      <c r="Y5" s="119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L8" s="119"/>
    </row>
    <row r="9" spans="2:27" ht="15.75">
      <c r="B9" s="43" t="str">
        <f>C52</f>
        <v>2021 IRP Portland North Coast Wind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7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7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7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7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371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371"/>
      <c r="R19" s="355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183">
        <f>$C$60</f>
        <v>24.740174248339812</v>
      </c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128">
        <f t="shared" ref="D21:F36" si="1">ROUND(F20*(1+IRP21_Infl_Rate),2)</f>
        <v>25.27</v>
      </c>
      <c r="G21" s="130"/>
      <c r="H21" s="128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128">
        <f t="shared" si="1"/>
        <v>25.81</v>
      </c>
      <c r="G22" s="130"/>
      <c r="H22" s="128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128">
        <f t="shared" si="1"/>
        <v>26.37</v>
      </c>
      <c r="G23" s="130"/>
      <c r="H23" s="128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/>
      <c r="D24" s="128"/>
      <c r="E24" s="147"/>
      <c r="F24" s="128">
        <f t="shared" si="1"/>
        <v>26.94</v>
      </c>
      <c r="G24" s="130"/>
      <c r="H24" s="128"/>
      <c r="I24" s="128"/>
      <c r="J24" s="130"/>
      <c r="K24" s="130"/>
      <c r="L24" s="128"/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/>
      <c r="E25" s="147"/>
      <c r="F25" s="128">
        <f t="shared" si="1"/>
        <v>27.52</v>
      </c>
      <c r="G25" s="130"/>
      <c r="H25" s="128"/>
      <c r="I25" s="128"/>
      <c r="J25" s="130"/>
      <c r="K25" s="130"/>
      <c r="L25" s="128"/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>
        <f>696519.9/450</f>
        <v>1547.8220000000001</v>
      </c>
      <c r="D26" s="128">
        <f>C26*$C$62</f>
        <v>108.02681350700401</v>
      </c>
      <c r="E26" s="147">
        <f>C56</f>
        <v>94.728153598621105</v>
      </c>
      <c r="F26" s="128">
        <f t="shared" si="1"/>
        <v>28.11</v>
      </c>
      <c r="G26" s="130">
        <f t="shared" ref="G26:G37" si="2">(D26+E26+F26)/(8.76*$C$63)</f>
        <v>71.132114341096681</v>
      </c>
      <c r="H26" s="128">
        <v>0</v>
      </c>
      <c r="I26" s="128">
        <v>0</v>
      </c>
      <c r="J26" s="130">
        <f t="shared" ref="J26:J37" si="3">(G26+H26+I26)</f>
        <v>71.132114341096681</v>
      </c>
      <c r="K26" s="130">
        <f t="shared" ref="K26:K37" si="4">ROUND(J26*$C$63*8.76,2)</f>
        <v>230.86</v>
      </c>
      <c r="L26" s="128">
        <f t="shared" ref="L26:L37" si="5">(D26+E26+F26)</f>
        <v>230.86496710562511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1"/>
        <v>110.35</v>
      </c>
      <c r="E27" s="128">
        <f t="shared" si="1"/>
        <v>96.77</v>
      </c>
      <c r="F27" s="128">
        <f t="shared" si="1"/>
        <v>28.72</v>
      </c>
      <c r="G27" s="130">
        <f t="shared" si="2"/>
        <v>72.664978392018199</v>
      </c>
      <c r="H27" s="128">
        <v>0</v>
      </c>
      <c r="I27" s="128">
        <v>0</v>
      </c>
      <c r="J27" s="130">
        <f t="shared" si="3"/>
        <v>72.664978392018199</v>
      </c>
      <c r="K27" s="130">
        <f t="shared" si="4"/>
        <v>235.84</v>
      </c>
      <c r="L27" s="128">
        <f t="shared" si="5"/>
        <v>235.84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1"/>
        <v>112.73</v>
      </c>
      <c r="E28" s="128">
        <f t="shared" si="1"/>
        <v>98.86</v>
      </c>
      <c r="F28" s="128">
        <f t="shared" si="1"/>
        <v>29.34</v>
      </c>
      <c r="G28" s="130">
        <f t="shared" si="2"/>
        <v>74.233265111893417</v>
      </c>
      <c r="H28" s="128">
        <v>0</v>
      </c>
      <c r="I28" s="128">
        <v>0</v>
      </c>
      <c r="J28" s="130">
        <f t="shared" si="3"/>
        <v>74.233265111893417</v>
      </c>
      <c r="K28" s="130">
        <f t="shared" si="4"/>
        <v>240.93</v>
      </c>
      <c r="L28" s="128">
        <f t="shared" si="5"/>
        <v>240.93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1"/>
        <v>115.16</v>
      </c>
      <c r="E29" s="128">
        <f t="shared" si="1"/>
        <v>100.99</v>
      </c>
      <c r="F29" s="128">
        <f t="shared" si="1"/>
        <v>29.97</v>
      </c>
      <c r="G29" s="130">
        <f t="shared" si="2"/>
        <v>75.832362965754399</v>
      </c>
      <c r="H29" s="128">
        <v>0</v>
      </c>
      <c r="I29" s="128">
        <v>0</v>
      </c>
      <c r="J29" s="130">
        <f t="shared" si="3"/>
        <v>75.832362965754399</v>
      </c>
      <c r="K29" s="130">
        <f t="shared" si="4"/>
        <v>246.12</v>
      </c>
      <c r="L29" s="128">
        <f t="shared" si="5"/>
        <v>246.11999999999998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1"/>
        <v>117.64</v>
      </c>
      <c r="E30" s="128">
        <f t="shared" si="1"/>
        <v>103.17</v>
      </c>
      <c r="F30" s="128">
        <f t="shared" si="1"/>
        <v>30.62</v>
      </c>
      <c r="G30" s="130">
        <f t="shared" si="2"/>
        <v>77.468434180398305</v>
      </c>
      <c r="H30" s="128">
        <v>0</v>
      </c>
      <c r="I30" s="128">
        <v>0</v>
      </c>
      <c r="J30" s="130">
        <f t="shared" si="3"/>
        <v>77.468434180398305</v>
      </c>
      <c r="K30" s="130">
        <f t="shared" si="4"/>
        <v>251.43</v>
      </c>
      <c r="L30" s="128">
        <f t="shared" si="5"/>
        <v>251.43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1"/>
        <v>120.18</v>
      </c>
      <c r="E31" s="128">
        <f t="shared" si="1"/>
        <v>105.39</v>
      </c>
      <c r="F31" s="128">
        <f t="shared" si="1"/>
        <v>31.28</v>
      </c>
      <c r="G31" s="130">
        <f t="shared" si="2"/>
        <v>79.13839764242654</v>
      </c>
      <c r="H31" s="128">
        <v>0</v>
      </c>
      <c r="I31" s="128">
        <v>0</v>
      </c>
      <c r="J31" s="130">
        <f t="shared" si="3"/>
        <v>79.13839764242654</v>
      </c>
      <c r="K31" s="130">
        <f t="shared" si="4"/>
        <v>256.85000000000002</v>
      </c>
      <c r="L31" s="128">
        <f t="shared" si="5"/>
        <v>256.85000000000002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1"/>
        <v>122.77</v>
      </c>
      <c r="E32" s="128">
        <f t="shared" si="1"/>
        <v>107.66</v>
      </c>
      <c r="F32" s="128">
        <f t="shared" si="1"/>
        <v>31.95</v>
      </c>
      <c r="G32" s="130">
        <f t="shared" si="2"/>
        <v>80.842253351839105</v>
      </c>
      <c r="H32" s="128">
        <v>0</v>
      </c>
      <c r="I32" s="128">
        <v>0</v>
      </c>
      <c r="J32" s="130">
        <f t="shared" si="3"/>
        <v>80.842253351839105</v>
      </c>
      <c r="K32" s="130">
        <f t="shared" si="4"/>
        <v>262.38</v>
      </c>
      <c r="L32" s="128">
        <f t="shared" si="5"/>
        <v>262.38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7">
      <c r="B33" s="135">
        <f t="shared" si="0"/>
        <v>2039</v>
      </c>
      <c r="C33" s="136"/>
      <c r="D33" s="128">
        <f t="shared" si="1"/>
        <v>125.42</v>
      </c>
      <c r="E33" s="128">
        <f t="shared" si="1"/>
        <v>109.98</v>
      </c>
      <c r="F33" s="128">
        <f t="shared" si="1"/>
        <v>32.64</v>
      </c>
      <c r="G33" s="130">
        <f t="shared" si="2"/>
        <v>82.586163535433172</v>
      </c>
      <c r="H33" s="128">
        <v>0</v>
      </c>
      <c r="I33" s="128">
        <v>0</v>
      </c>
      <c r="J33" s="130">
        <f t="shared" si="3"/>
        <v>82.586163535433172</v>
      </c>
      <c r="K33" s="130">
        <f t="shared" si="4"/>
        <v>268.04000000000002</v>
      </c>
      <c r="L33" s="128">
        <f t="shared" si="5"/>
        <v>268.04000000000002</v>
      </c>
      <c r="M33" s="119"/>
      <c r="O33" s="117"/>
      <c r="Q33" s="130"/>
    </row>
    <row r="34" spans="2:17">
      <c r="B34" s="135">
        <f t="shared" si="0"/>
        <v>2040</v>
      </c>
      <c r="C34" s="136"/>
      <c r="D34" s="128">
        <f t="shared" si="1"/>
        <v>128.12</v>
      </c>
      <c r="E34" s="128">
        <f t="shared" si="1"/>
        <v>112.35</v>
      </c>
      <c r="F34" s="128">
        <f t="shared" si="1"/>
        <v>33.340000000000003</v>
      </c>
      <c r="G34" s="130">
        <f t="shared" si="2"/>
        <v>84.363965966411556</v>
      </c>
      <c r="H34" s="128">
        <v>0</v>
      </c>
      <c r="I34" s="128">
        <v>0</v>
      </c>
      <c r="J34" s="130">
        <f t="shared" si="3"/>
        <v>84.363965966411556</v>
      </c>
      <c r="K34" s="130">
        <f t="shared" si="4"/>
        <v>273.81</v>
      </c>
      <c r="L34" s="128">
        <f t="shared" si="5"/>
        <v>273.81</v>
      </c>
      <c r="M34" s="119"/>
      <c r="O34" s="117"/>
      <c r="Q34" s="130"/>
    </row>
    <row r="35" spans="2:17">
      <c r="B35" s="135">
        <f t="shared" si="0"/>
        <v>2041</v>
      </c>
      <c r="C35" s="136"/>
      <c r="D35" s="128">
        <f t="shared" si="1"/>
        <v>130.88</v>
      </c>
      <c r="E35" s="128">
        <f t="shared" si="1"/>
        <v>114.77</v>
      </c>
      <c r="F35" s="128">
        <f t="shared" si="1"/>
        <v>34.06</v>
      </c>
      <c r="G35" s="130">
        <f t="shared" si="2"/>
        <v>86.181822871571441</v>
      </c>
      <c r="H35" s="128">
        <v>0</v>
      </c>
      <c r="I35" s="128">
        <v>0</v>
      </c>
      <c r="J35" s="130">
        <f t="shared" si="3"/>
        <v>86.181822871571441</v>
      </c>
      <c r="K35" s="130">
        <f t="shared" si="4"/>
        <v>279.70999999999998</v>
      </c>
      <c r="L35" s="128">
        <f t="shared" si="5"/>
        <v>279.70999999999998</v>
      </c>
      <c r="M35" s="119"/>
      <c r="O35" s="117"/>
      <c r="Q35" s="130"/>
    </row>
    <row r="36" spans="2:17">
      <c r="B36" s="135">
        <f t="shared" si="0"/>
        <v>2042</v>
      </c>
      <c r="C36" s="136"/>
      <c r="D36" s="128">
        <f t="shared" si="1"/>
        <v>133.69999999999999</v>
      </c>
      <c r="E36" s="128">
        <f t="shared" si="1"/>
        <v>117.24</v>
      </c>
      <c r="F36" s="128">
        <f t="shared" si="1"/>
        <v>34.79</v>
      </c>
      <c r="G36" s="130">
        <f t="shared" si="2"/>
        <v>88.03665313751425</v>
      </c>
      <c r="H36" s="128">
        <v>0</v>
      </c>
      <c r="I36" s="128">
        <v>0</v>
      </c>
      <c r="J36" s="130">
        <f t="shared" si="3"/>
        <v>88.03665313751425</v>
      </c>
      <c r="K36" s="130">
        <f t="shared" si="4"/>
        <v>285.73</v>
      </c>
      <c r="L36" s="128">
        <f t="shared" si="5"/>
        <v>285.73</v>
      </c>
      <c r="M36" s="119"/>
      <c r="O36" s="117"/>
      <c r="Q36" s="130"/>
    </row>
    <row r="37" spans="2:17">
      <c r="B37" s="135">
        <f t="shared" si="0"/>
        <v>2043</v>
      </c>
      <c r="C37" s="136"/>
      <c r="D37" s="128">
        <f t="shared" ref="D37:F37" si="6">ROUND(D36*(1+IRP21_Infl_Rate),2)</f>
        <v>136.58000000000001</v>
      </c>
      <c r="E37" s="128">
        <f t="shared" si="6"/>
        <v>119.77</v>
      </c>
      <c r="F37" s="128">
        <f t="shared" si="6"/>
        <v>35.54</v>
      </c>
      <c r="G37" s="130">
        <f t="shared" si="2"/>
        <v>89.934618991037112</v>
      </c>
      <c r="H37" s="128">
        <v>0</v>
      </c>
      <c r="I37" s="128">
        <v>0</v>
      </c>
      <c r="J37" s="130">
        <f t="shared" si="3"/>
        <v>89.934618991037112</v>
      </c>
      <c r="K37" s="130">
        <f t="shared" si="4"/>
        <v>291.89</v>
      </c>
      <c r="L37" s="128">
        <f t="shared" si="5"/>
        <v>291.89000000000004</v>
      </c>
      <c r="Q37" s="130"/>
    </row>
    <row r="38" spans="2:17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7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7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7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7">
      <c r="B44" s="117" t="s">
        <v>63</v>
      </c>
      <c r="C44" s="140" t="s">
        <v>64</v>
      </c>
      <c r="D44" s="283" t="s">
        <v>159</v>
      </c>
    </row>
    <row r="45" spans="2:17">
      <c r="C45" s="140" t="str">
        <f>C7</f>
        <v>(a)</v>
      </c>
      <c r="D45" s="117" t="s">
        <v>65</v>
      </c>
    </row>
    <row r="46" spans="2:17">
      <c r="C46" s="140" t="str">
        <f>D7</f>
        <v>(b)</v>
      </c>
      <c r="D46" s="130" t="str">
        <f>"= "&amp;C7&amp;" x "&amp;C62</f>
        <v>= (a) x 0.0697927885163824</v>
      </c>
    </row>
    <row r="47" spans="2:17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7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Portland North Coast Wind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2032</v>
      </c>
    </row>
    <row r="55" spans="2:28">
      <c r="B55" s="344" t="s">
        <v>213</v>
      </c>
      <c r="C55" s="411">
        <f>696519.9/450</f>
        <v>1547.8220000000001</v>
      </c>
      <c r="D55" s="117" t="s">
        <v>65</v>
      </c>
      <c r="P55" s="117">
        <v>450</v>
      </c>
      <c r="Q55" s="117" t="s">
        <v>32</v>
      </c>
    </row>
    <row r="56" spans="2:28">
      <c r="B56" s="344" t="s">
        <v>213</v>
      </c>
      <c r="C56" s="147">
        <f>42627.6691193795/450</f>
        <v>94.728153598621105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24.740174248339812</v>
      </c>
      <c r="D60" s="117" t="s">
        <v>153</v>
      </c>
      <c r="F60" s="117" t="s">
        <v>171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0.37049999910522241</v>
      </c>
      <c r="D63" s="117" t="s">
        <v>37</v>
      </c>
    </row>
    <row r="64" spans="2:28">
      <c r="D64" s="153"/>
    </row>
    <row r="81" spans="3:4">
      <c r="C81" s="149"/>
      <c r="D81" s="153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37</vt:i4>
      </vt:variant>
    </vt:vector>
  </HeadingPairs>
  <TitlesOfParts>
    <vt:vector size="60" baseType="lpstr">
      <vt:lpstr>Appendix B.1</vt:lpstr>
      <vt:lpstr>Table 1</vt:lpstr>
      <vt:lpstr>Table 2</vt:lpstr>
      <vt:lpstr>Table 4</vt:lpstr>
      <vt:lpstr>Table3ACsummary</vt:lpstr>
      <vt:lpstr>Table 5</vt:lpstr>
      <vt:lpstr>Table 3 TransCost</vt:lpstr>
      <vt:lpstr>Table 3 PNC Wind_2026</vt:lpstr>
      <vt:lpstr>Table 3 PNC Wind_2032</vt:lpstr>
      <vt:lpstr>Table 3 WV Wind_2026</vt:lpstr>
      <vt:lpstr>Table 3 YK WindwS_2030</vt:lpstr>
      <vt:lpstr>Table 3 WYE Wind_2030</vt:lpstr>
      <vt:lpstr>Table 3 WYE_DJ Wind_2030</vt:lpstr>
      <vt:lpstr>Table 3 PV wS Borah_2026</vt:lpstr>
      <vt:lpstr>Table 3 PV wS SOR_2028</vt:lpstr>
      <vt:lpstr>Table 3 PV wS SOR_2030</vt:lpstr>
      <vt:lpstr>Table 3 PV wS YK_2030</vt:lpstr>
      <vt:lpstr>Table 3 PV wS UTN_2031</vt:lpstr>
      <vt:lpstr>Table 3 PV wS UTS_2033</vt:lpstr>
      <vt:lpstr>Table 3 SmNuc 345MW (NTN) 2028</vt:lpstr>
      <vt:lpstr>Table 3 NonE 206MW (UTN) 2033</vt:lpstr>
      <vt:lpstr>Table 3 NonE 196MW (NTN)</vt:lpstr>
      <vt:lpstr>Table 3 StdBat  DJ_2029</vt:lpstr>
      <vt:lpstr>Discount_Rate</vt:lpstr>
      <vt:lpstr>IRP21_Infl_Rate</vt:lpstr>
      <vt:lpstr>'Appendix B.1'!Print_Area</vt:lpstr>
      <vt:lpstr>'Table 1'!Print_Area</vt:lpstr>
      <vt:lpstr>'Table 2'!Print_Area</vt:lpstr>
      <vt:lpstr>'Table 3 NonE 196MW (NTN)'!Print_Area</vt:lpstr>
      <vt:lpstr>'Table 3 NonE 206MW (UTN) 2033'!Print_Area</vt:lpstr>
      <vt:lpstr>'Table 3 PNC Wind_2026'!Print_Area</vt:lpstr>
      <vt:lpstr>'Table 3 PNC Wind_2032'!Print_Area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UTS_2033'!Print_Area</vt:lpstr>
      <vt:lpstr>'Table 3 PV wS YK_2030'!Print_Area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Wind_2030'!Print_Area</vt:lpstr>
      <vt:lpstr>'Table 3 WYE_DJ Wind_2030'!Print_Area</vt:lpstr>
      <vt:lpstr>'Table 3 YK WindwS_2030'!Print_Area</vt:lpstr>
      <vt:lpstr>'Table 4'!Print_Area</vt:lpstr>
      <vt:lpstr>'Table 5'!Print_Area</vt:lpstr>
      <vt:lpstr>Table3ACsummary!Print_Area</vt:lpstr>
      <vt:lpstr>'Table 2'!Print_Titles</vt:lpstr>
      <vt:lpstr>'Table 3 NonE 196MW (NTN)'!Print_Titles</vt:lpstr>
      <vt:lpstr>'Table 3 NonE 206MW (UTN) 2033'!Print_Titles</vt:lpstr>
      <vt:lpstr>'Table 3 SmNuc 345MW (NTN) 2028'!Print_Titles</vt:lpstr>
      <vt:lpstr>'Table 2'!Study_Cap_Adj</vt:lpstr>
      <vt:lpstr>'Table 3 NonE 196MW (NTN)'!Study_Cap_Adj</vt:lpstr>
      <vt:lpstr>'Table 3 NonE 206MW (UTN) 2033'!Study_Cap_Adj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2021-12-28T22:41:18Z</cp:lastPrinted>
  <dcterms:created xsi:type="dcterms:W3CDTF">2001-03-19T15:45:46Z</dcterms:created>
  <dcterms:modified xsi:type="dcterms:W3CDTF">2021-12-29T21:29:24Z</dcterms:modified>
</cp:coreProperties>
</file>