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xr:revisionPtr revIDLastSave="0" documentId="8_{FAFFFBBD-2B90-4F64-842D-9B3E1B939E9C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Appendix B.1" sheetId="96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TransCost" sheetId="47" state="hidden" r:id="rId7"/>
    <sheet name="Table 3 PV wS Borah_2026" sheetId="67" state="hidden" r:id="rId8"/>
    <sheet name="Table 3 StdBat  DJ_2029" sheetId="94" state="hidden" r:id="rId9"/>
    <sheet name="Table 3 PNC Wind_2026" sheetId="83" state="hidden" r:id="rId10"/>
    <sheet name="Table 3 PNC Wind_2032" sheetId="92" state="hidden" r:id="rId11"/>
    <sheet name="Table 3 WV Wind_2026" sheetId="84" state="hidden" r:id="rId12"/>
    <sheet name="Table 3 YK WindwS_2030" sheetId="95" state="hidden" r:id="rId13"/>
    <sheet name="Table 3 WYE Wind_2030" sheetId="43" state="hidden" r:id="rId14"/>
    <sheet name="Table 3 WYE_DJ Wind_2030" sheetId="82" state="hidden" r:id="rId15"/>
    <sheet name="Table 3 PV wS SOR_2028" sheetId="87" state="hidden" r:id="rId16"/>
    <sheet name="Table 3 PV wS SOR_2030" sheetId="88" state="hidden" r:id="rId17"/>
    <sheet name="Table 3 PV wS YK_2030" sheetId="89" state="hidden" r:id="rId18"/>
    <sheet name="Table 3 PV wS UTN_2031" sheetId="90" state="hidden" r:id="rId19"/>
    <sheet name="Table 3 PV wS UTS_2033" sheetId="91" state="hidden" r:id="rId20"/>
    <sheet name="Table 3 SmNuc 345MW (NTN) 2028" sheetId="86" state="hidden" r:id="rId21"/>
    <sheet name="Table 3 NonE 206MW (UTN) 2033" sheetId="68" r:id="rId22"/>
    <sheet name="Table 3 NonE 196MW (NTN)" sheetId="85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30_Geo_West" localSheetId="0">'[1]Table 1'!$I$17</definedName>
    <definedName name="_30_Geo_West">'[2]Table 1'!$I$17</definedName>
    <definedName name="_436_CCCT_WestMain" localSheetId="0">'[1]Table 1'!$I$18</definedName>
    <definedName name="_436_CCCT_WestMain">'[2]Table 1'!$I$18</definedName>
    <definedName name="_477_CCCT_WestMain" localSheetId="0">'[3]Table 1'!$I$18</definedName>
    <definedName name="_477_CCCT_WestMain">'[4]Table 1'!$I$18</definedName>
    <definedName name="_635_CCCT_UtahS" localSheetId="0">'[3]Table 1'!$I$19</definedName>
    <definedName name="_635_CCCT_UtahS">'[4]Table 1'!$I$19</definedName>
    <definedName name="_635_CCCT_WyoNE" localSheetId="0">'[3]Table 1'!$I$17</definedName>
    <definedName name="_635_CCCT_WyoNE">'[4]Table 1'!$I$17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22" hidden="1">{"PRINT",#N/A,TRUE,"APPA";"PRINT",#N/A,TRUE,"APS";"PRINT",#N/A,TRUE,"BHPL";"PRINT",#N/A,TRUE,"BHPL2";"PRINT",#N/A,TRUE,"CDWR";"PRINT",#N/A,TRUE,"EWEB";"PRINT",#N/A,TRUE,"LADWP";"PRINT",#N/A,TRUE,"NEVBASE"}</definedName>
    <definedName name="_j1" localSheetId="21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20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22" hidden="1">{"PRINT",#N/A,TRUE,"APPA";"PRINT",#N/A,TRUE,"APS";"PRINT",#N/A,TRUE,"BHPL";"PRINT",#N/A,TRUE,"BHPL2";"PRINT",#N/A,TRUE,"CDWR";"PRINT",#N/A,TRUE,"EWEB";"PRINT",#N/A,TRUE,"LADWP";"PRINT",#N/A,TRUE,"NEVBASE"}</definedName>
    <definedName name="_j2" localSheetId="2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20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22" hidden="1">{"PRINT",#N/A,TRUE,"APPA";"PRINT",#N/A,TRUE,"APS";"PRINT",#N/A,TRUE,"BHPL";"PRINT",#N/A,TRUE,"BHPL2";"PRINT",#N/A,TRUE,"CDWR";"PRINT",#N/A,TRUE,"EWEB";"PRINT",#N/A,TRUE,"LADWP";"PRINT",#N/A,TRUE,"NEVBASE"}</definedName>
    <definedName name="_j3" localSheetId="21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20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22" hidden="1">{"PRINT",#N/A,TRUE,"APPA";"PRINT",#N/A,TRUE,"APS";"PRINT",#N/A,TRUE,"BHPL";"PRINT",#N/A,TRUE,"BHPL2";"PRINT",#N/A,TRUE,"CDWR";"PRINT",#N/A,TRUE,"EWEB";"PRINT",#N/A,TRUE,"LADWP";"PRINT",#N/A,TRUE,"NEVBASE"}</definedName>
    <definedName name="_j4" localSheetId="21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20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22" hidden="1">{"PRINT",#N/A,TRUE,"APPA";"PRINT",#N/A,TRUE,"APS";"PRINT",#N/A,TRUE,"BHPL";"PRINT",#N/A,TRUE,"BHPL2";"PRINT",#N/A,TRUE,"CDWR";"PRINT",#N/A,TRUE,"EWEB";"PRINT",#N/A,TRUE,"LADWP";"PRINT",#N/A,TRUE,"NEVBASE"}</definedName>
    <definedName name="_j5" localSheetId="21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20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>'[5]Table 1'!#REF!</definedName>
    <definedName name="dateTable" localSheetId="0">'[6]on off peak hours'!$C$15:$ED$15</definedName>
    <definedName name="dateTable">'[6]on off peak hours'!$C$15:$ED$15</definedName>
    <definedName name="Discount_Rate" localSheetId="0">'[3]Table 1'!$I$39</definedName>
    <definedName name="Discount_Rate">'Table 1'!$I$43</definedName>
    <definedName name="Discount_Rate_2015_IRP" localSheetId="0">'[7]Table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>'[6]on off peak hours'!$C$16:$ED$20</definedName>
    <definedName name="IRP21_Infl_Rate" localSheetId="0">'Table 1'!$K$47</definedName>
    <definedName name="IRP21_Infl_Rate">'Table 1'!$K$47</definedName>
    <definedName name="Market" localSheetId="0">'[8]OFPC Source'!$J$8:$M$295</definedName>
    <definedName name="Market">'[8]OFPC Source'!$J$8:$M$295</definedName>
    <definedName name="MidC_Flat" localSheetId="0">[9]Market_Price!#REF!</definedName>
    <definedName name="MidC_Flat">[9]Market_Price!#REF!</definedName>
    <definedName name="OR_AC_price" localSheetId="0">#REF!</definedName>
    <definedName name="OR_AC_price">#REF!</definedName>
    <definedName name="_xlnm.Print_Area" localSheetId="0">'Appendix B.1'!$A$1:$L$34</definedName>
    <definedName name="_xlnm.Print_Area" localSheetId="1">'Table 1'!$A$1:$G$58</definedName>
    <definedName name="_xlnm.Print_Area" localSheetId="2">'Table 2'!$B$1:$P$36</definedName>
    <definedName name="_xlnm.Print_Area" localSheetId="22">'Table 3 NonE 196MW (NTN)'!$A$1:$L$74</definedName>
    <definedName name="_xlnm.Print_Area" localSheetId="21">'Table 3 NonE 206MW (UTN) 2033'!$A$1:$M$75</definedName>
    <definedName name="_xlnm.Print_Area" localSheetId="9">'Table 3 PNC Wind_2026'!$A$1:$N$64</definedName>
    <definedName name="_xlnm.Print_Area" localSheetId="10">'Table 3 PNC Wind_2032'!$A$1:$Q$64</definedName>
    <definedName name="_xlnm.Print_Area" localSheetId="7">'Table 3 PV wS Borah_2026'!$A$1:$P$64</definedName>
    <definedName name="_xlnm.Print_Area" localSheetId="15">'Table 3 PV wS SOR_2028'!$A$1:$P$74</definedName>
    <definedName name="_xlnm.Print_Area" localSheetId="16">'Table 3 PV wS SOR_2030'!$A$1:$P$64</definedName>
    <definedName name="_xlnm.Print_Area" localSheetId="18">'Table 3 PV wS UTN_2031'!$A$1:$P$64</definedName>
    <definedName name="_xlnm.Print_Area" localSheetId="19">'Table 3 PV wS UTS_2033'!$A$1:$P$64</definedName>
    <definedName name="_xlnm.Print_Area" localSheetId="17">'Table 3 PV wS YK_2030'!$A$1:$P$64</definedName>
    <definedName name="_xlnm.Print_Area" localSheetId="20">'Table 3 SmNuc 345MW (NTN) 2028'!$A$1:$L$83</definedName>
    <definedName name="_xlnm.Print_Area" localSheetId="8">'Table 3 StdBat  DJ_2029'!$A$1:$M$64</definedName>
    <definedName name="_xlnm.Print_Area" localSheetId="6">'Table 3 TransCost'!$A$1:$BD$50</definedName>
    <definedName name="_xlnm.Print_Area" localSheetId="11">'Table 3 WV Wind_2026'!$A$1:$Q$64</definedName>
    <definedName name="_xlnm.Print_Area" localSheetId="13">'Table 3 WYE Wind_2030'!$A$1:$Q$64</definedName>
    <definedName name="_xlnm.Print_Area" localSheetId="14">'Table 3 WYE_DJ Wind_2030'!$A$1:$Q$64</definedName>
    <definedName name="_xlnm.Print_Area" localSheetId="12">'Table 3 YK WindwS_2030'!$A$1:$Q$64</definedName>
    <definedName name="_xlnm.Print_Area" localSheetId="3">'Table 4'!$A$1:$F$44</definedName>
    <definedName name="_xlnm.Print_Area" localSheetId="4">Table3ACsummary!$A$1:$M$50</definedName>
    <definedName name="_xlnm.Print_Titles" localSheetId="2">'Table 2'!$1:$9</definedName>
    <definedName name="_xlnm.Print_Titles" localSheetId="22">'Table 3 NonE 196MW (NTN)'!$1:$6</definedName>
    <definedName name="_xlnm.Print_Titles" localSheetId="21">'Table 3 NonE 206MW (UTN) 2033'!$1:$6</definedName>
    <definedName name="_xlnm.Print_Titles" localSheetId="20">'Table 3 SmNuc 345MW (NTN) 2028'!$1:$6</definedName>
    <definedName name="RenewableMarketShape" localSheetId="0">'[8]OFPC Source'!$P$5:$U$33</definedName>
    <definedName name="RenewableMarketShape">'[8]OFPC Source'!$P$5:$U$33</definedName>
    <definedName name="RevenueSum">"GRID Thermal Revenue!R2C1:R4C2"</definedName>
    <definedName name="Solar_Fixed_integr_cost" localSheetId="0">'[10]Table 10'!$B$46</definedName>
    <definedName name="Solar_Fixed_integr_cost">'[10]Table 10'!$B$46</definedName>
    <definedName name="Solar_HLH" localSheetId="0">'[8]OFPC Source'!$U$48</definedName>
    <definedName name="Solar_HLH">'[8]OFPC Source'!$U$48</definedName>
    <definedName name="Solar_LLH" localSheetId="0">'[8]OFPC Source'!$V$48</definedName>
    <definedName name="Solar_LLH">'[8]OFPC Source'!$V$48</definedName>
    <definedName name="Solar_Tracking_integr_cost" localSheetId="0">'[10]Table 10'!$B$45</definedName>
    <definedName name="Solar_Tracking_integr_cost">'[10]Table 10'!$B$45</definedName>
    <definedName name="Study_Cap_Adj" localSheetId="0">'[3]Table 1'!$I$8</definedName>
    <definedName name="Study_Cap_Adj" localSheetId="2">'Table 1'!$I$8</definedName>
    <definedName name="Study_Cap_Adj" localSheetId="22">'Table 1'!$I$8</definedName>
    <definedName name="Study_Cap_Adj" localSheetId="21">'Table 1'!$I$8</definedName>
    <definedName name="Study_Cap_Adj" localSheetId="20">'Table 1'!$I$8</definedName>
    <definedName name="Study_Cap_Adj" localSheetId="6">'Table 1'!$I$8</definedName>
    <definedName name="Study_Cap_Adj">'Table 1'!$I$8</definedName>
    <definedName name="Study_CF" localSheetId="0">'[3]Table 5'!$M$7</definedName>
    <definedName name="Study_CF">'Table 5'!$M$7</definedName>
    <definedName name="Study_MW" localSheetId="0">'[3]Table 5'!$M$6</definedName>
    <definedName name="Study_MW">'Table 5'!$M$6</definedName>
    <definedName name="ValuationDate" localSheetId="0">#REF!</definedName>
    <definedName name="ValuationDate">#REF!</definedName>
    <definedName name="Wind_Capacity_Contr" localSheetId="0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>'[8]Exhibit 2- Std Wind QF '!$E$45</definedName>
  </definedNames>
  <calcPr calcId="191029" iterate="1"/>
</workbook>
</file>

<file path=xl/calcChain.xml><?xml version="1.0" encoding="utf-8"?>
<calcChain xmlns="http://schemas.openxmlformats.org/spreadsheetml/2006/main">
  <c r="M252" i="31" l="1"/>
  <c r="M251" i="31"/>
  <c r="M250" i="31"/>
  <c r="M249" i="31"/>
  <c r="M248" i="31"/>
  <c r="M247" i="31"/>
  <c r="M246" i="31"/>
  <c r="M245" i="31"/>
  <c r="M244" i="31"/>
  <c r="M243" i="31"/>
  <c r="M242" i="31"/>
  <c r="M241" i="31"/>
  <c r="M240" i="31"/>
  <c r="M239" i="31"/>
  <c r="M238" i="31"/>
  <c r="M237" i="31"/>
  <c r="M236" i="31"/>
  <c r="M235" i="31"/>
  <c r="M234" i="31"/>
  <c r="M233" i="31"/>
  <c r="M232" i="31"/>
  <c r="M231" i="31"/>
  <c r="M230" i="31"/>
  <c r="M229" i="31"/>
  <c r="M228" i="31"/>
  <c r="M227" i="31"/>
  <c r="M226" i="31"/>
  <c r="M225" i="31"/>
  <c r="M224" i="31"/>
  <c r="M223" i="31"/>
  <c r="M222" i="31"/>
  <c r="M221" i="31"/>
  <c r="M220" i="31"/>
  <c r="M219" i="31"/>
  <c r="M218" i="31"/>
  <c r="M217" i="31"/>
  <c r="M216" i="31"/>
  <c r="M215" i="31"/>
  <c r="M214" i="31"/>
  <c r="M213" i="31"/>
  <c r="M212" i="31"/>
  <c r="M211" i="31"/>
  <c r="M210" i="31"/>
  <c r="M209" i="31"/>
  <c r="M208" i="31"/>
  <c r="M207" i="31"/>
  <c r="M206" i="31"/>
  <c r="M205" i="31"/>
  <c r="M204" i="31"/>
  <c r="M203" i="31"/>
  <c r="M202" i="31"/>
  <c r="M201" i="31"/>
  <c r="M200" i="31"/>
  <c r="M199" i="31"/>
  <c r="M198" i="31"/>
  <c r="M197" i="31"/>
  <c r="M196" i="31"/>
  <c r="M195" i="31"/>
  <c r="M194" i="31"/>
  <c r="M193" i="31"/>
  <c r="H26" i="96" l="1"/>
  <c r="H9" i="96"/>
  <c r="G26" i="96"/>
  <c r="G9" i="96"/>
  <c r="F26" i="96"/>
  <c r="F9" i="96"/>
  <c r="B32" i="96" l="1"/>
  <c r="B10" i="96"/>
  <c r="K5" i="96"/>
  <c r="J5" i="96"/>
  <c r="I5" i="96"/>
  <c r="B11" i="96" l="1"/>
  <c r="H11" i="96"/>
  <c r="G11" i="96"/>
  <c r="F11" i="96"/>
  <c r="H10" i="96"/>
  <c r="G10" i="96"/>
  <c r="F10" i="96"/>
  <c r="B12" i="96"/>
  <c r="H12" i="96" l="1"/>
  <c r="G12" i="96"/>
  <c r="F12" i="96"/>
  <c r="B13" i="96"/>
  <c r="H13" i="96" l="1"/>
  <c r="G13" i="96"/>
  <c r="F13" i="96"/>
  <c r="B14" i="96"/>
  <c r="A56" i="25"/>
  <c r="A52" i="25"/>
  <c r="Q5" i="31"/>
  <c r="P5" i="31" s="1"/>
  <c r="R5" i="31"/>
  <c r="H14" i="96" l="1"/>
  <c r="G14" i="96"/>
  <c r="F14" i="96"/>
  <c r="B15" i="96"/>
  <c r="E24" i="95"/>
  <c r="H15" i="96" l="1"/>
  <c r="G15" i="96"/>
  <c r="F15" i="96"/>
  <c r="B16" i="96"/>
  <c r="C56" i="95"/>
  <c r="H16" i="96" l="1"/>
  <c r="G16" i="96"/>
  <c r="F16" i="96"/>
  <c r="B17" i="96"/>
  <c r="C55" i="95"/>
  <c r="H17" i="96" l="1"/>
  <c r="G17" i="96"/>
  <c r="F17" i="96"/>
  <c r="B18" i="96"/>
  <c r="D24" i="95"/>
  <c r="B60" i="95"/>
  <c r="D49" i="95"/>
  <c r="C49" i="95"/>
  <c r="D48" i="95"/>
  <c r="C48" i="95"/>
  <c r="D47" i="95"/>
  <c r="C47" i="95"/>
  <c r="D46" i="95"/>
  <c r="C46" i="95"/>
  <c r="C45" i="95"/>
  <c r="E25" i="95"/>
  <c r="E26" i="95" s="1"/>
  <c r="E27" i="95" s="1"/>
  <c r="E28" i="95" s="1"/>
  <c r="E29" i="95" s="1"/>
  <c r="E30" i="95" s="1"/>
  <c r="E31" i="95" s="1"/>
  <c r="E32" i="95" s="1"/>
  <c r="E33" i="95" s="1"/>
  <c r="E34" i="95" s="1"/>
  <c r="E35" i="95" s="1"/>
  <c r="E36" i="95" s="1"/>
  <c r="E37" i="95" s="1"/>
  <c r="B11" i="95"/>
  <c r="B12" i="95" s="1"/>
  <c r="B13" i="95" s="1"/>
  <c r="B14" i="95" s="1"/>
  <c r="B15" i="95" s="1"/>
  <c r="B16" i="95" s="1"/>
  <c r="B17" i="95" s="1"/>
  <c r="B18" i="95" s="1"/>
  <c r="B19" i="95" s="1"/>
  <c r="B20" i="95" s="1"/>
  <c r="B3" i="95"/>
  <c r="C52" i="95" s="1"/>
  <c r="B9" i="95" s="1"/>
  <c r="H18" i="96" l="1"/>
  <c r="G18" i="96"/>
  <c r="F18" i="96"/>
  <c r="B19" i="96"/>
  <c r="B21" i="95"/>
  <c r="F24" i="94"/>
  <c r="F25" i="94" s="1"/>
  <c r="F26" i="94" s="1"/>
  <c r="F27" i="94" s="1"/>
  <c r="F28" i="94" s="1"/>
  <c r="F29" i="94" s="1"/>
  <c r="F30" i="94" s="1"/>
  <c r="F31" i="94" s="1"/>
  <c r="F32" i="94" s="1"/>
  <c r="F33" i="94" s="1"/>
  <c r="F34" i="94" s="1"/>
  <c r="F35" i="94" s="1"/>
  <c r="F36" i="94" s="1"/>
  <c r="F37" i="94" s="1"/>
  <c r="E24" i="94"/>
  <c r="E25" i="94" s="1"/>
  <c r="E26" i="94" s="1"/>
  <c r="E27" i="94" s="1"/>
  <c r="E28" i="94" s="1"/>
  <c r="E29" i="94" s="1"/>
  <c r="E30" i="94" s="1"/>
  <c r="E31" i="94" s="1"/>
  <c r="E32" i="94" s="1"/>
  <c r="E33" i="94" s="1"/>
  <c r="E34" i="94" s="1"/>
  <c r="E35" i="94" s="1"/>
  <c r="E36" i="94" s="1"/>
  <c r="E37" i="94" s="1"/>
  <c r="D47" i="94"/>
  <c r="D46" i="94"/>
  <c r="C56" i="94"/>
  <c r="C55" i="94"/>
  <c r="E23" i="94"/>
  <c r="C23" i="94"/>
  <c r="F23" i="94"/>
  <c r="D49" i="94"/>
  <c r="C49" i="94"/>
  <c r="D48" i="94"/>
  <c r="C48" i="94"/>
  <c r="C47" i="94"/>
  <c r="C46" i="94"/>
  <c r="C45" i="94"/>
  <c r="B12" i="94"/>
  <c r="B13" i="94" s="1"/>
  <c r="B14" i="94" s="1"/>
  <c r="B15" i="94" s="1"/>
  <c r="B16" i="94" s="1"/>
  <c r="B17" i="94" s="1"/>
  <c r="B18" i="94" s="1"/>
  <c r="B19" i="94" s="1"/>
  <c r="B20" i="94" s="1"/>
  <c r="B21" i="94" s="1"/>
  <c r="B22" i="94" s="1"/>
  <c r="B23" i="94" s="1"/>
  <c r="B24" i="94" s="1"/>
  <c r="B25" i="94" s="1"/>
  <c r="B26" i="94" s="1"/>
  <c r="B27" i="94" s="1"/>
  <c r="B28" i="94" s="1"/>
  <c r="B29" i="94" s="1"/>
  <c r="B30" i="94" s="1"/>
  <c r="B31" i="94" s="1"/>
  <c r="B32" i="94" s="1"/>
  <c r="B33" i="94" s="1"/>
  <c r="B34" i="94" s="1"/>
  <c r="B35" i="94" s="1"/>
  <c r="B36" i="94" s="1"/>
  <c r="B37" i="94" s="1"/>
  <c r="B11" i="94"/>
  <c r="H19" i="96" l="1"/>
  <c r="G19" i="96"/>
  <c r="F19" i="96"/>
  <c r="B20" i="96"/>
  <c r="B3" i="94"/>
  <c r="C52" i="94" s="1"/>
  <c r="B9" i="94" s="1"/>
  <c r="B22" i="95"/>
  <c r="D23" i="94"/>
  <c r="D24" i="94" s="1"/>
  <c r="D25" i="94" s="1"/>
  <c r="K25" i="94" s="1"/>
  <c r="H20" i="96" l="1"/>
  <c r="G20" i="96"/>
  <c r="F20" i="96"/>
  <c r="B21" i="96"/>
  <c r="K23" i="94"/>
  <c r="G24" i="94"/>
  <c r="I24" i="94" s="1"/>
  <c r="J24" i="94" s="1"/>
  <c r="G25" i="94"/>
  <c r="I25" i="94" s="1"/>
  <c r="J25" i="94" s="1"/>
  <c r="K24" i="94"/>
  <c r="D26" i="94"/>
  <c r="G23" i="94"/>
  <c r="I23" i="94" s="1"/>
  <c r="J23" i="94" s="1"/>
  <c r="B23" i="95"/>
  <c r="H21" i="96" l="1"/>
  <c r="G21" i="96"/>
  <c r="F21" i="96"/>
  <c r="B22" i="96"/>
  <c r="D27" i="94"/>
  <c r="G26" i="94"/>
  <c r="I26" i="94" s="1"/>
  <c r="J26" i="94" s="1"/>
  <c r="K26" i="94"/>
  <c r="B24" i="95"/>
  <c r="H22" i="96" l="1"/>
  <c r="G22" i="96"/>
  <c r="F22" i="96"/>
  <c r="B23" i="96"/>
  <c r="K27" i="94"/>
  <c r="D28" i="94"/>
  <c r="G27" i="94"/>
  <c r="I27" i="94" s="1"/>
  <c r="J27" i="94" s="1"/>
  <c r="B25" i="95"/>
  <c r="D25" i="95"/>
  <c r="H23" i="96" l="1"/>
  <c r="G23" i="96"/>
  <c r="F23" i="96"/>
  <c r="B33" i="96"/>
  <c r="K28" i="94"/>
  <c r="D29" i="94"/>
  <c r="G28" i="94"/>
  <c r="I28" i="94" s="1"/>
  <c r="J28" i="94" s="1"/>
  <c r="D26" i="95"/>
  <c r="B26" i="95"/>
  <c r="K29" i="94" l="1"/>
  <c r="D30" i="94"/>
  <c r="G29" i="94"/>
  <c r="I29" i="94" s="1"/>
  <c r="J29" i="94" s="1"/>
  <c r="D27" i="95"/>
  <c r="B27" i="95"/>
  <c r="D31" i="94" l="1"/>
  <c r="G30" i="94"/>
  <c r="I30" i="94" s="1"/>
  <c r="J30" i="94" s="1"/>
  <c r="K30" i="94"/>
  <c r="B28" i="95"/>
  <c r="D28" i="95"/>
  <c r="G31" i="94" l="1"/>
  <c r="I31" i="94" s="1"/>
  <c r="J31" i="94" s="1"/>
  <c r="K31" i="94"/>
  <c r="D32" i="94"/>
  <c r="D29" i="95"/>
  <c r="B29" i="95"/>
  <c r="G32" i="94" l="1"/>
  <c r="I32" i="94" s="1"/>
  <c r="J32" i="94" s="1"/>
  <c r="D33" i="94"/>
  <c r="K32" i="94"/>
  <c r="B30" i="95"/>
  <c r="B31" i="95" s="1"/>
  <c r="B32" i="95" s="1"/>
  <c r="B33" i="95" s="1"/>
  <c r="B34" i="95" s="1"/>
  <c r="B35" i="95" s="1"/>
  <c r="B36" i="95" s="1"/>
  <c r="B37" i="95" s="1"/>
  <c r="D30" i="95"/>
  <c r="K33" i="94" l="1"/>
  <c r="D34" i="94"/>
  <c r="G33" i="94"/>
  <c r="I33" i="94" s="1"/>
  <c r="J33" i="94" s="1"/>
  <c r="D31" i="95"/>
  <c r="G34" i="94" l="1"/>
  <c r="I34" i="94" s="1"/>
  <c r="J34" i="94" s="1"/>
  <c r="K34" i="94"/>
  <c r="D35" i="94"/>
  <c r="D32" i="95"/>
  <c r="G35" i="94" l="1"/>
  <c r="I35" i="94" s="1"/>
  <c r="J35" i="94" s="1"/>
  <c r="D36" i="94"/>
  <c r="K35" i="94"/>
  <c r="D33" i="95"/>
  <c r="C56" i="89"/>
  <c r="E24" i="89"/>
  <c r="C55" i="89"/>
  <c r="C24" i="89"/>
  <c r="O55" i="89"/>
  <c r="C56" i="88"/>
  <c r="C55" i="88"/>
  <c r="C26" i="92"/>
  <c r="D26" i="92" s="1"/>
  <c r="C56" i="92"/>
  <c r="E26" i="92" s="1"/>
  <c r="C55" i="92"/>
  <c r="G36" i="94" l="1"/>
  <c r="I36" i="94" s="1"/>
  <c r="J36" i="94" s="1"/>
  <c r="K36" i="94"/>
  <c r="D37" i="94"/>
  <c r="D34" i="95"/>
  <c r="B60" i="92"/>
  <c r="D49" i="92"/>
  <c r="C49" i="92"/>
  <c r="D48" i="92"/>
  <c r="C48" i="92"/>
  <c r="D47" i="92"/>
  <c r="C47" i="92"/>
  <c r="D46" i="92"/>
  <c r="C46" i="92"/>
  <c r="C45" i="92"/>
  <c r="E27" i="92"/>
  <c r="E28" i="92" s="1"/>
  <c r="E29" i="92" s="1"/>
  <c r="E30" i="92" s="1"/>
  <c r="E31" i="92" s="1"/>
  <c r="E32" i="92" s="1"/>
  <c r="E33" i="92" s="1"/>
  <c r="E34" i="92" s="1"/>
  <c r="E35" i="92" s="1"/>
  <c r="E36" i="92" s="1"/>
  <c r="E37" i="92" s="1"/>
  <c r="B12" i="92"/>
  <c r="B13" i="92" s="1"/>
  <c r="B14" i="92" s="1"/>
  <c r="B15" i="92" s="1"/>
  <c r="B16" i="92" s="1"/>
  <c r="B17" i="92" s="1"/>
  <c r="B18" i="92" s="1"/>
  <c r="B19" i="92" s="1"/>
  <c r="B20" i="92" s="1"/>
  <c r="B11" i="92"/>
  <c r="B3" i="92"/>
  <c r="C52" i="92" s="1"/>
  <c r="B9" i="92" s="1"/>
  <c r="BK9" i="25"/>
  <c r="BJ9" i="25"/>
  <c r="BI9" i="25"/>
  <c r="BH9" i="25"/>
  <c r="BL9" i="25"/>
  <c r="K37" i="94" l="1"/>
  <c r="G37" i="94"/>
  <c r="I37" i="94" s="1"/>
  <c r="J37" i="94" s="1"/>
  <c r="D35" i="95"/>
  <c r="B21" i="92"/>
  <c r="D36" i="95" l="1"/>
  <c r="B22" i="92"/>
  <c r="D37" i="95" l="1"/>
  <c r="B23" i="92"/>
  <c r="E27" i="91"/>
  <c r="C27" i="91"/>
  <c r="D27" i="91" s="1"/>
  <c r="B60" i="91"/>
  <c r="D49" i="91"/>
  <c r="C49" i="91"/>
  <c r="D48" i="91"/>
  <c r="C48" i="91"/>
  <c r="D47" i="91"/>
  <c r="C47" i="91"/>
  <c r="D46" i="91"/>
  <c r="C46" i="91"/>
  <c r="C45" i="91"/>
  <c r="E28" i="91"/>
  <c r="E29" i="91" s="1"/>
  <c r="E30" i="91" s="1"/>
  <c r="E31" i="91" s="1"/>
  <c r="E32" i="91" s="1"/>
  <c r="E33" i="91" s="1"/>
  <c r="E34" i="91" s="1"/>
  <c r="E35" i="91" s="1"/>
  <c r="E36" i="91" s="1"/>
  <c r="E37" i="91" s="1"/>
  <c r="B12" i="91"/>
  <c r="B13" i="91" s="1"/>
  <c r="B14" i="91" s="1"/>
  <c r="B15" i="91" s="1"/>
  <c r="B11" i="91"/>
  <c r="B3" i="91"/>
  <c r="C52" i="91" s="1"/>
  <c r="B9" i="91" s="1"/>
  <c r="E25" i="90"/>
  <c r="C25" i="90"/>
  <c r="D25" i="90" s="1"/>
  <c r="B60" i="90"/>
  <c r="D49" i="90"/>
  <c r="C49" i="90"/>
  <c r="D48" i="90"/>
  <c r="C48" i="90"/>
  <c r="D47" i="90"/>
  <c r="C47" i="90"/>
  <c r="D46" i="90"/>
  <c r="C46" i="90"/>
  <c r="C45" i="90"/>
  <c r="E26" i="90"/>
  <c r="E27" i="90" s="1"/>
  <c r="E28" i="90" s="1"/>
  <c r="E29" i="90" s="1"/>
  <c r="E30" i="90" s="1"/>
  <c r="E31" i="90" s="1"/>
  <c r="E32" i="90" s="1"/>
  <c r="E33" i="90" s="1"/>
  <c r="E34" i="90" s="1"/>
  <c r="E35" i="90" s="1"/>
  <c r="E36" i="90" s="1"/>
  <c r="E37" i="90" s="1"/>
  <c r="B11" i="90"/>
  <c r="B12" i="90" s="1"/>
  <c r="B13" i="90" s="1"/>
  <c r="B14" i="90" s="1"/>
  <c r="B15" i="90" s="1"/>
  <c r="B3" i="90"/>
  <c r="C52" i="90" s="1"/>
  <c r="B9" i="90" s="1"/>
  <c r="B60" i="89"/>
  <c r="D49" i="89"/>
  <c r="C49" i="89"/>
  <c r="D48" i="89"/>
  <c r="C48" i="89"/>
  <c r="D47" i="89"/>
  <c r="C47" i="89"/>
  <c r="D46" i="89"/>
  <c r="C46" i="89"/>
  <c r="C45" i="89"/>
  <c r="E25" i="89"/>
  <c r="E26" i="89" s="1"/>
  <c r="E27" i="89" s="1"/>
  <c r="E28" i="89" s="1"/>
  <c r="E29" i="89" s="1"/>
  <c r="E30" i="89" s="1"/>
  <c r="E31" i="89" s="1"/>
  <c r="E32" i="89" s="1"/>
  <c r="E33" i="89" s="1"/>
  <c r="E34" i="89" s="1"/>
  <c r="E35" i="89" s="1"/>
  <c r="E36" i="89" s="1"/>
  <c r="E37" i="89" s="1"/>
  <c r="D24" i="89"/>
  <c r="B11" i="89"/>
  <c r="B3" i="89"/>
  <c r="C52" i="89" s="1"/>
  <c r="B9" i="89" s="1"/>
  <c r="E24" i="88"/>
  <c r="C24" i="88"/>
  <c r="D24" i="88" s="1"/>
  <c r="B60" i="88"/>
  <c r="D49" i="88"/>
  <c r="C49" i="88"/>
  <c r="D48" i="88"/>
  <c r="C48" i="88"/>
  <c r="D47" i="88"/>
  <c r="C47" i="88"/>
  <c r="D46" i="88"/>
  <c r="C46" i="88"/>
  <c r="C45" i="88"/>
  <c r="E25" i="88"/>
  <c r="E26" i="88" s="1"/>
  <c r="E27" i="88" s="1"/>
  <c r="E28" i="88" s="1"/>
  <c r="E29" i="88" s="1"/>
  <c r="E30" i="88" s="1"/>
  <c r="E31" i="88" s="1"/>
  <c r="E32" i="88" s="1"/>
  <c r="E33" i="88" s="1"/>
  <c r="E34" i="88" s="1"/>
  <c r="E35" i="88" s="1"/>
  <c r="E36" i="88" s="1"/>
  <c r="E37" i="88" s="1"/>
  <c r="B11" i="88"/>
  <c r="B3" i="88"/>
  <c r="C52" i="88" s="1"/>
  <c r="B9" i="88" s="1"/>
  <c r="B12" i="88" l="1"/>
  <c r="B13" i="88" s="1"/>
  <c r="B14" i="88" s="1"/>
  <c r="B15" i="88" s="1"/>
  <c r="B16" i="88" s="1"/>
  <c r="B17" i="88" s="1"/>
  <c r="B18" i="88" s="1"/>
  <c r="B19" i="88" s="1"/>
  <c r="B20" i="88" s="1"/>
  <c r="B21" i="88" s="1"/>
  <c r="B22" i="88" s="1"/>
  <c r="B23" i="88" s="1"/>
  <c r="B24" i="88" s="1"/>
  <c r="B25" i="88" s="1"/>
  <c r="B26" i="88" s="1"/>
  <c r="B27" i="88" s="1"/>
  <c r="B28" i="88" s="1"/>
  <c r="B29" i="88" s="1"/>
  <c r="B30" i="88" s="1"/>
  <c r="B31" i="88" s="1"/>
  <c r="B32" i="88" s="1"/>
  <c r="B33" i="88" s="1"/>
  <c r="B34" i="88" s="1"/>
  <c r="B35" i="88" s="1"/>
  <c r="B36" i="88" s="1"/>
  <c r="B37" i="88" s="1"/>
  <c r="B12" i="89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27" i="89" s="1"/>
  <c r="B28" i="89" s="1"/>
  <c r="B29" i="89" s="1"/>
  <c r="B30" i="89" s="1"/>
  <c r="B31" i="89" s="1"/>
  <c r="B32" i="89" s="1"/>
  <c r="B33" i="89" s="1"/>
  <c r="B34" i="89" s="1"/>
  <c r="B35" i="89" s="1"/>
  <c r="B36" i="89" s="1"/>
  <c r="B37" i="89" s="1"/>
  <c r="B16" i="90"/>
  <c r="B17" i="90" s="1"/>
  <c r="B18" i="90" s="1"/>
  <c r="B19" i="90" s="1"/>
  <c r="B20" i="90" s="1"/>
  <c r="B21" i="90" s="1"/>
  <c r="B22" i="90" s="1"/>
  <c r="B23" i="90" s="1"/>
  <c r="B24" i="90" s="1"/>
  <c r="B25" i="90" s="1"/>
  <c r="B26" i="90" s="1"/>
  <c r="B27" i="90" s="1"/>
  <c r="B28" i="90" s="1"/>
  <c r="B29" i="90" s="1"/>
  <c r="B30" i="90" s="1"/>
  <c r="B31" i="90" s="1"/>
  <c r="B32" i="90" s="1"/>
  <c r="B33" i="90" s="1"/>
  <c r="B34" i="90" s="1"/>
  <c r="B35" i="90" s="1"/>
  <c r="B36" i="90" s="1"/>
  <c r="B37" i="90" s="1"/>
  <c r="B16" i="91"/>
  <c r="B24" i="92"/>
  <c r="D25" i="89"/>
  <c r="E22" i="87"/>
  <c r="D22" i="87"/>
  <c r="C22" i="87"/>
  <c r="B17" i="91" l="1"/>
  <c r="B25" i="92"/>
  <c r="D26" i="90"/>
  <c r="D26" i="89"/>
  <c r="B18" i="91" l="1"/>
  <c r="D27" i="92"/>
  <c r="B26" i="92"/>
  <c r="D28" i="91"/>
  <c r="D27" i="90"/>
  <c r="D27" i="89"/>
  <c r="D25" i="88"/>
  <c r="B19" i="91" l="1"/>
  <c r="B27" i="92"/>
  <c r="D28" i="92"/>
  <c r="D29" i="91"/>
  <c r="D28" i="90"/>
  <c r="D28" i="89"/>
  <c r="D26" i="88"/>
  <c r="B20" i="91" l="1"/>
  <c r="D29" i="92"/>
  <c r="B28" i="92"/>
  <c r="D30" i="91"/>
  <c r="D29" i="90"/>
  <c r="D29" i="89"/>
  <c r="D27" i="88"/>
  <c r="B21" i="91" l="1"/>
  <c r="B29" i="92"/>
  <c r="D30" i="92"/>
  <c r="D31" i="91"/>
  <c r="D30" i="90"/>
  <c r="D30" i="89"/>
  <c r="D28" i="88"/>
  <c r="B22" i="91" l="1"/>
  <c r="D31" i="92"/>
  <c r="B30" i="92"/>
  <c r="B31" i="92" s="1"/>
  <c r="B32" i="92" s="1"/>
  <c r="B33" i="92" s="1"/>
  <c r="B34" i="92" s="1"/>
  <c r="B35" i="92" s="1"/>
  <c r="B36" i="92" s="1"/>
  <c r="B37" i="92" s="1"/>
  <c r="D32" i="91"/>
  <c r="D31" i="90"/>
  <c r="D31" i="89"/>
  <c r="D29" i="88"/>
  <c r="B23" i="91" l="1"/>
  <c r="D32" i="92"/>
  <c r="D33" i="91"/>
  <c r="D32" i="90"/>
  <c r="D32" i="89"/>
  <c r="D30" i="88"/>
  <c r="B24" i="91" l="1"/>
  <c r="D33" i="92"/>
  <c r="D34" i="91"/>
  <c r="D33" i="90"/>
  <c r="D33" i="89"/>
  <c r="D31" i="88"/>
  <c r="B25" i="91" l="1"/>
  <c r="D34" i="92"/>
  <c r="D35" i="91"/>
  <c r="D34" i="90"/>
  <c r="D34" i="89"/>
  <c r="D32" i="88"/>
  <c r="B26" i="91" l="1"/>
  <c r="D35" i="92"/>
  <c r="D36" i="91"/>
  <c r="D35" i="90"/>
  <c r="D35" i="89"/>
  <c r="D33" i="88"/>
  <c r="C67" i="87"/>
  <c r="C68" i="87" s="1"/>
  <c r="B60" i="87"/>
  <c r="D49" i="87"/>
  <c r="C49" i="87"/>
  <c r="D48" i="87"/>
  <c r="C48" i="87"/>
  <c r="D47" i="87"/>
  <c r="C47" i="87"/>
  <c r="D46" i="87"/>
  <c r="C46" i="87"/>
  <c r="C45" i="87"/>
  <c r="E23" i="87"/>
  <c r="E24" i="87" s="1"/>
  <c r="E25" i="87" s="1"/>
  <c r="E26" i="87" s="1"/>
  <c r="E27" i="87" s="1"/>
  <c r="E28" i="87" s="1"/>
  <c r="E29" i="87" s="1"/>
  <c r="E30" i="87" s="1"/>
  <c r="E31" i="87" s="1"/>
  <c r="E32" i="87" s="1"/>
  <c r="E33" i="87" s="1"/>
  <c r="E34" i="87" s="1"/>
  <c r="E35" i="87" s="1"/>
  <c r="E36" i="87" s="1"/>
  <c r="E37" i="87" s="1"/>
  <c r="B11" i="87"/>
  <c r="B12" i="87" s="1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" i="87"/>
  <c r="C52" i="87" s="1"/>
  <c r="B9" i="87" s="1"/>
  <c r="B27" i="91" l="1"/>
  <c r="D36" i="92"/>
  <c r="D37" i="91"/>
  <c r="D36" i="90"/>
  <c r="D36" i="89"/>
  <c r="D34" i="88"/>
  <c r="C69" i="87"/>
  <c r="B28" i="91" l="1"/>
  <c r="D37" i="92"/>
  <c r="D37" i="90"/>
  <c r="D37" i="89"/>
  <c r="D35" i="88"/>
  <c r="C70" i="87"/>
  <c r="B29" i="91" l="1"/>
  <c r="D36" i="88"/>
  <c r="D23" i="87"/>
  <c r="C71" i="87"/>
  <c r="B30" i="91" l="1"/>
  <c r="D37" i="88"/>
  <c r="C72" i="87"/>
  <c r="D24" i="87"/>
  <c r="B31" i="91" l="1"/>
  <c r="D25" i="87"/>
  <c r="C73" i="87"/>
  <c r="B32" i="91" l="1"/>
  <c r="C74" i="87"/>
  <c r="D26" i="87"/>
  <c r="B33" i="91" l="1"/>
  <c r="D27" i="87"/>
  <c r="F66" i="87"/>
  <c r="B34" i="91" l="1"/>
  <c r="F67" i="87"/>
  <c r="D28" i="87"/>
  <c r="B35" i="91" l="1"/>
  <c r="D29" i="87"/>
  <c r="F68" i="87"/>
  <c r="B36" i="91" l="1"/>
  <c r="F69" i="87"/>
  <c r="D30" i="87"/>
  <c r="B37" i="91" l="1"/>
  <c r="D31" i="87"/>
  <c r="F70" i="87"/>
  <c r="F71" i="87" l="1"/>
  <c r="D32" i="87"/>
  <c r="D33" i="87" l="1"/>
  <c r="F72" i="87"/>
  <c r="F73" i="87" l="1"/>
  <c r="D34" i="87"/>
  <c r="D35" i="87" l="1"/>
  <c r="F74" i="87"/>
  <c r="I66" i="87" l="1"/>
  <c r="D36" i="87"/>
  <c r="D37" i="87" l="1"/>
  <c r="I67" i="87"/>
  <c r="I68" i="87" l="1"/>
  <c r="I69" i="87" l="1"/>
  <c r="I70" i="87" l="1"/>
  <c r="I71" i="87" l="1"/>
  <c r="I72" i="87" l="1"/>
  <c r="I73" i="87" l="1"/>
  <c r="I74" i="87" l="1"/>
  <c r="F28" i="85" l="1"/>
  <c r="F29" i="85" s="1"/>
  <c r="F30" i="85" s="1"/>
  <c r="F31" i="85" s="1"/>
  <c r="F32" i="85" s="1"/>
  <c r="F33" i="85" s="1"/>
  <c r="F34" i="85" s="1"/>
  <c r="F35" i="85" s="1"/>
  <c r="F36" i="85" s="1"/>
  <c r="F28" i="68"/>
  <c r="F29" i="68" s="1"/>
  <c r="F30" i="68" s="1"/>
  <c r="F31" i="68" s="1"/>
  <c r="F32" i="68" s="1"/>
  <c r="F33" i="68" s="1"/>
  <c r="F34" i="68" s="1"/>
  <c r="F35" i="68" s="1"/>
  <c r="F36" i="68" s="1"/>
  <c r="D23" i="86"/>
  <c r="D24" i="86" s="1"/>
  <c r="D25" i="86" s="1"/>
  <c r="D26" i="86" s="1"/>
  <c r="D27" i="86" s="1"/>
  <c r="D28" i="86" s="1"/>
  <c r="D29" i="86" s="1"/>
  <c r="D30" i="86" s="1"/>
  <c r="D31" i="86" s="1"/>
  <c r="D32" i="86" s="1"/>
  <c r="D33" i="86" s="1"/>
  <c r="D34" i="86" s="1"/>
  <c r="D35" i="86" s="1"/>
  <c r="D36" i="86" s="1"/>
  <c r="K26" i="86"/>
  <c r="K25" i="86"/>
  <c r="K24" i="86"/>
  <c r="K23" i="86"/>
  <c r="K22" i="86"/>
  <c r="D22" i="86" l="1"/>
  <c r="C22" i="86"/>
  <c r="C64" i="86"/>
  <c r="C78" i="86"/>
  <c r="C79" i="86" s="1"/>
  <c r="B73" i="86"/>
  <c r="L57" i="86"/>
  <c r="K57" i="86"/>
  <c r="C67" i="86"/>
  <c r="F22" i="86" s="1"/>
  <c r="F62" i="86"/>
  <c r="L58" i="86"/>
  <c r="K58" i="86"/>
  <c r="H58" i="86"/>
  <c r="G58" i="86"/>
  <c r="C58" i="86"/>
  <c r="H57" i="86"/>
  <c r="G57" i="86"/>
  <c r="I57" i="86" s="1"/>
  <c r="C57" i="86"/>
  <c r="J53" i="86"/>
  <c r="I53" i="86"/>
  <c r="G53" i="86"/>
  <c r="I52" i="86"/>
  <c r="G52" i="86"/>
  <c r="D46" i="86"/>
  <c r="C46" i="86"/>
  <c r="C45" i="86"/>
  <c r="D44" i="86"/>
  <c r="C44" i="86"/>
  <c r="D43" i="86"/>
  <c r="C43" i="86"/>
  <c r="C42" i="86"/>
  <c r="D41" i="86"/>
  <c r="C41" i="86"/>
  <c r="B15" i="86"/>
  <c r="B16" i="86" s="1"/>
  <c r="B17" i="86" s="1"/>
  <c r="B18" i="86" s="1"/>
  <c r="B19" i="86" s="1"/>
  <c r="B20" i="86" s="1"/>
  <c r="B21" i="86" s="1"/>
  <c r="B22" i="86" s="1"/>
  <c r="B23" i="86" s="1"/>
  <c r="B24" i="86" s="1"/>
  <c r="B25" i="86" s="1"/>
  <c r="B26" i="86" s="1"/>
  <c r="B27" i="86" s="1"/>
  <c r="B28" i="86" s="1"/>
  <c r="B12" i="86"/>
  <c r="B5" i="86"/>
  <c r="K57" i="85"/>
  <c r="C64" i="85"/>
  <c r="J14" i="85"/>
  <c r="J15" i="85" s="1"/>
  <c r="J16" i="85" s="1"/>
  <c r="J17" i="85" s="1"/>
  <c r="J18" i="85" s="1"/>
  <c r="J19" i="85" s="1"/>
  <c r="J20" i="85" s="1"/>
  <c r="J21" i="85" s="1"/>
  <c r="J22" i="85" s="1"/>
  <c r="J23" i="85" s="1"/>
  <c r="J24" i="85" s="1"/>
  <c r="J25" i="85" s="1"/>
  <c r="J26" i="85" s="1"/>
  <c r="J27" i="85" s="1"/>
  <c r="J28" i="85" s="1"/>
  <c r="J29" i="85" s="1"/>
  <c r="J30" i="85" s="1"/>
  <c r="J31" i="85" s="1"/>
  <c r="J32" i="85" s="1"/>
  <c r="J33" i="85" s="1"/>
  <c r="J34" i="85" s="1"/>
  <c r="J35" i="85" s="1"/>
  <c r="J36" i="85" s="1"/>
  <c r="B73" i="85"/>
  <c r="D41" i="85"/>
  <c r="L57" i="85"/>
  <c r="C67" i="85"/>
  <c r="J52" i="85" s="1"/>
  <c r="I52" i="85"/>
  <c r="F62" i="85"/>
  <c r="L58" i="85"/>
  <c r="K58" i="85"/>
  <c r="I58" i="85"/>
  <c r="H58" i="85"/>
  <c r="G58" i="85"/>
  <c r="C58" i="85"/>
  <c r="H57" i="85"/>
  <c r="I57" i="85" s="1"/>
  <c r="G57" i="85"/>
  <c r="G59" i="85" s="1"/>
  <c r="C57" i="85"/>
  <c r="J53" i="85"/>
  <c r="I53" i="85"/>
  <c r="G53" i="85"/>
  <c r="G52" i="85"/>
  <c r="D46" i="85"/>
  <c r="C46" i="85"/>
  <c r="C45" i="85"/>
  <c r="D44" i="85"/>
  <c r="C44" i="85"/>
  <c r="D43" i="85"/>
  <c r="C43" i="85"/>
  <c r="C42" i="85"/>
  <c r="C41" i="85"/>
  <c r="C27" i="85"/>
  <c r="B15" i="85"/>
  <c r="B16" i="85" s="1"/>
  <c r="B17" i="85" s="1"/>
  <c r="B18" i="85" s="1"/>
  <c r="B19" i="85" s="1"/>
  <c r="B20" i="85" s="1"/>
  <c r="B21" i="85" s="1"/>
  <c r="B22" i="85" s="1"/>
  <c r="B23" i="85" s="1"/>
  <c r="B24" i="85" s="1"/>
  <c r="B25" i="85" s="1"/>
  <c r="B26" i="85" s="1"/>
  <c r="B27" i="85" s="1"/>
  <c r="B28" i="85" s="1"/>
  <c r="B12" i="85"/>
  <c r="B5" i="85"/>
  <c r="C56" i="82"/>
  <c r="C55" i="82"/>
  <c r="E24" i="82"/>
  <c r="E25" i="82" s="1"/>
  <c r="E26" i="82" s="1"/>
  <c r="E27" i="82" s="1"/>
  <c r="E28" i="82" s="1"/>
  <c r="E29" i="82" s="1"/>
  <c r="E30" i="82" s="1"/>
  <c r="E31" i="82" s="1"/>
  <c r="E32" i="82" s="1"/>
  <c r="E33" i="82" s="1"/>
  <c r="E34" i="82" s="1"/>
  <c r="E35" i="82" s="1"/>
  <c r="E36" i="82" s="1"/>
  <c r="E37" i="82" s="1"/>
  <c r="E24" i="43"/>
  <c r="E25" i="43" s="1"/>
  <c r="E26" i="43" s="1"/>
  <c r="E27" i="43" s="1"/>
  <c r="E28" i="43" s="1"/>
  <c r="E29" i="43" s="1"/>
  <c r="E30" i="43" s="1"/>
  <c r="E31" i="43" s="1"/>
  <c r="E32" i="43" s="1"/>
  <c r="E33" i="43" s="1"/>
  <c r="E34" i="43" s="1"/>
  <c r="E35" i="43" s="1"/>
  <c r="E36" i="43" s="1"/>
  <c r="E37" i="43" s="1"/>
  <c r="C56" i="43"/>
  <c r="C55" i="43"/>
  <c r="E20" i="84"/>
  <c r="E21" i="84" s="1"/>
  <c r="E22" i="84" s="1"/>
  <c r="E23" i="84" s="1"/>
  <c r="E24" i="84" s="1"/>
  <c r="E25" i="84" s="1"/>
  <c r="E26" i="84" s="1"/>
  <c r="E27" i="84" s="1"/>
  <c r="E28" i="84" s="1"/>
  <c r="E29" i="84" s="1"/>
  <c r="E30" i="84" s="1"/>
  <c r="E31" i="84" s="1"/>
  <c r="E32" i="84" s="1"/>
  <c r="E33" i="84" s="1"/>
  <c r="E34" i="84" s="1"/>
  <c r="E35" i="84" s="1"/>
  <c r="E36" i="84" s="1"/>
  <c r="E37" i="84" s="1"/>
  <c r="C56" i="83"/>
  <c r="E20" i="83" s="1"/>
  <c r="E21" i="83" s="1"/>
  <c r="E22" i="83" s="1"/>
  <c r="E23" i="83" s="1"/>
  <c r="E24" i="83" s="1"/>
  <c r="E25" i="83" s="1"/>
  <c r="E26" i="83" s="1"/>
  <c r="E27" i="83" s="1"/>
  <c r="E28" i="83" s="1"/>
  <c r="E29" i="83" s="1"/>
  <c r="E30" i="83" s="1"/>
  <c r="E31" i="83" s="1"/>
  <c r="E32" i="83" s="1"/>
  <c r="E33" i="83" s="1"/>
  <c r="E34" i="83" s="1"/>
  <c r="E35" i="83" s="1"/>
  <c r="E36" i="83" s="1"/>
  <c r="E37" i="83" s="1"/>
  <c r="D27" i="85" l="1"/>
  <c r="D28" i="85" s="1"/>
  <c r="D29" i="85" s="1"/>
  <c r="D30" i="85" s="1"/>
  <c r="D31" i="85" s="1"/>
  <c r="D32" i="85" s="1"/>
  <c r="D33" i="85" s="1"/>
  <c r="D34" i="85" s="1"/>
  <c r="D35" i="85" s="1"/>
  <c r="D36" i="85" s="1"/>
  <c r="M22" i="86"/>
  <c r="F23" i="86"/>
  <c r="F24" i="86" s="1"/>
  <c r="F25" i="86" s="1"/>
  <c r="F26" i="86" s="1"/>
  <c r="F27" i="86" s="1"/>
  <c r="F28" i="86" s="1"/>
  <c r="F29" i="86" s="1"/>
  <c r="F30" i="86" s="1"/>
  <c r="F31" i="86" s="1"/>
  <c r="F32" i="86" s="1"/>
  <c r="F33" i="86" s="1"/>
  <c r="F34" i="86" s="1"/>
  <c r="F35" i="86" s="1"/>
  <c r="F36" i="86" s="1"/>
  <c r="J52" i="86"/>
  <c r="G14" i="86"/>
  <c r="G15" i="86" s="1"/>
  <c r="G16" i="86" s="1"/>
  <c r="G17" i="86" s="1"/>
  <c r="G18" i="86" s="1"/>
  <c r="G19" i="86" s="1"/>
  <c r="G20" i="86" s="1"/>
  <c r="G21" i="86" s="1"/>
  <c r="G22" i="86" s="1"/>
  <c r="G23" i="86" s="1"/>
  <c r="G24" i="86" s="1"/>
  <c r="G25" i="86" s="1"/>
  <c r="G26" i="86" s="1"/>
  <c r="G27" i="86" s="1"/>
  <c r="G28" i="86" s="1"/>
  <c r="G29" i="86" s="1"/>
  <c r="G30" i="86" s="1"/>
  <c r="G31" i="86" s="1"/>
  <c r="G32" i="86" s="1"/>
  <c r="G33" i="86" s="1"/>
  <c r="G34" i="86" s="1"/>
  <c r="G35" i="86" s="1"/>
  <c r="G36" i="86" s="1"/>
  <c r="G59" i="86"/>
  <c r="B29" i="86"/>
  <c r="B30" i="86" s="1"/>
  <c r="B31" i="86" s="1"/>
  <c r="B32" i="86" s="1"/>
  <c r="B33" i="86" s="1"/>
  <c r="B34" i="86" s="1"/>
  <c r="B35" i="86" s="1"/>
  <c r="B36" i="86" s="1"/>
  <c r="C80" i="86"/>
  <c r="G54" i="86"/>
  <c r="H52" i="86" s="1"/>
  <c r="I58" i="86"/>
  <c r="I59" i="86" s="1"/>
  <c r="G14" i="85"/>
  <c r="G15" i="85" s="1"/>
  <c r="G16" i="85" s="1"/>
  <c r="G17" i="85" s="1"/>
  <c r="G18" i="85" s="1"/>
  <c r="G19" i="85" s="1"/>
  <c r="G20" i="85" s="1"/>
  <c r="G21" i="85" s="1"/>
  <c r="G22" i="85" s="1"/>
  <c r="G23" i="85" s="1"/>
  <c r="G24" i="85" s="1"/>
  <c r="G25" i="85" s="1"/>
  <c r="G26" i="85" s="1"/>
  <c r="G27" i="85" s="1"/>
  <c r="G28" i="85" s="1"/>
  <c r="G29" i="85" s="1"/>
  <c r="G30" i="85" s="1"/>
  <c r="G31" i="85" s="1"/>
  <c r="G32" i="85" s="1"/>
  <c r="G33" i="85" s="1"/>
  <c r="G34" i="85" s="1"/>
  <c r="G35" i="85" s="1"/>
  <c r="G36" i="85" s="1"/>
  <c r="B29" i="85"/>
  <c r="B30" i="85" s="1"/>
  <c r="B31" i="85" s="1"/>
  <c r="B32" i="85" s="1"/>
  <c r="B33" i="85" s="1"/>
  <c r="B34" i="85" s="1"/>
  <c r="B35" i="85" s="1"/>
  <c r="B36" i="85" s="1"/>
  <c r="I59" i="85"/>
  <c r="J57" i="85" s="1"/>
  <c r="G54" i="85"/>
  <c r="J54" i="85" s="1"/>
  <c r="H53" i="86" l="1"/>
  <c r="H54" i="86" s="1"/>
  <c r="H59" i="86"/>
  <c r="D42" i="86" s="1"/>
  <c r="J57" i="86"/>
  <c r="D72" i="86"/>
  <c r="J54" i="86"/>
  <c r="I54" i="86"/>
  <c r="C81" i="86"/>
  <c r="I54" i="85"/>
  <c r="H52" i="85"/>
  <c r="H53" i="85" s="1"/>
  <c r="H54" i="85" s="1"/>
  <c r="J58" i="85"/>
  <c r="J59" i="85" s="1"/>
  <c r="K59" i="85"/>
  <c r="H59" i="85"/>
  <c r="D42" i="85" s="1"/>
  <c r="D72" i="85"/>
  <c r="C82" i="86" l="1"/>
  <c r="J58" i="86"/>
  <c r="L59" i="86" s="1"/>
  <c r="K59" i="86"/>
  <c r="J59" i="86"/>
  <c r="L59" i="85"/>
  <c r="D45" i="85" s="1"/>
  <c r="D45" i="86" l="1"/>
  <c r="C83" i="86"/>
  <c r="C84" i="86" l="1"/>
  <c r="C85" i="86" l="1"/>
  <c r="G77" i="86" l="1"/>
  <c r="G78" i="86" l="1"/>
  <c r="G79" i="86" l="1"/>
  <c r="G80" i="86" l="1"/>
  <c r="G81" i="86" l="1"/>
  <c r="G82" i="86" l="1"/>
  <c r="M23" i="86" l="1"/>
  <c r="G83" i="86"/>
  <c r="M24" i="86" l="1"/>
  <c r="G84" i="86"/>
  <c r="M25" i="86" l="1"/>
  <c r="G85" i="86"/>
  <c r="M26" i="86" l="1"/>
  <c r="J77" i="86"/>
  <c r="J78" i="86" l="1"/>
  <c r="J79" i="86" l="1"/>
  <c r="J80" i="86" l="1"/>
  <c r="J81" i="86" l="1"/>
  <c r="J82" i="86" l="1"/>
  <c r="J83" i="86" l="1"/>
  <c r="J84" i="86" l="1"/>
  <c r="J85" i="86" l="1"/>
  <c r="H22" i="86" l="1"/>
  <c r="I22" i="86" s="1"/>
  <c r="L22" i="86" s="1"/>
  <c r="K27" i="86"/>
  <c r="K27" i="85"/>
  <c r="H27" i="85"/>
  <c r="H23" i="86" l="1"/>
  <c r="I23" i="86" s="1"/>
  <c r="L23" i="86" s="1"/>
  <c r="K28" i="86"/>
  <c r="K28" i="85"/>
  <c r="H28" i="85"/>
  <c r="H24" i="86" l="1"/>
  <c r="I24" i="86" s="1"/>
  <c r="L24" i="86" s="1"/>
  <c r="K29" i="86"/>
  <c r="H29" i="85"/>
  <c r="K29" i="85"/>
  <c r="H25" i="86" l="1"/>
  <c r="I25" i="86" s="1"/>
  <c r="L25" i="86" s="1"/>
  <c r="K30" i="86"/>
  <c r="K30" i="85"/>
  <c r="H30" i="85"/>
  <c r="H26" i="86" l="1"/>
  <c r="I26" i="86" s="1"/>
  <c r="L26" i="86" s="1"/>
  <c r="K31" i="86"/>
  <c r="K31" i="85"/>
  <c r="H31" i="85"/>
  <c r="H27" i="86" l="1"/>
  <c r="K32" i="86"/>
  <c r="H32" i="85"/>
  <c r="K32" i="85"/>
  <c r="H28" i="86" l="1"/>
  <c r="K33" i="86"/>
  <c r="K33" i="85"/>
  <c r="H33" i="85"/>
  <c r="H29" i="86" l="1"/>
  <c r="K34" i="86"/>
  <c r="H34" i="85"/>
  <c r="K34" i="85"/>
  <c r="H30" i="86" l="1"/>
  <c r="K36" i="86"/>
  <c r="K35" i="86"/>
  <c r="K36" i="85"/>
  <c r="K35" i="85"/>
  <c r="H35" i="85"/>
  <c r="H36" i="85"/>
  <c r="H31" i="86" l="1"/>
  <c r="C56" i="84"/>
  <c r="C55" i="84"/>
  <c r="D20" i="84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B60" i="84"/>
  <c r="D49" i="84"/>
  <c r="C49" i="84"/>
  <c r="D48" i="84"/>
  <c r="C48" i="84"/>
  <c r="D47" i="84"/>
  <c r="C47" i="84"/>
  <c r="D46" i="84"/>
  <c r="C46" i="84"/>
  <c r="C45" i="84"/>
  <c r="B11" i="84"/>
  <c r="B3" i="84"/>
  <c r="C52" i="84" s="1"/>
  <c r="B9" i="84" s="1"/>
  <c r="B12" i="84" l="1"/>
  <c r="B13" i="84" s="1"/>
  <c r="B14" i="84" s="1"/>
  <c r="B15" i="84" s="1"/>
  <c r="B16" i="84" s="1"/>
  <c r="B17" i="84" s="1"/>
  <c r="B18" i="84" s="1"/>
  <c r="B19" i="84" s="1"/>
  <c r="B20" i="84" s="1"/>
  <c r="H32" i="86"/>
  <c r="B21" i="84"/>
  <c r="H33" i="86" l="1"/>
  <c r="B22" i="84"/>
  <c r="H34" i="86" l="1"/>
  <c r="B23" i="84"/>
  <c r="H36" i="86" l="1"/>
  <c r="H35" i="86"/>
  <c r="B24" i="84"/>
  <c r="B25" i="84" l="1"/>
  <c r="B26" i="84" l="1"/>
  <c r="B27" i="84" l="1"/>
  <c r="B28" i="84" l="1"/>
  <c r="B29" i="84" l="1"/>
  <c r="B30" i="84" l="1"/>
  <c r="B31" i="84" l="1"/>
  <c r="B32" i="84" l="1"/>
  <c r="B33" i="84" l="1"/>
  <c r="B34" i="84" l="1"/>
  <c r="B35" i="84" l="1"/>
  <c r="B36" i="84" s="1"/>
  <c r="B37" i="84" s="1"/>
  <c r="AK20" i="47" l="1"/>
  <c r="B73" i="68"/>
  <c r="C64" i="68"/>
  <c r="C27" i="68" s="1"/>
  <c r="C55" i="83"/>
  <c r="D20" i="83"/>
  <c r="D21" i="83" s="1"/>
  <c r="D22" i="83" s="1"/>
  <c r="D23" i="83" s="1"/>
  <c r="D24" i="83" s="1"/>
  <c r="D25" i="83" s="1"/>
  <c r="D26" i="83" s="1"/>
  <c r="D27" i="83" s="1"/>
  <c r="D28" i="83" s="1"/>
  <c r="D29" i="83" s="1"/>
  <c r="D30" i="83" s="1"/>
  <c r="D31" i="83" s="1"/>
  <c r="D32" i="83" s="1"/>
  <c r="D33" i="83" s="1"/>
  <c r="D34" i="83" s="1"/>
  <c r="D35" i="83" s="1"/>
  <c r="D36" i="83" s="1"/>
  <c r="D37" i="83" s="1"/>
  <c r="B60" i="83"/>
  <c r="D49" i="83"/>
  <c r="C49" i="83"/>
  <c r="D48" i="83"/>
  <c r="C48" i="83"/>
  <c r="D47" i="83"/>
  <c r="C47" i="83"/>
  <c r="D46" i="83"/>
  <c r="C46" i="83"/>
  <c r="C45" i="83"/>
  <c r="B11" i="83"/>
  <c r="B3" i="83"/>
  <c r="C52" i="83" s="1"/>
  <c r="B9" i="83" s="1"/>
  <c r="J14" i="68"/>
  <c r="J15" i="68" s="1"/>
  <c r="J16" i="68" s="1"/>
  <c r="J17" i="68" s="1"/>
  <c r="J18" i="68" s="1"/>
  <c r="J19" i="68" s="1"/>
  <c r="J20" i="68" s="1"/>
  <c r="J21" i="68" s="1"/>
  <c r="J22" i="68" s="1"/>
  <c r="J23" i="68" s="1"/>
  <c r="J24" i="68" s="1"/>
  <c r="J25" i="68" s="1"/>
  <c r="J26" i="68" s="1"/>
  <c r="J27" i="68" s="1"/>
  <c r="J28" i="68" s="1"/>
  <c r="J29" i="68" s="1"/>
  <c r="J30" i="68" s="1"/>
  <c r="J31" i="68" s="1"/>
  <c r="J32" i="68" s="1"/>
  <c r="J33" i="68" s="1"/>
  <c r="J34" i="68" s="1"/>
  <c r="J35" i="68" s="1"/>
  <c r="J36" i="68" s="1"/>
  <c r="G14" i="68"/>
  <c r="G15" i="68" s="1"/>
  <c r="G16" i="68" s="1"/>
  <c r="G17" i="68" s="1"/>
  <c r="G18" i="68" s="1"/>
  <c r="G19" i="68" s="1"/>
  <c r="G20" i="68" s="1"/>
  <c r="G21" i="68" s="1"/>
  <c r="G22" i="68" s="1"/>
  <c r="G23" i="68" s="1"/>
  <c r="G24" i="68" s="1"/>
  <c r="G25" i="68" s="1"/>
  <c r="G26" i="68" s="1"/>
  <c r="G27" i="68" s="1"/>
  <c r="G28" i="68" s="1"/>
  <c r="G29" i="68" s="1"/>
  <c r="G30" i="68" s="1"/>
  <c r="G31" i="68" s="1"/>
  <c r="G32" i="68" s="1"/>
  <c r="G33" i="68" s="1"/>
  <c r="G34" i="68" s="1"/>
  <c r="G35" i="68" s="1"/>
  <c r="G36" i="68" s="1"/>
  <c r="B12" i="83" l="1"/>
  <c r="B13" i="83" s="1"/>
  <c r="B14" i="83" s="1"/>
  <c r="B15" i="83" s="1"/>
  <c r="B16" i="83" s="1"/>
  <c r="B17" i="83" s="1"/>
  <c r="B18" i="83" s="1"/>
  <c r="B19" i="83" s="1"/>
  <c r="B20" i="83" s="1"/>
  <c r="B21" i="83"/>
  <c r="B22" i="83" l="1"/>
  <c r="B23" i="83" l="1"/>
  <c r="B24" i="83" l="1"/>
  <c r="B25" i="83" l="1"/>
  <c r="B26" i="83" l="1"/>
  <c r="B27" i="83" l="1"/>
  <c r="B28" i="83" l="1"/>
  <c r="B29" i="83" l="1"/>
  <c r="B30" i="83" l="1"/>
  <c r="B31" i="83" s="1"/>
  <c r="B32" i="83" s="1"/>
  <c r="B33" i="83"/>
  <c r="B34" i="83" l="1"/>
  <c r="B35" i="83" l="1"/>
  <c r="B36" i="83" s="1"/>
  <c r="B37" i="83" s="1"/>
  <c r="H25" i="82" l="1"/>
  <c r="H26" i="82" s="1"/>
  <c r="H27" i="82" s="1"/>
  <c r="H28" i="82" s="1"/>
  <c r="H29" i="82" s="1"/>
  <c r="H30" i="82" s="1"/>
  <c r="H31" i="82" s="1"/>
  <c r="H32" i="82" s="1"/>
  <c r="H33" i="82" s="1"/>
  <c r="H34" i="82" s="1"/>
  <c r="H35" i="82" s="1"/>
  <c r="H36" i="82" s="1"/>
  <c r="H37" i="82" s="1"/>
  <c r="D24" i="82"/>
  <c r="D25" i="82" s="1"/>
  <c r="D26" i="82" s="1"/>
  <c r="D27" i="82" s="1"/>
  <c r="D28" i="82" s="1"/>
  <c r="D29" i="82" s="1"/>
  <c r="D30" i="82" s="1"/>
  <c r="D31" i="82" s="1"/>
  <c r="D32" i="82" s="1"/>
  <c r="D33" i="82" s="1"/>
  <c r="D34" i="82" s="1"/>
  <c r="D35" i="82" s="1"/>
  <c r="D36" i="82" s="1"/>
  <c r="D37" i="82" s="1"/>
  <c r="D49" i="82"/>
  <c r="C49" i="82"/>
  <c r="D48" i="82"/>
  <c r="C48" i="82"/>
  <c r="D47" i="82"/>
  <c r="C47" i="82"/>
  <c r="D46" i="82"/>
  <c r="C46" i="82"/>
  <c r="C45" i="82"/>
  <c r="B11" i="82"/>
  <c r="B3" i="82"/>
  <c r="C52" i="82" s="1"/>
  <c r="B9" i="82" s="1"/>
  <c r="B12" i="82" l="1"/>
  <c r="B13" i="82" s="1"/>
  <c r="B14" i="82" s="1"/>
  <c r="B15" i="82" s="1"/>
  <c r="B16" i="82" s="1"/>
  <c r="B17" i="82" s="1"/>
  <c r="B18" i="82" s="1"/>
  <c r="B19" i="82" s="1"/>
  <c r="B20" i="82" s="1"/>
  <c r="B21" i="82" s="1"/>
  <c r="BJ13" i="47"/>
  <c r="BK11" i="47"/>
  <c r="BM11" i="47" s="1"/>
  <c r="BJ10" i="47"/>
  <c r="BJ11" i="47" s="1"/>
  <c r="BJ12" i="47" s="1"/>
  <c r="BJ9" i="47"/>
  <c r="BE11" i="47"/>
  <c r="AZ16" i="47"/>
  <c r="AU24" i="47"/>
  <c r="AP24" i="47"/>
  <c r="AF17" i="47"/>
  <c r="V11" i="47"/>
  <c r="V9" i="47"/>
  <c r="B22" i="82" l="1"/>
  <c r="B23" i="82" s="1"/>
  <c r="B24" i="82" s="1"/>
  <c r="BL39" i="47"/>
  <c r="B25" i="82"/>
  <c r="BJ14" i="47"/>
  <c r="BJ15" i="47" s="1"/>
  <c r="BJ16" i="47" s="1"/>
  <c r="BJ17" i="47" s="1"/>
  <c r="BJ18" i="47"/>
  <c r="BJ19" i="47" s="1"/>
  <c r="BJ20" i="47" s="1"/>
  <c r="BJ21" i="47" s="1"/>
  <c r="BJ22" i="47" s="1"/>
  <c r="BJ23" i="47" s="1"/>
  <c r="BJ24" i="47" s="1"/>
  <c r="BJ25" i="47" s="1"/>
  <c r="BJ26" i="47" s="1"/>
  <c r="BJ27" i="47" s="1"/>
  <c r="BJ28" i="47" s="1"/>
  <c r="BJ29" i="47" s="1"/>
  <c r="BJ30" i="47" s="1"/>
  <c r="BJ31" i="47" s="1"/>
  <c r="BJ32" i="47" s="1"/>
  <c r="BK10" i="47"/>
  <c r="BM10" i="47" s="1"/>
  <c r="BK13" i="47"/>
  <c r="BK12" i="47"/>
  <c r="BM12" i="47" s="1"/>
  <c r="C60" i="89" l="1"/>
  <c r="F24" i="89" s="1"/>
  <c r="G24" i="89" s="1"/>
  <c r="I24" i="89" s="1"/>
  <c r="J24" i="89" s="1"/>
  <c r="C60" i="95"/>
  <c r="B26" i="82"/>
  <c r="BM13" i="47"/>
  <c r="BK14" i="47"/>
  <c r="F25" i="89" l="1"/>
  <c r="K25" i="89" s="1"/>
  <c r="K24" i="89"/>
  <c r="F24" i="95"/>
  <c r="F25" i="95" s="1"/>
  <c r="B27" i="82"/>
  <c r="BM14" i="47"/>
  <c r="BK15" i="47"/>
  <c r="G25" i="89" l="1"/>
  <c r="I25" i="89" s="1"/>
  <c r="J25" i="89" s="1"/>
  <c r="F26" i="89"/>
  <c r="F27" i="89" s="1"/>
  <c r="L24" i="95"/>
  <c r="G24" i="95"/>
  <c r="J24" i="95" s="1"/>
  <c r="K24" i="95" s="1"/>
  <c r="F26" i="95"/>
  <c r="L25" i="95"/>
  <c r="G25" i="95"/>
  <c r="J25" i="95" s="1"/>
  <c r="K25" i="95" s="1"/>
  <c r="B28" i="82"/>
  <c r="BM15" i="47"/>
  <c r="BK16" i="47"/>
  <c r="K26" i="89" l="1"/>
  <c r="G26" i="89"/>
  <c r="I26" i="89" s="1"/>
  <c r="J26" i="89" s="1"/>
  <c r="F27" i="95"/>
  <c r="L26" i="95"/>
  <c r="G26" i="95"/>
  <c r="J26" i="95" s="1"/>
  <c r="K26" i="95" s="1"/>
  <c r="F28" i="89"/>
  <c r="G27" i="89"/>
  <c r="I27" i="89" s="1"/>
  <c r="J27" i="89" s="1"/>
  <c r="K27" i="89"/>
  <c r="B29" i="82"/>
  <c r="BM16" i="47"/>
  <c r="BK17" i="47"/>
  <c r="H25" i="43"/>
  <c r="H26" i="43" s="1"/>
  <c r="H27" i="43" s="1"/>
  <c r="H28" i="43" s="1"/>
  <c r="H29" i="43" s="1"/>
  <c r="H30" i="43" s="1"/>
  <c r="H31" i="43" s="1"/>
  <c r="H32" i="43" s="1"/>
  <c r="H33" i="43" s="1"/>
  <c r="H34" i="43" s="1"/>
  <c r="H35" i="43" s="1"/>
  <c r="H36" i="43" s="1"/>
  <c r="H37" i="43" s="1"/>
  <c r="F28" i="95" l="1"/>
  <c r="L27" i="95"/>
  <c r="G27" i="95"/>
  <c r="J27" i="95" s="1"/>
  <c r="K27" i="95" s="1"/>
  <c r="F29" i="89"/>
  <c r="K28" i="89"/>
  <c r="G28" i="89"/>
  <c r="I28" i="89" s="1"/>
  <c r="J28" i="89" s="1"/>
  <c r="B30" i="82"/>
  <c r="BM17" i="47"/>
  <c r="D24" i="43"/>
  <c r="D25" i="43" s="1"/>
  <c r="D26" i="43" s="1"/>
  <c r="D27" i="43" s="1"/>
  <c r="D28" i="43" s="1"/>
  <c r="D29" i="43" s="1"/>
  <c r="D30" i="43" s="1"/>
  <c r="D31" i="43" s="1"/>
  <c r="D32" i="43" s="1"/>
  <c r="D33" i="43" s="1"/>
  <c r="D34" i="43" s="1"/>
  <c r="D35" i="43" s="1"/>
  <c r="D36" i="43" s="1"/>
  <c r="D37" i="43" s="1"/>
  <c r="F29" i="95" l="1"/>
  <c r="G28" i="95"/>
  <c r="J28" i="95" s="1"/>
  <c r="K28" i="95" s="1"/>
  <c r="L28" i="95"/>
  <c r="F30" i="89"/>
  <c r="K29" i="89"/>
  <c r="G29" i="89"/>
  <c r="I29" i="89" s="1"/>
  <c r="J29" i="89" s="1"/>
  <c r="B31" i="82"/>
  <c r="E21" i="67"/>
  <c r="E22" i="67" s="1"/>
  <c r="E23" i="67" s="1"/>
  <c r="E24" i="67" s="1"/>
  <c r="E25" i="67" s="1"/>
  <c r="E26" i="67" s="1"/>
  <c r="E27" i="67" s="1"/>
  <c r="E28" i="67" s="1"/>
  <c r="E29" i="67" s="1"/>
  <c r="E30" i="67" s="1"/>
  <c r="E31" i="67" s="1"/>
  <c r="E32" i="67" s="1"/>
  <c r="E33" i="67" s="1"/>
  <c r="E34" i="67" s="1"/>
  <c r="E35" i="67" s="1"/>
  <c r="E36" i="67" s="1"/>
  <c r="E37" i="67" s="1"/>
  <c r="F30" i="95" l="1"/>
  <c r="L29" i="95"/>
  <c r="G29" i="95"/>
  <c r="J29" i="95" s="1"/>
  <c r="K29" i="95" s="1"/>
  <c r="F31" i="89"/>
  <c r="K30" i="89"/>
  <c r="G30" i="89"/>
  <c r="I30" i="89" s="1"/>
  <c r="J30" i="89" s="1"/>
  <c r="B32" i="82"/>
  <c r="F31" i="95" l="1"/>
  <c r="G30" i="95"/>
  <c r="J30" i="95" s="1"/>
  <c r="K30" i="95" s="1"/>
  <c r="L30" i="95"/>
  <c r="F32" i="89"/>
  <c r="G31" i="89"/>
  <c r="I31" i="89" s="1"/>
  <c r="J31" i="89" s="1"/>
  <c r="K31" i="89"/>
  <c r="B33" i="82"/>
  <c r="F32" i="95" l="1"/>
  <c r="G31" i="95"/>
  <c r="J31" i="95" s="1"/>
  <c r="K31" i="95" s="1"/>
  <c r="L31" i="95"/>
  <c r="F33" i="89"/>
  <c r="G32" i="89"/>
  <c r="I32" i="89" s="1"/>
  <c r="J32" i="89" s="1"/>
  <c r="K32" i="89"/>
  <c r="C65" i="87"/>
  <c r="C76" i="86"/>
  <c r="B34" i="82"/>
  <c r="F33" i="95" l="1"/>
  <c r="G32" i="95"/>
  <c r="J32" i="95" s="1"/>
  <c r="K32" i="95" s="1"/>
  <c r="L32" i="95"/>
  <c r="F34" i="89"/>
  <c r="G33" i="89"/>
  <c r="I33" i="89" s="1"/>
  <c r="J33" i="89" s="1"/>
  <c r="K33" i="89"/>
  <c r="B35" i="82"/>
  <c r="B36" i="82" s="1"/>
  <c r="B37" i="82" s="1"/>
  <c r="S6" i="31"/>
  <c r="F34" i="95" l="1"/>
  <c r="G33" i="95"/>
  <c r="J33" i="95" s="1"/>
  <c r="K33" i="95" s="1"/>
  <c r="L33" i="95"/>
  <c r="F35" i="89"/>
  <c r="G34" i="89"/>
  <c r="I34" i="89" s="1"/>
  <c r="J34" i="89" s="1"/>
  <c r="K34" i="89"/>
  <c r="A9" i="31"/>
  <c r="R6" i="31"/>
  <c r="Q6" i="31"/>
  <c r="P6" i="31"/>
  <c r="F35" i="95" l="1"/>
  <c r="L34" i="95"/>
  <c r="G34" i="95"/>
  <c r="J34" i="95" s="1"/>
  <c r="K34" i="95" s="1"/>
  <c r="F36" i="89"/>
  <c r="G35" i="89"/>
  <c r="I35" i="89" s="1"/>
  <c r="J35" i="89" s="1"/>
  <c r="K35" i="89"/>
  <c r="CX34" i="25"/>
  <c r="CW34" i="25"/>
  <c r="CV34" i="25"/>
  <c r="CX33" i="25"/>
  <c r="CW33" i="25"/>
  <c r="CV33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F36" i="95" l="1"/>
  <c r="G35" i="95"/>
  <c r="J35" i="95" s="1"/>
  <c r="K35" i="95" s="1"/>
  <c r="L35" i="95"/>
  <c r="F37" i="89"/>
  <c r="G36" i="89"/>
  <c r="I36" i="89" s="1"/>
  <c r="J36" i="89" s="1"/>
  <c r="K36" i="89"/>
  <c r="CE9" i="25"/>
  <c r="AM9" i="25"/>
  <c r="F37" i="95" l="1"/>
  <c r="G36" i="95"/>
  <c r="J36" i="95" s="1"/>
  <c r="K36" i="95" s="1"/>
  <c r="L36" i="95"/>
  <c r="K37" i="89"/>
  <c r="G37" i="89"/>
  <c r="I37" i="89" s="1"/>
  <c r="J37" i="89" s="1"/>
  <c r="G26" i="82"/>
  <c r="J26" i="82" s="1"/>
  <c r="K26" i="82" s="1"/>
  <c r="L26" i="82"/>
  <c r="G25" i="82"/>
  <c r="J25" i="82" s="1"/>
  <c r="K25" i="82" s="1"/>
  <c r="L24" i="82"/>
  <c r="L25" i="82"/>
  <c r="G24" i="82"/>
  <c r="J24" i="82" s="1"/>
  <c r="K24" i="82" s="1"/>
  <c r="G37" i="95" l="1"/>
  <c r="J37" i="95" s="1"/>
  <c r="K37" i="95" s="1"/>
  <c r="L37" i="95"/>
  <c r="G27" i="82"/>
  <c r="J27" i="82" s="1"/>
  <c r="K27" i="82" s="1"/>
  <c r="L27" i="82"/>
  <c r="G28" i="82" l="1"/>
  <c r="J28" i="82" s="1"/>
  <c r="K28" i="82" s="1"/>
  <c r="L28" i="82"/>
  <c r="G29" i="82" l="1"/>
  <c r="J29" i="82" s="1"/>
  <c r="K29" i="82" s="1"/>
  <c r="L29" i="82"/>
  <c r="G30" i="82" l="1"/>
  <c r="J30" i="82" s="1"/>
  <c r="K30" i="82" s="1"/>
  <c r="L30" i="82"/>
  <c r="G31" i="82" l="1"/>
  <c r="J31" i="82" s="1"/>
  <c r="K31" i="82" s="1"/>
  <c r="L31" i="82"/>
  <c r="G32" i="82" l="1"/>
  <c r="J32" i="82" s="1"/>
  <c r="K32" i="82" s="1"/>
  <c r="L32" i="82"/>
  <c r="G33" i="82" l="1"/>
  <c r="J33" i="82" s="1"/>
  <c r="K33" i="82" s="1"/>
  <c r="L33" i="82"/>
  <c r="G34" i="82" l="1"/>
  <c r="J34" i="82" s="1"/>
  <c r="K34" i="82" s="1"/>
  <c r="L34" i="82"/>
  <c r="L35" i="82" l="1"/>
  <c r="G35" i="82"/>
  <c r="J35" i="82" s="1"/>
  <c r="K35" i="82" s="1"/>
  <c r="L36" i="82" l="1"/>
  <c r="G36" i="82"/>
  <c r="J36" i="82" s="1"/>
  <c r="K36" i="82" s="1"/>
  <c r="L37" i="82" l="1"/>
  <c r="G37" i="82"/>
  <c r="J37" i="82" s="1"/>
  <c r="K37" i="82" s="1"/>
  <c r="A47" i="25" l="1"/>
  <c r="B48" i="25" l="1"/>
  <c r="D48" i="43" l="1"/>
  <c r="C48" i="67"/>
  <c r="D48" i="67"/>
  <c r="BF10" i="47" l="1"/>
  <c r="D27" i="68" l="1"/>
  <c r="D28" i="68" s="1"/>
  <c r="D29" i="68" s="1"/>
  <c r="D30" i="68" s="1"/>
  <c r="D31" i="68" s="1"/>
  <c r="D32" i="68" s="1"/>
  <c r="D33" i="68" s="1"/>
  <c r="D34" i="68" s="1"/>
  <c r="D35" i="68" s="1"/>
  <c r="D36" i="68" s="1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60" i="84" s="1"/>
  <c r="F20" i="84" s="1"/>
  <c r="F21" i="84" s="1"/>
  <c r="F22" i="84" s="1"/>
  <c r="F23" i="84" s="1"/>
  <c r="F24" i="84" s="1"/>
  <c r="F25" i="84" s="1"/>
  <c r="F26" i="84" s="1"/>
  <c r="F27" i="84" s="1"/>
  <c r="F28" i="84" s="1"/>
  <c r="F29" i="84" s="1"/>
  <c r="F30" i="84" s="1"/>
  <c r="F31" i="84" s="1"/>
  <c r="F32" i="84" s="1"/>
  <c r="F33" i="84" s="1"/>
  <c r="F34" i="84" s="1"/>
  <c r="F35" i="84" s="1"/>
  <c r="F36" i="84" s="1"/>
  <c r="F37" i="84" s="1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L20" i="84" l="1"/>
  <c r="G20" i="84"/>
  <c r="J20" i="84" s="1"/>
  <c r="L23" i="47"/>
  <c r="L24" i="47" s="1"/>
  <c r="L25" i="47" s="1"/>
  <c r="L26" i="47" s="1"/>
  <c r="L27" i="47" s="1"/>
  <c r="L28" i="47" s="1"/>
  <c r="L29" i="47" s="1"/>
  <c r="L30" i="47" s="1"/>
  <c r="L31" i="47" s="1"/>
  <c r="L32" i="47" s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60" i="88" l="1"/>
  <c r="F22" i="88" s="1"/>
  <c r="F23" i="88" s="1"/>
  <c r="F24" i="88" s="1"/>
  <c r="C60" i="87"/>
  <c r="C60" i="90"/>
  <c r="F25" i="90" s="1"/>
  <c r="C60" i="83"/>
  <c r="F20" i="83" s="1"/>
  <c r="F21" i="83" s="1"/>
  <c r="F22" i="83" s="1"/>
  <c r="F23" i="83" s="1"/>
  <c r="F24" i="83" s="1"/>
  <c r="F25" i="83" s="1"/>
  <c r="F26" i="83" s="1"/>
  <c r="F27" i="83" s="1"/>
  <c r="F28" i="83" s="1"/>
  <c r="F29" i="83" s="1"/>
  <c r="F30" i="83" s="1"/>
  <c r="F31" i="83" s="1"/>
  <c r="F32" i="83" s="1"/>
  <c r="F33" i="83" s="1"/>
  <c r="F34" i="83" s="1"/>
  <c r="F35" i="83" s="1"/>
  <c r="F36" i="83" s="1"/>
  <c r="F37" i="83" s="1"/>
  <c r="C60" i="92"/>
  <c r="F20" i="92" s="1"/>
  <c r="F21" i="92" s="1"/>
  <c r="F22" i="92" s="1"/>
  <c r="F23" i="92" s="1"/>
  <c r="F24" i="92" s="1"/>
  <c r="F25" i="92" s="1"/>
  <c r="F26" i="92" s="1"/>
  <c r="K20" i="84"/>
  <c r="C73" i="68"/>
  <c r="E25" i="68" s="1"/>
  <c r="E26" i="68" s="1"/>
  <c r="E27" i="68" s="1"/>
  <c r="E28" i="68" s="1"/>
  <c r="E29" i="68" s="1"/>
  <c r="E30" i="68" s="1"/>
  <c r="E31" i="68" s="1"/>
  <c r="E32" i="68" s="1"/>
  <c r="E33" i="68" s="1"/>
  <c r="E34" i="68" s="1"/>
  <c r="E35" i="68" s="1"/>
  <c r="E36" i="68" s="1"/>
  <c r="C73" i="85"/>
  <c r="E25" i="85" s="1"/>
  <c r="E26" i="85" s="1"/>
  <c r="E27" i="85" s="1"/>
  <c r="E28" i="85" s="1"/>
  <c r="E29" i="85" s="1"/>
  <c r="E30" i="85" s="1"/>
  <c r="E31" i="85" s="1"/>
  <c r="E32" i="85" s="1"/>
  <c r="E33" i="85" s="1"/>
  <c r="E34" i="85" s="1"/>
  <c r="E35" i="85" s="1"/>
  <c r="E36" i="85" s="1"/>
  <c r="L21" i="84"/>
  <c r="G21" i="84"/>
  <c r="J21" i="84" s="1"/>
  <c r="C47" i="47"/>
  <c r="AN10" i="47"/>
  <c r="V10" i="47"/>
  <c r="AZ10" i="47" s="1"/>
  <c r="AZ11" i="47" s="1"/>
  <c r="AZ12" i="47" s="1"/>
  <c r="AZ13" i="47" s="1"/>
  <c r="AZ14" i="47" s="1"/>
  <c r="AZ15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Q11" i="47" s="1"/>
  <c r="AF10" i="47"/>
  <c r="AA10" i="47"/>
  <c r="BE10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9" i="47"/>
  <c r="Q9" i="47"/>
  <c r="B9" i="47"/>
  <c r="G20" i="83" l="1"/>
  <c r="J20" i="83" s="1"/>
  <c r="K20" i="83" s="1"/>
  <c r="L20" i="83"/>
  <c r="F26" i="90"/>
  <c r="K25" i="90"/>
  <c r="G25" i="90"/>
  <c r="I25" i="90" s="1"/>
  <c r="J25" i="90" s="1"/>
  <c r="F27" i="92"/>
  <c r="G26" i="92"/>
  <c r="J26" i="92" s="1"/>
  <c r="K26" i="92" s="1"/>
  <c r="L26" i="92"/>
  <c r="F22" i="87"/>
  <c r="F25" i="88"/>
  <c r="G24" i="88"/>
  <c r="I24" i="88" s="1"/>
  <c r="J24" i="88" s="1"/>
  <c r="K24" i="88"/>
  <c r="K21" i="84"/>
  <c r="M27" i="86"/>
  <c r="I27" i="86"/>
  <c r="L27" i="86" s="1"/>
  <c r="M27" i="85"/>
  <c r="I27" i="85"/>
  <c r="L27" i="85" s="1"/>
  <c r="L21" i="83"/>
  <c r="G21" i="83"/>
  <c r="J21" i="83" s="1"/>
  <c r="L22" i="84"/>
  <c r="G22" i="84"/>
  <c r="J22" i="84" s="1"/>
  <c r="G17" i="47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C48" i="47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I39" i="47"/>
  <c r="C60" i="91" s="1"/>
  <c r="F27" i="91" s="1"/>
  <c r="V12" i="47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60" i="43" s="1"/>
  <c r="F19" i="43" s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F26" i="88" l="1"/>
  <c r="G25" i="88"/>
  <c r="I25" i="88" s="1"/>
  <c r="J25" i="88" s="1"/>
  <c r="K25" i="88"/>
  <c r="F28" i="91"/>
  <c r="K27" i="91"/>
  <c r="G27" i="91"/>
  <c r="I27" i="91" s="1"/>
  <c r="J27" i="91" s="1"/>
  <c r="G22" i="87"/>
  <c r="I22" i="87" s="1"/>
  <c r="J22" i="87" s="1"/>
  <c r="K22" i="87"/>
  <c r="F28" i="92"/>
  <c r="L27" i="92"/>
  <c r="G27" i="92"/>
  <c r="J27" i="92" s="1"/>
  <c r="K27" i="92" s="1"/>
  <c r="F23" i="87"/>
  <c r="F27" i="90"/>
  <c r="G26" i="90"/>
  <c r="I26" i="90" s="1"/>
  <c r="J26" i="90" s="1"/>
  <c r="K26" i="90"/>
  <c r="K22" i="84"/>
  <c r="K21" i="83"/>
  <c r="I28" i="85"/>
  <c r="L28" i="85" s="1"/>
  <c r="M28" i="85"/>
  <c r="I28" i="86"/>
  <c r="L28" i="86" s="1"/>
  <c r="M28" i="86"/>
  <c r="L23" i="84"/>
  <c r="G23" i="84"/>
  <c r="J23" i="84" s="1"/>
  <c r="L22" i="83"/>
  <c r="G22" i="83"/>
  <c r="J22" i="83" s="1"/>
  <c r="AB10" i="47"/>
  <c r="AD10" i="47" s="1"/>
  <c r="C60" i="67"/>
  <c r="C49" i="47"/>
  <c r="AI10" i="4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T10" i="47"/>
  <c r="F28" i="90" l="1"/>
  <c r="K27" i="90"/>
  <c r="G27" i="90"/>
  <c r="I27" i="90" s="1"/>
  <c r="J27" i="90" s="1"/>
  <c r="F29" i="92"/>
  <c r="L28" i="92"/>
  <c r="G28" i="92"/>
  <c r="J28" i="92" s="1"/>
  <c r="K28" i="92" s="1"/>
  <c r="F24" i="87"/>
  <c r="G23" i="87"/>
  <c r="I23" i="87" s="1"/>
  <c r="J23" i="87" s="1"/>
  <c r="K23" i="87"/>
  <c r="F29" i="91"/>
  <c r="G28" i="91"/>
  <c r="I28" i="91" s="1"/>
  <c r="J28" i="91" s="1"/>
  <c r="K28" i="91"/>
  <c r="F27" i="88"/>
  <c r="G26" i="88"/>
  <c r="I26" i="88" s="1"/>
  <c r="J26" i="88" s="1"/>
  <c r="K26" i="88"/>
  <c r="K23" i="84"/>
  <c r="K22" i="83"/>
  <c r="M29" i="86"/>
  <c r="I29" i="86"/>
  <c r="L29" i="86" s="1"/>
  <c r="M29" i="85"/>
  <c r="I29" i="85"/>
  <c r="L29" i="85" s="1"/>
  <c r="L23" i="83"/>
  <c r="G23" i="83"/>
  <c r="J23" i="83" s="1"/>
  <c r="L24" i="84"/>
  <c r="G24" i="84"/>
  <c r="J24" i="84" s="1"/>
  <c r="C50" i="47"/>
  <c r="Q12" i="47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F28" i="88" l="1"/>
  <c r="G27" i="88"/>
  <c r="I27" i="88" s="1"/>
  <c r="J27" i="88" s="1"/>
  <c r="K27" i="88"/>
  <c r="F30" i="92"/>
  <c r="L29" i="92"/>
  <c r="G29" i="92"/>
  <c r="J29" i="92" s="1"/>
  <c r="K29" i="92" s="1"/>
  <c r="F25" i="87"/>
  <c r="G24" i="87"/>
  <c r="I24" i="87" s="1"/>
  <c r="J24" i="87" s="1"/>
  <c r="K24" i="87"/>
  <c r="F30" i="91"/>
  <c r="G29" i="91"/>
  <c r="I29" i="91" s="1"/>
  <c r="J29" i="91" s="1"/>
  <c r="K29" i="91"/>
  <c r="F29" i="90"/>
  <c r="G28" i="90"/>
  <c r="I28" i="90" s="1"/>
  <c r="J28" i="90" s="1"/>
  <c r="K28" i="90"/>
  <c r="K24" i="84"/>
  <c r="K23" i="83"/>
  <c r="M30" i="85"/>
  <c r="I30" i="85"/>
  <c r="L30" i="85" s="1"/>
  <c r="M30" i="86"/>
  <c r="I30" i="86"/>
  <c r="L30" i="86" s="1"/>
  <c r="L25" i="84"/>
  <c r="G25" i="84"/>
  <c r="J25" i="84" s="1"/>
  <c r="G24" i="83"/>
  <c r="J24" i="83" s="1"/>
  <c r="L24" i="83"/>
  <c r="C51" i="47"/>
  <c r="F30" i="90" l="1"/>
  <c r="G29" i="90"/>
  <c r="I29" i="90" s="1"/>
  <c r="J29" i="90" s="1"/>
  <c r="K29" i="90"/>
  <c r="F31" i="92"/>
  <c r="G30" i="92"/>
  <c r="J30" i="92" s="1"/>
  <c r="K30" i="92" s="1"/>
  <c r="L30" i="92"/>
  <c r="F26" i="87"/>
  <c r="G25" i="87"/>
  <c r="I25" i="87" s="1"/>
  <c r="J25" i="87" s="1"/>
  <c r="K25" i="87"/>
  <c r="F31" i="91"/>
  <c r="G30" i="91"/>
  <c r="I30" i="91" s="1"/>
  <c r="J30" i="91" s="1"/>
  <c r="K30" i="91"/>
  <c r="F29" i="88"/>
  <c r="G28" i="88"/>
  <c r="I28" i="88" s="1"/>
  <c r="J28" i="88" s="1"/>
  <c r="K28" i="88"/>
  <c r="K25" i="84"/>
  <c r="K24" i="83"/>
  <c r="M31" i="86"/>
  <c r="I31" i="86"/>
  <c r="L31" i="86" s="1"/>
  <c r="M31" i="85"/>
  <c r="I31" i="85"/>
  <c r="L31" i="85" s="1"/>
  <c r="G25" i="83"/>
  <c r="J25" i="83" s="1"/>
  <c r="L25" i="83"/>
  <c r="L26" i="84"/>
  <c r="G26" i="84"/>
  <c r="J26" i="84" s="1"/>
  <c r="C52" i="47"/>
  <c r="F30" i="88" l="1"/>
  <c r="G29" i="88"/>
  <c r="I29" i="88" s="1"/>
  <c r="J29" i="88" s="1"/>
  <c r="K29" i="88"/>
  <c r="F32" i="92"/>
  <c r="G31" i="92"/>
  <c r="J31" i="92" s="1"/>
  <c r="K31" i="92" s="1"/>
  <c r="L31" i="92"/>
  <c r="F27" i="87"/>
  <c r="K26" i="87"/>
  <c r="G26" i="87"/>
  <c r="I26" i="87" s="1"/>
  <c r="J26" i="87" s="1"/>
  <c r="F32" i="91"/>
  <c r="G31" i="91"/>
  <c r="I31" i="91" s="1"/>
  <c r="J31" i="91" s="1"/>
  <c r="K31" i="91"/>
  <c r="F31" i="90"/>
  <c r="G30" i="90"/>
  <c r="I30" i="90" s="1"/>
  <c r="J30" i="90" s="1"/>
  <c r="K30" i="90"/>
  <c r="K26" i="84"/>
  <c r="Q26" i="92"/>
  <c r="K25" i="83"/>
  <c r="M32" i="85"/>
  <c r="I32" i="85"/>
  <c r="L32" i="85" s="1"/>
  <c r="M32" i="86"/>
  <c r="I32" i="86"/>
  <c r="L32" i="86" s="1"/>
  <c r="L27" i="84"/>
  <c r="G27" i="84"/>
  <c r="J27" i="84" s="1"/>
  <c r="L26" i="83"/>
  <c r="G26" i="83"/>
  <c r="J26" i="83" s="1"/>
  <c r="F32" i="90" l="1"/>
  <c r="K31" i="90"/>
  <c r="G31" i="90"/>
  <c r="I31" i="90" s="1"/>
  <c r="J31" i="90" s="1"/>
  <c r="F33" i="92"/>
  <c r="L32" i="92"/>
  <c r="G32" i="92"/>
  <c r="J32" i="92" s="1"/>
  <c r="K32" i="92" s="1"/>
  <c r="F28" i="87"/>
  <c r="G27" i="87"/>
  <c r="I27" i="87" s="1"/>
  <c r="J27" i="87" s="1"/>
  <c r="K27" i="87"/>
  <c r="F33" i="91"/>
  <c r="G32" i="91"/>
  <c r="I32" i="91" s="1"/>
  <c r="J32" i="91" s="1"/>
  <c r="K32" i="91"/>
  <c r="F31" i="88"/>
  <c r="G30" i="88"/>
  <c r="I30" i="88" s="1"/>
  <c r="J30" i="88" s="1"/>
  <c r="K30" i="88"/>
  <c r="K27" i="84"/>
  <c r="Q27" i="92"/>
  <c r="K26" i="83"/>
  <c r="M33" i="86"/>
  <c r="I33" i="86"/>
  <c r="L33" i="86" s="1"/>
  <c r="M33" i="85"/>
  <c r="I33" i="85"/>
  <c r="L33" i="85" s="1"/>
  <c r="G27" i="83"/>
  <c r="J27" i="83" s="1"/>
  <c r="L27" i="83"/>
  <c r="L28" i="84"/>
  <c r="G28" i="84"/>
  <c r="J28" i="84" s="1"/>
  <c r="F32" i="88" l="1"/>
  <c r="G31" i="88"/>
  <c r="I31" i="88" s="1"/>
  <c r="J31" i="88" s="1"/>
  <c r="K31" i="88"/>
  <c r="F34" i="92"/>
  <c r="G33" i="92"/>
  <c r="J33" i="92" s="1"/>
  <c r="K33" i="92" s="1"/>
  <c r="L33" i="92"/>
  <c r="F29" i="87"/>
  <c r="K28" i="87"/>
  <c r="G28" i="87"/>
  <c r="I28" i="87" s="1"/>
  <c r="J28" i="87" s="1"/>
  <c r="F34" i="91"/>
  <c r="K33" i="91"/>
  <c r="G33" i="91"/>
  <c r="I33" i="91" s="1"/>
  <c r="J33" i="91" s="1"/>
  <c r="F33" i="90"/>
  <c r="G32" i="90"/>
  <c r="I32" i="90" s="1"/>
  <c r="J32" i="90" s="1"/>
  <c r="K32" i="90"/>
  <c r="K28" i="84"/>
  <c r="Q28" i="92"/>
  <c r="K27" i="83"/>
  <c r="M34" i="85"/>
  <c r="I34" i="85"/>
  <c r="L34" i="85" s="1"/>
  <c r="M34" i="86"/>
  <c r="I34" i="86"/>
  <c r="L34" i="86" s="1"/>
  <c r="L29" i="84"/>
  <c r="G29" i="84"/>
  <c r="J29" i="84" s="1"/>
  <c r="L28" i="83"/>
  <c r="G28" i="83"/>
  <c r="J28" i="83" s="1"/>
  <c r="F34" i="90" l="1"/>
  <c r="K33" i="90"/>
  <c r="G33" i="90"/>
  <c r="I33" i="90" s="1"/>
  <c r="J33" i="90" s="1"/>
  <c r="F35" i="92"/>
  <c r="G34" i="92"/>
  <c r="J34" i="92" s="1"/>
  <c r="K34" i="92" s="1"/>
  <c r="L34" i="92"/>
  <c r="F30" i="87"/>
  <c r="G29" i="87"/>
  <c r="I29" i="87" s="1"/>
  <c r="J29" i="87" s="1"/>
  <c r="K29" i="87"/>
  <c r="F35" i="91"/>
  <c r="K34" i="91"/>
  <c r="G34" i="91"/>
  <c r="I34" i="91" s="1"/>
  <c r="J34" i="91" s="1"/>
  <c r="F33" i="88"/>
  <c r="G32" i="88"/>
  <c r="I32" i="88" s="1"/>
  <c r="J32" i="88" s="1"/>
  <c r="K32" i="88"/>
  <c r="K29" i="84"/>
  <c r="Q29" i="92"/>
  <c r="K28" i="83"/>
  <c r="M35" i="86"/>
  <c r="I35" i="86"/>
  <c r="L35" i="86" s="1"/>
  <c r="M35" i="85"/>
  <c r="I35" i="85"/>
  <c r="L35" i="85" s="1"/>
  <c r="L29" i="83"/>
  <c r="G29" i="83"/>
  <c r="J29" i="83" s="1"/>
  <c r="L30" i="84"/>
  <c r="G30" i="84"/>
  <c r="J30" i="84" s="1"/>
  <c r="F34" i="88" l="1"/>
  <c r="G33" i="88"/>
  <c r="I33" i="88" s="1"/>
  <c r="J33" i="88" s="1"/>
  <c r="K33" i="88"/>
  <c r="F36" i="92"/>
  <c r="L35" i="92"/>
  <c r="G35" i="92"/>
  <c r="J35" i="92" s="1"/>
  <c r="K35" i="92" s="1"/>
  <c r="F31" i="87"/>
  <c r="K30" i="87"/>
  <c r="G30" i="87"/>
  <c r="I30" i="87" s="1"/>
  <c r="J30" i="87" s="1"/>
  <c r="F36" i="91"/>
  <c r="K35" i="91"/>
  <c r="G35" i="91"/>
  <c r="I35" i="91" s="1"/>
  <c r="J35" i="91" s="1"/>
  <c r="F35" i="90"/>
  <c r="G34" i="90"/>
  <c r="I34" i="90" s="1"/>
  <c r="J34" i="90" s="1"/>
  <c r="K34" i="90"/>
  <c r="K30" i="84"/>
  <c r="Q30" i="92"/>
  <c r="K29" i="83"/>
  <c r="M36" i="85"/>
  <c r="I36" i="85"/>
  <c r="L36" i="85" s="1"/>
  <c r="M36" i="86"/>
  <c r="I36" i="86"/>
  <c r="L36" i="86" s="1"/>
  <c r="L31" i="84"/>
  <c r="G31" i="84"/>
  <c r="J31" i="84" s="1"/>
  <c r="G30" i="83"/>
  <c r="J30" i="83" s="1"/>
  <c r="L30" i="83"/>
  <c r="F37" i="91" l="1"/>
  <c r="K36" i="91"/>
  <c r="G36" i="91"/>
  <c r="I36" i="91" s="1"/>
  <c r="J36" i="91" s="1"/>
  <c r="F37" i="92"/>
  <c r="L36" i="92"/>
  <c r="G36" i="92"/>
  <c r="J36" i="92" s="1"/>
  <c r="K36" i="92" s="1"/>
  <c r="F36" i="90"/>
  <c r="G35" i="90"/>
  <c r="I35" i="90" s="1"/>
  <c r="J35" i="90" s="1"/>
  <c r="K35" i="90"/>
  <c r="F32" i="87"/>
  <c r="G31" i="87"/>
  <c r="I31" i="87" s="1"/>
  <c r="J31" i="87" s="1"/>
  <c r="K31" i="87"/>
  <c r="F35" i="88"/>
  <c r="K34" i="88"/>
  <c r="G34" i="88"/>
  <c r="I34" i="88" s="1"/>
  <c r="J34" i="88" s="1"/>
  <c r="K31" i="84"/>
  <c r="Q31" i="92"/>
  <c r="K30" i="83"/>
  <c r="L31" i="83"/>
  <c r="G31" i="83"/>
  <c r="J31" i="83" s="1"/>
  <c r="L32" i="84"/>
  <c r="G32" i="84"/>
  <c r="J32" i="84" s="1"/>
  <c r="G37" i="92" l="1"/>
  <c r="J37" i="92" s="1"/>
  <c r="K37" i="92" s="1"/>
  <c r="L37" i="92"/>
  <c r="F37" i="90"/>
  <c r="G36" i="90"/>
  <c r="I36" i="90" s="1"/>
  <c r="J36" i="90" s="1"/>
  <c r="K36" i="90"/>
  <c r="F33" i="87"/>
  <c r="G32" i="87"/>
  <c r="I32" i="87" s="1"/>
  <c r="J32" i="87" s="1"/>
  <c r="K32" i="87"/>
  <c r="F36" i="88"/>
  <c r="G35" i="88"/>
  <c r="I35" i="88" s="1"/>
  <c r="J35" i="88" s="1"/>
  <c r="K35" i="88"/>
  <c r="G37" i="91"/>
  <c r="I37" i="91" s="1"/>
  <c r="J37" i="91" s="1"/>
  <c r="K37" i="91"/>
  <c r="K32" i="84"/>
  <c r="Q32" i="92"/>
  <c r="K31" i="83"/>
  <c r="L33" i="84"/>
  <c r="G33" i="84"/>
  <c r="J33" i="84" s="1"/>
  <c r="G32" i="83"/>
  <c r="J32" i="83" s="1"/>
  <c r="L32" i="83"/>
  <c r="G37" i="90" l="1"/>
  <c r="I37" i="90" s="1"/>
  <c r="J37" i="90" s="1"/>
  <c r="K37" i="90"/>
  <c r="F34" i="87"/>
  <c r="G33" i="87"/>
  <c r="I33" i="87" s="1"/>
  <c r="J33" i="87" s="1"/>
  <c r="K33" i="87"/>
  <c r="F37" i="88"/>
  <c r="G36" i="88"/>
  <c r="I36" i="88" s="1"/>
  <c r="J36" i="88" s="1"/>
  <c r="K36" i="88"/>
  <c r="K33" i="84"/>
  <c r="Q33" i="92"/>
  <c r="K32" i="83"/>
  <c r="L33" i="83"/>
  <c r="G33" i="83"/>
  <c r="J33" i="83" s="1"/>
  <c r="L34" i="84"/>
  <c r="G34" i="84"/>
  <c r="J34" i="84" s="1"/>
  <c r="F35" i="87" l="1"/>
  <c r="G34" i="87"/>
  <c r="I34" i="87" s="1"/>
  <c r="J34" i="87" s="1"/>
  <c r="K34" i="87"/>
  <c r="G37" i="88"/>
  <c r="I37" i="88" s="1"/>
  <c r="J37" i="88" s="1"/>
  <c r="K37" i="88"/>
  <c r="K34" i="84"/>
  <c r="Q34" i="92"/>
  <c r="K33" i="83"/>
  <c r="L35" i="84"/>
  <c r="G35" i="84"/>
  <c r="J35" i="84" s="1"/>
  <c r="G34" i="83"/>
  <c r="J34" i="83" s="1"/>
  <c r="L34" i="83"/>
  <c r="F36" i="87" l="1"/>
  <c r="G35" i="87"/>
  <c r="I35" i="87" s="1"/>
  <c r="J35" i="87" s="1"/>
  <c r="K35" i="87"/>
  <c r="K35" i="84"/>
  <c r="Q35" i="92"/>
  <c r="K34" i="83"/>
  <c r="G35" i="83"/>
  <c r="J35" i="83" s="1"/>
  <c r="L35" i="83"/>
  <c r="L36" i="84"/>
  <c r="G36" i="84"/>
  <c r="J36" i="84" s="1"/>
  <c r="F37" i="87" l="1"/>
  <c r="G36" i="87"/>
  <c r="I36" i="87" s="1"/>
  <c r="J36" i="87" s="1"/>
  <c r="K36" i="87"/>
  <c r="K36" i="84"/>
  <c r="Q36" i="92"/>
  <c r="K35" i="83"/>
  <c r="L37" i="84"/>
  <c r="G37" i="84"/>
  <c r="J37" i="84" s="1"/>
  <c r="G36" i="83"/>
  <c r="J36" i="83" s="1"/>
  <c r="L36" i="83"/>
  <c r="G37" i="87" l="1"/>
  <c r="I37" i="87" s="1"/>
  <c r="J37" i="87" s="1"/>
  <c r="K37" i="87"/>
  <c r="K37" i="84"/>
  <c r="Q37" i="92"/>
  <c r="K36" i="83"/>
  <c r="G37" i="83"/>
  <c r="J37" i="83" s="1"/>
  <c r="L37" i="83"/>
  <c r="K37" i="83" l="1"/>
  <c r="A6" i="77" l="1"/>
  <c r="A7" i="77" s="1"/>
  <c r="A8" i="77" s="1"/>
  <c r="A9" i="77" s="1"/>
  <c r="A10" i="77" s="1"/>
  <c r="A11" i="77" s="1"/>
  <c r="A12" i="77" s="1"/>
  <c r="A13" i="77" s="1"/>
  <c r="A14" i="77" l="1"/>
  <c r="A15" i="77" l="1"/>
  <c r="A16" i="77" l="1"/>
  <c r="H16" i="77" s="1"/>
  <c r="A17" i="77" l="1"/>
  <c r="H17" i="77" l="1"/>
  <c r="J17" i="77"/>
  <c r="A18" i="77"/>
  <c r="H18" i="77" l="1"/>
  <c r="J18" i="77"/>
  <c r="A19" i="77"/>
  <c r="J19" i="77" s="1"/>
  <c r="H19" i="77" l="1"/>
  <c r="A20" i="77"/>
  <c r="J20" i="77" s="1"/>
  <c r="H20" i="77" l="1"/>
  <c r="A21" i="77"/>
  <c r="J21" i="77" s="1"/>
  <c r="H21" i="77" l="1"/>
  <c r="A22" i="77"/>
  <c r="J22" i="77" s="1"/>
  <c r="H22" i="77" l="1"/>
  <c r="A23" i="77"/>
  <c r="J23" i="77" s="1"/>
  <c r="H23" i="77" l="1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M19" i="77" l="1"/>
  <c r="M20" i="77" l="1"/>
  <c r="M21" i="77" l="1"/>
  <c r="M22" i="77" l="1"/>
  <c r="M23" i="77" l="1"/>
  <c r="M24" i="77" l="1"/>
  <c r="M25" i="77" l="1"/>
  <c r="D11" i="77" l="1"/>
  <c r="D12" i="77" l="1"/>
  <c r="E11" i="77"/>
  <c r="D13" i="77" l="1"/>
  <c r="E12" i="77"/>
  <c r="G11" i="77"/>
  <c r="D14" i="77" l="1"/>
  <c r="E13" i="77"/>
  <c r="G13" i="77"/>
  <c r="E14" i="77" l="1"/>
  <c r="D15" i="77"/>
  <c r="G12" i="77"/>
  <c r="G14" i="77" l="1"/>
  <c r="G15" i="77"/>
  <c r="E15" i="77"/>
  <c r="D16" i="77"/>
  <c r="E16" i="77" l="1"/>
  <c r="D17" i="77"/>
  <c r="G16" i="77"/>
  <c r="D18" i="77" l="1"/>
  <c r="E17" i="77"/>
  <c r="G17" i="77"/>
  <c r="D19" i="77" l="1"/>
  <c r="E18" i="77"/>
  <c r="G18" i="77"/>
  <c r="E19" i="77" l="1"/>
  <c r="D20" i="77"/>
  <c r="G19" i="77"/>
  <c r="D21" i="77" l="1"/>
  <c r="E20" i="77"/>
  <c r="G20" i="77"/>
  <c r="E21" i="77" l="1"/>
  <c r="D22" i="77"/>
  <c r="G21" i="77"/>
  <c r="D23" i="77" l="1"/>
  <c r="E22" i="77"/>
  <c r="G22" i="77"/>
  <c r="E23" i="77" l="1"/>
  <c r="D24" i="77"/>
  <c r="G23" i="77"/>
  <c r="D25" i="77" l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E24" i="77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H26" i="77"/>
  <c r="G24" i="77"/>
  <c r="D50" i="77" l="1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E50" i="77" l="1"/>
  <c r="C24" i="77" l="1"/>
  <c r="C19" i="77"/>
  <c r="C23" i="77"/>
  <c r="C21" i="77"/>
  <c r="C18" i="77"/>
  <c r="C22" i="77"/>
  <c r="C17" i="77"/>
  <c r="C20" i="77"/>
  <c r="C25" i="77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L23" i="77" l="1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L50" i="77" l="1"/>
  <c r="D44" i="68" l="1"/>
  <c r="D9" i="28"/>
  <c r="D41" i="68" l="1"/>
  <c r="K57" i="68"/>
  <c r="C67" i="68"/>
  <c r="J52" i="68" s="1"/>
  <c r="I52" i="68"/>
  <c r="L58" i="68"/>
  <c r="K58" i="68"/>
  <c r="H58" i="68"/>
  <c r="G58" i="68"/>
  <c r="C58" i="68"/>
  <c r="L57" i="68"/>
  <c r="H57" i="68"/>
  <c r="G57" i="68"/>
  <c r="G59" i="68" s="1"/>
  <c r="C57" i="68"/>
  <c r="J53" i="68"/>
  <c r="I53" i="68"/>
  <c r="G53" i="68"/>
  <c r="G52" i="68"/>
  <c r="D46" i="68"/>
  <c r="C46" i="68"/>
  <c r="C45" i="68"/>
  <c r="C44" i="68"/>
  <c r="D43" i="68"/>
  <c r="C43" i="68"/>
  <c r="C42" i="68"/>
  <c r="C41" i="68"/>
  <c r="F62" i="68"/>
  <c r="B12" i="68"/>
  <c r="B5" i="68"/>
  <c r="I58" i="68" l="1"/>
  <c r="I57" i="68"/>
  <c r="I59" i="68" s="1"/>
  <c r="J57" i="68" s="1"/>
  <c r="G54" i="68"/>
  <c r="I54" i="68" s="1"/>
  <c r="B15" i="68" l="1"/>
  <c r="J58" i="68"/>
  <c r="J59" i="68" s="1"/>
  <c r="H59" i="68"/>
  <c r="D42" i="68" s="1"/>
  <c r="D72" i="68"/>
  <c r="H52" i="68"/>
  <c r="J54" i="68"/>
  <c r="B16" i="68" l="1"/>
  <c r="L59" i="68"/>
  <c r="K59" i="68"/>
  <c r="H53" i="68"/>
  <c r="H54" i="68" s="1"/>
  <c r="B17" i="68" l="1"/>
  <c r="D45" i="68"/>
  <c r="B18" i="68" l="1"/>
  <c r="B19" i="68" l="1"/>
  <c r="B20" i="68" l="1"/>
  <c r="B21" i="68" l="1"/>
  <c r="B22" i="68" l="1"/>
  <c r="B23" i="68" l="1"/>
  <c r="B24" i="68" l="1"/>
  <c r="B25" i="68" l="1"/>
  <c r="B26" i="68" l="1"/>
  <c r="B27" i="68" l="1"/>
  <c r="K27" i="68" l="1"/>
  <c r="B28" i="68"/>
  <c r="M27" i="68" l="1"/>
  <c r="B29" i="68"/>
  <c r="M28" i="68" l="1"/>
  <c r="B30" i="68"/>
  <c r="M29" i="68" l="1"/>
  <c r="B31" i="68"/>
  <c r="H27" i="68"/>
  <c r="I27" i="68" s="1"/>
  <c r="M30" i="68" l="1"/>
  <c r="B32" i="68"/>
  <c r="B33" i="68" s="1"/>
  <c r="B34" i="68" s="1"/>
  <c r="B35" i="68" s="1"/>
  <c r="B36" i="68" s="1"/>
  <c r="H28" i="68"/>
  <c r="I28" i="68" s="1"/>
  <c r="M31" i="68" l="1"/>
  <c r="H29" i="68"/>
  <c r="I29" i="68" s="1"/>
  <c r="M32" i="68" l="1"/>
  <c r="H30" i="68"/>
  <c r="I30" i="68" s="1"/>
  <c r="M33" i="68" l="1"/>
  <c r="M34" i="68"/>
  <c r="H31" i="68"/>
  <c r="I31" i="68" s="1"/>
  <c r="H32" i="68" l="1"/>
  <c r="I32" i="68" s="1"/>
  <c r="M35" i="68"/>
  <c r="F11" i="77" l="1"/>
  <c r="M36" i="68"/>
  <c r="H33" i="68"/>
  <c r="I33" i="68" s="1"/>
  <c r="F12" i="77" l="1"/>
  <c r="H34" i="68"/>
  <c r="I34" i="68" s="1"/>
  <c r="H35" i="68" l="1"/>
  <c r="I35" i="68" s="1"/>
  <c r="F13" i="77"/>
  <c r="F14" i="77" l="1"/>
  <c r="H36" i="68"/>
  <c r="I36" i="68" s="1"/>
  <c r="F15" i="77" l="1"/>
  <c r="F16" i="77" l="1"/>
  <c r="F17" i="77" l="1"/>
  <c r="F18" i="77" l="1"/>
  <c r="F19" i="77" l="1"/>
  <c r="F20" i="77" l="1"/>
  <c r="F21" i="77" l="1"/>
  <c r="F22" i="77" l="1"/>
  <c r="F23" i="77" l="1"/>
  <c r="F24" i="77" l="1"/>
  <c r="F25" i="77" l="1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F50" i="77" l="1"/>
  <c r="K12" i="67" l="1"/>
  <c r="D20" i="67" l="1"/>
  <c r="D21" i="67" s="1"/>
  <c r="D22" i="67" s="1"/>
  <c r="D23" i="67" s="1"/>
  <c r="D24" i="67" s="1"/>
  <c r="D25" i="67" s="1"/>
  <c r="D26" i="67" s="1"/>
  <c r="D27" i="67" s="1"/>
  <c r="D28" i="67" s="1"/>
  <c r="D29" i="67" s="1"/>
  <c r="D30" i="67" s="1"/>
  <c r="D31" i="67" s="1"/>
  <c r="D32" i="67" s="1"/>
  <c r="D33" i="67" s="1"/>
  <c r="D34" i="67" s="1"/>
  <c r="D35" i="67" s="1"/>
  <c r="D36" i="67" s="1"/>
  <c r="D37" i="67" s="1"/>
  <c r="D49" i="67" l="1"/>
  <c r="C49" i="67"/>
  <c r="D47" i="67"/>
  <c r="C47" i="67"/>
  <c r="C46" i="67"/>
  <c r="C45" i="67"/>
  <c r="B11" i="67"/>
  <c r="B12" i="67" s="1"/>
  <c r="B3" i="67"/>
  <c r="C52" i="67" s="1"/>
  <c r="B9" i="67" s="1"/>
  <c r="B13" i="67" l="1"/>
  <c r="B14" i="67" l="1"/>
  <c r="B15" i="67" l="1"/>
  <c r="B16" i="67" l="1"/>
  <c r="B17" i="67" l="1"/>
  <c r="B18" i="67" l="1"/>
  <c r="B19" i="67" l="1"/>
  <c r="B20" i="67" l="1"/>
  <c r="B21" i="67" l="1"/>
  <c r="B22" i="67" l="1"/>
  <c r="B23" i="67" l="1"/>
  <c r="B24" i="67" l="1"/>
  <c r="B25" i="67" l="1"/>
  <c r="B26" i="67" l="1"/>
  <c r="B27" i="67" l="1"/>
  <c r="B28" i="67" l="1"/>
  <c r="B29" i="67" l="1"/>
  <c r="B30" i="67" l="1"/>
  <c r="B31" i="67" l="1"/>
  <c r="B32" i="67" l="1"/>
  <c r="B33" i="67" l="1"/>
  <c r="B34" i="67" s="1"/>
  <c r="B35" i="67" s="1"/>
  <c r="B36" i="67" s="1"/>
  <c r="B37" i="67" s="1"/>
  <c r="K13" i="67" l="1"/>
  <c r="K14" i="67" l="1"/>
  <c r="K15" i="67" l="1"/>
  <c r="K16" i="67" l="1"/>
  <c r="K17" i="67" l="1"/>
  <c r="D46" i="67" l="1"/>
  <c r="K18" i="67" l="1"/>
  <c r="K19" i="67" l="1"/>
  <c r="K20" i="67" l="1"/>
  <c r="G20" i="67"/>
  <c r="K21" i="67" l="1"/>
  <c r="G21" i="67"/>
  <c r="K22" i="67" l="1"/>
  <c r="G22" i="67"/>
  <c r="K23" i="67" l="1"/>
  <c r="G23" i="67"/>
  <c r="K24" i="67" l="1"/>
  <c r="G24" i="67"/>
  <c r="K25" i="67" l="1"/>
  <c r="G25" i="67"/>
  <c r="K26" i="67" l="1"/>
  <c r="G26" i="67"/>
  <c r="K27" i="67" l="1"/>
  <c r="G27" i="67"/>
  <c r="K28" i="67" l="1"/>
  <c r="G28" i="67"/>
  <c r="K29" i="67" l="1"/>
  <c r="G29" i="67"/>
  <c r="K30" i="67" l="1"/>
  <c r="G30" i="67"/>
  <c r="K31" i="67" l="1"/>
  <c r="G31" i="67"/>
  <c r="K32" i="67" l="1"/>
  <c r="G32" i="67"/>
  <c r="I28" i="67"/>
  <c r="I24" i="67"/>
  <c r="I20" i="67"/>
  <c r="I31" i="67"/>
  <c r="I27" i="67"/>
  <c r="I23" i="67"/>
  <c r="I30" i="67"/>
  <c r="I26" i="67"/>
  <c r="I22" i="67"/>
  <c r="I29" i="67"/>
  <c r="I25" i="67"/>
  <c r="I21" i="67"/>
  <c r="K34" i="67" l="1"/>
  <c r="G34" i="67"/>
  <c r="K33" i="67"/>
  <c r="G33" i="67"/>
  <c r="I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33" i="67" l="1"/>
  <c r="I25" i="77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J50" i="77"/>
  <c r="K35" i="67"/>
  <c r="G35" i="67"/>
  <c r="I34" i="67"/>
  <c r="J32" i="67"/>
  <c r="J28" i="67"/>
  <c r="J24" i="67"/>
  <c r="J20" i="67"/>
  <c r="J31" i="67"/>
  <c r="J27" i="67"/>
  <c r="J23" i="67"/>
  <c r="J30" i="67"/>
  <c r="J26" i="67"/>
  <c r="J22" i="67"/>
  <c r="J29" i="67"/>
  <c r="J25" i="67"/>
  <c r="J21" i="67"/>
  <c r="I50" i="77" l="1"/>
  <c r="J34" i="67"/>
  <c r="K36" i="67"/>
  <c r="G36" i="67"/>
  <c r="I35" i="67"/>
  <c r="J35" i="67" l="1"/>
  <c r="K37" i="67"/>
  <c r="G37" i="67"/>
  <c r="I37" i="67" s="1"/>
  <c r="I36" i="67"/>
  <c r="J36" i="67" l="1"/>
  <c r="J37" i="67"/>
  <c r="C43" i="4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l="1"/>
  <c r="B13" i="43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O11" i="47" s="1"/>
  <c r="AG11" i="47"/>
  <c r="H11" i="47"/>
  <c r="J11" i="47" s="1"/>
  <c r="W11" i="47"/>
  <c r="C11" i="47"/>
  <c r="R11" i="47"/>
  <c r="B12" i="47"/>
  <c r="M12" i="47" l="1"/>
  <c r="O12" i="47" s="1"/>
  <c r="AV12" i="47"/>
  <c r="AX12" i="47" s="1"/>
  <c r="BA12" i="47"/>
  <c r="BC12" i="47" s="1"/>
  <c r="AL12" i="47"/>
  <c r="AQ12" i="47"/>
  <c r="AS12" i="47" s="1"/>
  <c r="H12" i="47"/>
  <c r="AG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Q15" i="47" l="1"/>
  <c r="AS15" i="47" s="1"/>
  <c r="AV15" i="47"/>
  <c r="AX15" i="47" s="1"/>
  <c r="M15" i="47"/>
  <c r="O15" i="47" s="1"/>
  <c r="AG15" i="47"/>
  <c r="H15" i="47"/>
  <c r="B16" i="47"/>
  <c r="C10" i="25"/>
  <c r="M16" i="47" l="1"/>
  <c r="O16" i="47" s="1"/>
  <c r="AV16" i="47"/>
  <c r="AX16" i="47" s="1"/>
  <c r="H16" i="47"/>
  <c r="AG16" i="47"/>
  <c r="B17" i="47"/>
  <c r="AV17" i="47" l="1"/>
  <c r="AX17" i="47" s="1"/>
  <c r="M17" i="47"/>
  <c r="O17" i="47" s="1"/>
  <c r="AG17" i="47"/>
  <c r="H17" i="47"/>
  <c r="B18" i="47"/>
  <c r="F44" i="47"/>
  <c r="AL15" i="47" l="1"/>
  <c r="BA15" i="47"/>
  <c r="M18" i="47"/>
  <c r="AV18" i="47"/>
  <c r="AX18" i="47" s="1"/>
  <c r="B19" i="47"/>
  <c r="AI11" i="47"/>
  <c r="F45" i="47"/>
  <c r="AQ16" i="47" s="1"/>
  <c r="AS16" i="47" l="1"/>
  <c r="BC15" i="47"/>
  <c r="BA16" i="47"/>
  <c r="BC16" i="47" s="1"/>
  <c r="AL16" i="47"/>
  <c r="M19" i="47"/>
  <c r="B20" i="47"/>
  <c r="AN11" i="47"/>
  <c r="AI12" i="47"/>
  <c r="Y11" i="47"/>
  <c r="F46" i="47"/>
  <c r="AQ17" i="47" s="1"/>
  <c r="D46" i="43"/>
  <c r="C49" i="43"/>
  <c r="C48" i="43"/>
  <c r="C47" i="43"/>
  <c r="C46" i="43"/>
  <c r="C45" i="43"/>
  <c r="AS17" i="47" l="1"/>
  <c r="AL17" i="47"/>
  <c r="B21" i="47"/>
  <c r="AN12" i="47"/>
  <c r="AI13" i="47"/>
  <c r="J12" i="47"/>
  <c r="F47" i="47"/>
  <c r="BK18" i="47" s="1"/>
  <c r="D47" i="43"/>
  <c r="B3" i="43"/>
  <c r="C52" i="43" s="1"/>
  <c r="B9" i="43" s="1"/>
  <c r="BM18" i="47" l="1"/>
  <c r="AQ18" i="47"/>
  <c r="AL18" i="47"/>
  <c r="B22" i="47"/>
  <c r="AN13" i="47"/>
  <c r="AI14" i="47"/>
  <c r="J13" i="47"/>
  <c r="F48" i="47"/>
  <c r="AS18" i="47" l="1"/>
  <c r="AQ19" i="47"/>
  <c r="B23" i="47"/>
  <c r="AN14" i="47"/>
  <c r="AI15" i="47"/>
  <c r="J14" i="47"/>
  <c r="F49" i="47"/>
  <c r="B14" i="43"/>
  <c r="AV19" i="47" l="1"/>
  <c r="BK19" i="47"/>
  <c r="AS19" i="47"/>
  <c r="AQ20" i="47"/>
  <c r="AL19" i="47"/>
  <c r="AL20" i="47" s="1"/>
  <c r="B24" i="47"/>
  <c r="AN15" i="47"/>
  <c r="AI16" i="47"/>
  <c r="J15" i="47"/>
  <c r="F50" i="47"/>
  <c r="B15" i="43"/>
  <c r="AS20" i="47" l="1"/>
  <c r="AQ21" i="47"/>
  <c r="BM19" i="47"/>
  <c r="BK20" i="47"/>
  <c r="AX19" i="47"/>
  <c r="AV20" i="47"/>
  <c r="B25" i="47"/>
  <c r="O18" i="47"/>
  <c r="AN16" i="47"/>
  <c r="AI17" i="47"/>
  <c r="J16" i="47"/>
  <c r="F51" i="47"/>
  <c r="B16" i="43"/>
  <c r="BM20" i="47" l="1"/>
  <c r="BK21" i="47"/>
  <c r="AQ22" i="47"/>
  <c r="AX20" i="47"/>
  <c r="AV21" i="47"/>
  <c r="B26" i="47"/>
  <c r="O19" i="47"/>
  <c r="AN17" i="47"/>
  <c r="J17" i="47"/>
  <c r="F52" i="47"/>
  <c r="B17" i="43"/>
  <c r="AQ23" i="47" l="1"/>
  <c r="BM21" i="47"/>
  <c r="BK22" i="47"/>
  <c r="AX21" i="47"/>
  <c r="AV22" i="47"/>
  <c r="B27" i="47"/>
  <c r="AN18" i="47"/>
  <c r="I44" i="47"/>
  <c r="B18" i="43"/>
  <c r="AX22" i="47" l="1"/>
  <c r="AV23" i="47"/>
  <c r="BK23" i="47"/>
  <c r="BM22" i="47"/>
  <c r="AQ24" i="47"/>
  <c r="B28" i="47"/>
  <c r="AN19" i="47"/>
  <c r="I45" i="47"/>
  <c r="B19" i="43"/>
  <c r="BM23" i="47" l="1"/>
  <c r="BK24" i="47"/>
  <c r="AX23" i="47"/>
  <c r="AV24" i="47"/>
  <c r="AX24" i="47" s="1"/>
  <c r="B29" i="47"/>
  <c r="AS21" i="47"/>
  <c r="AN20" i="47"/>
  <c r="I46" i="47"/>
  <c r="B20" i="43"/>
  <c r="BM24" i="47" l="1"/>
  <c r="BK25" i="47"/>
  <c r="AQ25" i="47"/>
  <c r="AV25" i="47"/>
  <c r="B30" i="47"/>
  <c r="AS22" i="47"/>
  <c r="I47" i="47"/>
  <c r="B21" i="43"/>
  <c r="BK26" i="47" l="1"/>
  <c r="BM25" i="47"/>
  <c r="AV26" i="47"/>
  <c r="AQ26" i="47"/>
  <c r="AQ27" i="47" s="1"/>
  <c r="B31" i="47"/>
  <c r="AS23" i="47"/>
  <c r="I48" i="47"/>
  <c r="B22" i="43"/>
  <c r="BM26" i="47" l="1"/>
  <c r="BK27" i="47"/>
  <c r="AV27" i="47"/>
  <c r="B32" i="47"/>
  <c r="I49" i="47"/>
  <c r="B23" i="43"/>
  <c r="BM27" i="47" l="1"/>
  <c r="BK28" i="47"/>
  <c r="AV28" i="47"/>
  <c r="AQ28" i="47"/>
  <c r="AS24" i="47"/>
  <c r="I50" i="47"/>
  <c r="B24" i="43"/>
  <c r="BM28" i="47" l="1"/>
  <c r="BK29" i="47"/>
  <c r="AV29" i="47"/>
  <c r="AQ29" i="47"/>
  <c r="I51" i="47"/>
  <c r="B25" i="43"/>
  <c r="BM29" i="47" l="1"/>
  <c r="BK30" i="47"/>
  <c r="AV30" i="47"/>
  <c r="AQ30" i="47"/>
  <c r="I52" i="47"/>
  <c r="B26" i="43"/>
  <c r="BM30" i="47" l="1"/>
  <c r="BK31" i="47"/>
  <c r="M20" i="47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N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AQ31" i="47"/>
  <c r="AV31" i="47"/>
  <c r="E11" i="47"/>
  <c r="B27" i="43"/>
  <c r="BM31" i="47" l="1"/>
  <c r="BK32" i="47"/>
  <c r="BM32" i="47" s="1"/>
  <c r="M21" i="47"/>
  <c r="O20" i="47"/>
  <c r="AB32" i="47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BC17" i="47"/>
  <c r="BH12" i="47"/>
  <c r="AN21" i="47"/>
  <c r="AS25" i="47"/>
  <c r="AX25" i="47"/>
  <c r="AI19" i="47"/>
  <c r="Y12" i="47"/>
  <c r="J18" i="47"/>
  <c r="T11" i="47"/>
  <c r="AD11" i="47"/>
  <c r="B28" i="43"/>
  <c r="M22" i="47" l="1"/>
  <c r="O21" i="47"/>
  <c r="BH13" i="47"/>
  <c r="BC18" i="47"/>
  <c r="AX26" i="47"/>
  <c r="AS26" i="47"/>
  <c r="AN22" i="47"/>
  <c r="AI20" i="47"/>
  <c r="Y13" i="47"/>
  <c r="J19" i="47"/>
  <c r="E12" i="47"/>
  <c r="T12" i="47"/>
  <c r="AD12" i="47"/>
  <c r="E13" i="47"/>
  <c r="B29" i="43"/>
  <c r="M23" i="47" l="1"/>
  <c r="O22" i="47"/>
  <c r="BC19" i="47"/>
  <c r="BH14" i="47"/>
  <c r="AN23" i="47"/>
  <c r="AS27" i="47"/>
  <c r="AX27" i="47"/>
  <c r="AI21" i="47"/>
  <c r="J20" i="47"/>
  <c r="Y14" i="47"/>
  <c r="AD13" i="47"/>
  <c r="T13" i="47"/>
  <c r="E14" i="47"/>
  <c r="B30" i="43"/>
  <c r="M24" i="47" l="1"/>
  <c r="O23" i="47"/>
  <c r="BH15" i="47"/>
  <c r="BC20" i="47"/>
  <c r="AX28" i="47"/>
  <c r="AN24" i="47"/>
  <c r="AS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M25" i="47" l="1"/>
  <c r="O24" i="47"/>
  <c r="BC21" i="47"/>
  <c r="BH16" i="47"/>
  <c r="AN25" i="47"/>
  <c r="AX29" i="47"/>
  <c r="AS29" i="47"/>
  <c r="AI23" i="47"/>
  <c r="Y16" i="47"/>
  <c r="J22" i="47"/>
  <c r="T15" i="47"/>
  <c r="AD15" i="47"/>
  <c r="E16" i="47"/>
  <c r="M26" i="47" l="1"/>
  <c r="O25" i="47"/>
  <c r="BH17" i="47"/>
  <c r="BC22" i="47"/>
  <c r="AN26" i="47"/>
  <c r="AS30" i="47"/>
  <c r="AX30" i="47"/>
  <c r="AI24" i="47"/>
  <c r="J23" i="47"/>
  <c r="Y17" i="47"/>
  <c r="AD16" i="47"/>
  <c r="T16" i="47"/>
  <c r="E17" i="47"/>
  <c r="M27" i="47" l="1"/>
  <c r="O26" i="47"/>
  <c r="BC23" i="47"/>
  <c r="BH18" i="47"/>
  <c r="AN27" i="47"/>
  <c r="AI25" i="47"/>
  <c r="Y18" i="47"/>
  <c r="J24" i="47"/>
  <c r="T17" i="47"/>
  <c r="AD17" i="47"/>
  <c r="E18" i="47"/>
  <c r="M28" i="47" l="1"/>
  <c r="O27" i="47"/>
  <c r="BH19" i="47"/>
  <c r="BC24" i="47"/>
  <c r="AN28" i="47"/>
  <c r="AI26" i="47"/>
  <c r="J25" i="47"/>
  <c r="Y19" i="47"/>
  <c r="AD18" i="47"/>
  <c r="T18" i="47"/>
  <c r="E19" i="47"/>
  <c r="M29" i="47" l="1"/>
  <c r="O28" i="47"/>
  <c r="BC25" i="47"/>
  <c r="BH20" i="47"/>
  <c r="AN29" i="47"/>
  <c r="AI27" i="47"/>
  <c r="J26" i="47"/>
  <c r="Y20" i="47"/>
  <c r="T19" i="47"/>
  <c r="AD19" i="47"/>
  <c r="E20" i="47"/>
  <c r="M30" i="47" l="1"/>
  <c r="O29" i="47"/>
  <c r="BH21" i="47"/>
  <c r="BC26" i="47"/>
  <c r="AN30" i="47"/>
  <c r="AI28" i="47"/>
  <c r="Y21" i="47"/>
  <c r="J27" i="47"/>
  <c r="T20" i="47"/>
  <c r="AD20" i="47"/>
  <c r="E21" i="47"/>
  <c r="M31" i="47" l="1"/>
  <c r="O30" i="47"/>
  <c r="BC27" i="47"/>
  <c r="BH22" i="47"/>
  <c r="AI29" i="47"/>
  <c r="J28" i="47"/>
  <c r="Y22" i="47"/>
  <c r="T21" i="47"/>
  <c r="AD21" i="47"/>
  <c r="E22" i="47"/>
  <c r="M32" i="47" l="1"/>
  <c r="O32" i="47" s="1"/>
  <c r="O31" i="47"/>
  <c r="BH23" i="47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M340" i="28" l="1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K34" i="68" s="1"/>
  <c r="L34" i="68" s="1"/>
  <c r="D27" i="28"/>
  <c r="D17" i="28"/>
  <c r="D35" i="28"/>
  <c r="K31" i="68" s="1"/>
  <c r="L31" i="68" s="1"/>
  <c r="D36" i="28"/>
  <c r="K32" i="68" s="1"/>
  <c r="L32" i="68" s="1"/>
  <c r="D32" i="28"/>
  <c r="K28" i="68" s="1"/>
  <c r="L28" i="68" s="1"/>
  <c r="D28" i="28"/>
  <c r="D24" i="28"/>
  <c r="D20" i="28"/>
  <c r="D31" i="28"/>
  <c r="L27" i="68" s="1"/>
  <c r="D23" i="28"/>
  <c r="D19" i="28"/>
  <c r="D34" i="28"/>
  <c r="K30" i="68" s="1"/>
  <c r="L30" i="68" s="1"/>
  <c r="D30" i="28"/>
  <c r="D26" i="28"/>
  <c r="D22" i="28"/>
  <c r="D18" i="28"/>
  <c r="D37" i="28"/>
  <c r="K33" i="68" s="1"/>
  <c r="L33" i="68" s="1"/>
  <c r="D33" i="28"/>
  <c r="K29" i="68" s="1"/>
  <c r="L29" i="68" s="1"/>
  <c r="D29" i="28"/>
  <c r="D25" i="28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K36" i="68" l="1"/>
  <c r="L36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K35" i="68" l="1"/>
  <c r="L35" i="68" s="1"/>
  <c r="K50" i="77"/>
  <c r="J8" i="31"/>
  <c r="I133" i="31" l="1"/>
  <c r="I25" i="31"/>
  <c r="I14" i="31"/>
  <c r="K9" i="31"/>
  <c r="I134" i="31" l="1"/>
  <c r="I145" i="31"/>
  <c r="I26" i="31"/>
  <c r="I15" i="31"/>
  <c r="I37" i="31"/>
  <c r="I157" i="31" l="1"/>
  <c r="I49" i="31"/>
  <c r="I146" i="31"/>
  <c r="I38" i="31"/>
  <c r="I135" i="31"/>
  <c r="I27" i="31"/>
  <c r="I16" i="31"/>
  <c r="I147" i="31" l="1"/>
  <c r="I39" i="31"/>
  <c r="I169" i="31"/>
  <c r="I61" i="31"/>
  <c r="I136" i="31"/>
  <c r="I17" i="31"/>
  <c r="I28" i="31"/>
  <c r="I158" i="31"/>
  <c r="I50" i="31"/>
  <c r="I170" i="31" l="1"/>
  <c r="I62" i="31"/>
  <c r="I148" i="31"/>
  <c r="I40" i="31"/>
  <c r="I159" i="31"/>
  <c r="I51" i="31"/>
  <c r="I137" i="31"/>
  <c r="I29" i="31"/>
  <c r="I18" i="31"/>
  <c r="I181" i="31"/>
  <c r="I73" i="31"/>
  <c r="I193" i="31" l="1"/>
  <c r="I138" i="31"/>
  <c r="I19" i="31"/>
  <c r="I30" i="31"/>
  <c r="I182" i="31"/>
  <c r="I74" i="31"/>
  <c r="I85" i="31"/>
  <c r="I149" i="31"/>
  <c r="I41" i="31"/>
  <c r="I171" i="31"/>
  <c r="I63" i="31"/>
  <c r="I160" i="31"/>
  <c r="I52" i="31"/>
  <c r="I194" i="31" l="1"/>
  <c r="I205" i="31"/>
  <c r="I172" i="31"/>
  <c r="I64" i="31"/>
  <c r="I161" i="31"/>
  <c r="I53" i="31"/>
  <c r="I97" i="31"/>
  <c r="I150" i="31"/>
  <c r="I42" i="31"/>
  <c r="I183" i="31"/>
  <c r="I75" i="31"/>
  <c r="I86" i="31"/>
  <c r="I139" i="31"/>
  <c r="I31" i="31"/>
  <c r="I20" i="31"/>
  <c r="I206" i="31" l="1"/>
  <c r="I217" i="31"/>
  <c r="I195" i="31"/>
  <c r="I151" i="31"/>
  <c r="I43" i="31"/>
  <c r="I87" i="31"/>
  <c r="I162" i="31"/>
  <c r="I54" i="31"/>
  <c r="I109" i="31"/>
  <c r="I184" i="31"/>
  <c r="I76" i="31"/>
  <c r="I140" i="31"/>
  <c r="I21" i="31"/>
  <c r="I32" i="31"/>
  <c r="I98" i="31"/>
  <c r="I173" i="31"/>
  <c r="I65" i="31"/>
  <c r="I229" i="31" l="1"/>
  <c r="I218" i="31"/>
  <c r="I196" i="31"/>
  <c r="I207" i="31"/>
  <c r="I152" i="31"/>
  <c r="I44" i="31"/>
  <c r="I174" i="31"/>
  <c r="I66" i="31"/>
  <c r="I185" i="31"/>
  <c r="I77" i="31"/>
  <c r="I110" i="31"/>
  <c r="I141" i="31"/>
  <c r="I33" i="31"/>
  <c r="I22" i="31"/>
  <c r="I88" i="31"/>
  <c r="I121" i="31"/>
  <c r="I99" i="31"/>
  <c r="I163" i="31"/>
  <c r="I55" i="31"/>
  <c r="I208" i="31" l="1"/>
  <c r="I230" i="31"/>
  <c r="I197" i="31"/>
  <c r="I219" i="31"/>
  <c r="I241" i="31"/>
  <c r="I175" i="31"/>
  <c r="I67" i="31"/>
  <c r="I100" i="31"/>
  <c r="I153" i="31"/>
  <c r="I45" i="31"/>
  <c r="I122" i="31"/>
  <c r="I164" i="31"/>
  <c r="I56" i="31"/>
  <c r="I111" i="31"/>
  <c r="I142" i="3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35" i="31"/>
  <c r="I24" i="31"/>
  <c r="I123" i="31"/>
  <c r="I187" i="31"/>
  <c r="I79" i="31"/>
  <c r="I101" i="31"/>
  <c r="I154" i="31"/>
  <c r="I46" i="31"/>
  <c r="I176" i="31"/>
  <c r="I68" i="31"/>
  <c r="I165" i="3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47" i="31"/>
  <c r="I124" i="31"/>
  <c r="I166" i="31"/>
  <c r="I58" i="31"/>
  <c r="I144" i="3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48" i="31"/>
  <c r="I178" i="31"/>
  <c r="I70" i="31"/>
  <c r="I167" i="3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M13" i="25" l="1"/>
  <c r="BV13" i="25"/>
  <c r="BX13" i="25"/>
  <c r="BI13" i="25"/>
  <c r="BR13" i="25"/>
  <c r="BP13" i="25"/>
  <c r="BQ13" i="25"/>
  <c r="BS13" i="25"/>
  <c r="BJ13" i="25"/>
  <c r="BH13" i="25"/>
  <c r="BL13" i="25"/>
  <c r="BW13" i="25"/>
  <c r="BN13" i="25"/>
  <c r="BK13" i="25"/>
  <c r="BG13" i="25"/>
  <c r="B15" i="25"/>
  <c r="O14" i="25"/>
  <c r="DA13" i="25"/>
  <c r="DB13" i="25" s="1"/>
  <c r="J15" i="31"/>
  <c r="B16" i="31"/>
  <c r="L28" i="31"/>
  <c r="BM14" i="25" l="1"/>
  <c r="BV14" i="25"/>
  <c r="BX14" i="25"/>
  <c r="BI14" i="25"/>
  <c r="BP14" i="25"/>
  <c r="BQ14" i="25"/>
  <c r="BR14" i="25"/>
  <c r="BS14" i="25"/>
  <c r="BJ14" i="25"/>
  <c r="BH14" i="25"/>
  <c r="BL14" i="25"/>
  <c r="BW14" i="25"/>
  <c r="BN14" i="25"/>
  <c r="BG14" i="25"/>
  <c r="B17" i="31"/>
  <c r="J16" i="31"/>
  <c r="DA14" i="25"/>
  <c r="DB14" i="25" s="1"/>
  <c r="L29" i="31"/>
  <c r="O15" i="25"/>
  <c r="B16" i="25"/>
  <c r="BM15" i="25" l="1"/>
  <c r="BV15" i="25"/>
  <c r="BX15" i="25"/>
  <c r="BI15" i="25"/>
  <c r="BR15" i="25"/>
  <c r="BP15" i="25"/>
  <c r="BQ15" i="25"/>
  <c r="BS15" i="25"/>
  <c r="BJ15" i="25"/>
  <c r="BH15" i="25"/>
  <c r="BL15" i="25"/>
  <c r="BW15" i="25"/>
  <c r="BN15" i="25"/>
  <c r="BG15" i="25"/>
  <c r="L30" i="31"/>
  <c r="J17" i="31"/>
  <c r="B18" i="31"/>
  <c r="DA15" i="25"/>
  <c r="DB15" i="25" s="1"/>
  <c r="O16" i="25"/>
  <c r="B17" i="25"/>
  <c r="BM16" i="25" l="1"/>
  <c r="BV16" i="25"/>
  <c r="BX16" i="25"/>
  <c r="BI16" i="25"/>
  <c r="BP16" i="25"/>
  <c r="BQ16" i="25"/>
  <c r="BR16" i="25"/>
  <c r="BS16" i="25"/>
  <c r="BJ16" i="25"/>
  <c r="BH16" i="25"/>
  <c r="BL16" i="25"/>
  <c r="BW16" i="25"/>
  <c r="BN16" i="25"/>
  <c r="BG16" i="25"/>
  <c r="B18" i="25"/>
  <c r="O17" i="25"/>
  <c r="DA16" i="25"/>
  <c r="DB16" i="25" s="1"/>
  <c r="J18" i="31"/>
  <c r="B19" i="31"/>
  <c r="L31" i="31"/>
  <c r="BM17" i="25" l="1"/>
  <c r="BV17" i="25"/>
  <c r="BX17" i="25"/>
  <c r="BI17" i="25"/>
  <c r="BP17" i="25"/>
  <c r="BQ17" i="25"/>
  <c r="BR17" i="25"/>
  <c r="BS17" i="25"/>
  <c r="BL17" i="25"/>
  <c r="BJ17" i="25"/>
  <c r="BH17" i="25"/>
  <c r="BW17" i="25"/>
  <c r="BN17" i="25"/>
  <c r="BG17" i="25"/>
  <c r="B20" i="31"/>
  <c r="J19" i="31"/>
  <c r="DA17" i="25"/>
  <c r="DB17" i="25" s="1"/>
  <c r="L32" i="31"/>
  <c r="B19" i="25"/>
  <c r="O18" i="25"/>
  <c r="BM18" i="25" l="1"/>
  <c r="BV18" i="25"/>
  <c r="BX18" i="25"/>
  <c r="BI18" i="25"/>
  <c r="BQ18" i="25"/>
  <c r="BR18" i="25"/>
  <c r="BP18" i="25"/>
  <c r="BS18" i="25"/>
  <c r="BL18" i="25"/>
  <c r="BJ18" i="25"/>
  <c r="BH18" i="25"/>
  <c r="BW18" i="25"/>
  <c r="BN18" i="25"/>
  <c r="BG18" i="25"/>
  <c r="O19" i="25"/>
  <c r="B20" i="25"/>
  <c r="DA18" i="25"/>
  <c r="DB18" i="25" s="1"/>
  <c r="L33" i="31"/>
  <c r="J20" i="31"/>
  <c r="B21" i="31"/>
  <c r="BM19" i="25" l="1"/>
  <c r="BV19" i="25"/>
  <c r="BX19" i="25"/>
  <c r="BI19" i="25"/>
  <c r="BR19" i="25"/>
  <c r="BP19" i="25"/>
  <c r="BQ19" i="25"/>
  <c r="BS19" i="25"/>
  <c r="BL19" i="25"/>
  <c r="BJ19" i="25"/>
  <c r="BH19" i="25"/>
  <c r="BW19" i="25"/>
  <c r="BN19" i="25"/>
  <c r="BG19" i="25"/>
  <c r="B22" i="31"/>
  <c r="J21" i="31"/>
  <c r="B21" i="25"/>
  <c r="O20" i="25"/>
  <c r="L34" i="31"/>
  <c r="DA19" i="25"/>
  <c r="DB19" i="25" s="1"/>
  <c r="BM20" i="25" l="1"/>
  <c r="BV20" i="25"/>
  <c r="BX20" i="25"/>
  <c r="BQ20" i="25"/>
  <c r="BI20" i="25"/>
  <c r="BR20" i="25"/>
  <c r="BP20" i="25"/>
  <c r="BS20" i="25"/>
  <c r="BL20" i="25"/>
  <c r="BJ20" i="25"/>
  <c r="BH20" i="25"/>
  <c r="BW20" i="25"/>
  <c r="BN20" i="25"/>
  <c r="BG20" i="25"/>
  <c r="DA20" i="25"/>
  <c r="DB20" i="25" s="1"/>
  <c r="J22" i="31"/>
  <c r="B23" i="31"/>
  <c r="B22" i="25"/>
  <c r="O21" i="25"/>
  <c r="L35" i="31"/>
  <c r="BM21" i="25" l="1"/>
  <c r="BV21" i="25"/>
  <c r="BX21" i="25"/>
  <c r="BR21" i="25"/>
  <c r="BI21" i="25"/>
  <c r="BS21" i="25"/>
  <c r="BQ21" i="25"/>
  <c r="BL21" i="25"/>
  <c r="BP21" i="25"/>
  <c r="BJ21" i="25"/>
  <c r="BH21" i="25"/>
  <c r="BW21" i="25"/>
  <c r="BN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M22" i="25" l="1"/>
  <c r="BV22" i="25"/>
  <c r="BX22" i="25"/>
  <c r="BI22" i="25"/>
  <c r="BS22" i="25"/>
  <c r="BQ22" i="25"/>
  <c r="BL22" i="25"/>
  <c r="BR22" i="25"/>
  <c r="BP22" i="25"/>
  <c r="BJ22" i="25"/>
  <c r="BH22" i="25"/>
  <c r="BW22" i="25"/>
  <c r="BN22" i="25"/>
  <c r="BG22" i="25"/>
  <c r="B24" i="25"/>
  <c r="O23" i="25"/>
  <c r="DA22" i="25"/>
  <c r="DB22" i="25" s="1"/>
  <c r="B25" i="31"/>
  <c r="J24" i="31"/>
  <c r="BM23" i="25" l="1"/>
  <c r="BV23" i="25"/>
  <c r="BX23" i="25"/>
  <c r="BS23" i="25"/>
  <c r="BQ23" i="25"/>
  <c r="BL23" i="25"/>
  <c r="BI23" i="25"/>
  <c r="BR23" i="25"/>
  <c r="BP23" i="25"/>
  <c r="BJ23" i="25"/>
  <c r="BH23" i="25"/>
  <c r="BW23" i="25"/>
  <c r="BN23" i="25"/>
  <c r="BG23" i="25"/>
  <c r="DA23" i="25"/>
  <c r="DB23" i="25" s="1"/>
  <c r="O24" i="25"/>
  <c r="B25" i="25"/>
  <c r="J25" i="31"/>
  <c r="B26" i="31"/>
  <c r="BM24" i="25" l="1"/>
  <c r="BV24" i="25"/>
  <c r="BQ24" i="25"/>
  <c r="BL24" i="25"/>
  <c r="BX24" i="25"/>
  <c r="BS24" i="25"/>
  <c r="BI24" i="25"/>
  <c r="BR24" i="25"/>
  <c r="BP24" i="25"/>
  <c r="BJ24" i="25"/>
  <c r="BH24" i="25"/>
  <c r="BW24" i="25"/>
  <c r="BN24" i="25"/>
  <c r="BG24" i="25"/>
  <c r="O25" i="25"/>
  <c r="B26" i="25"/>
  <c r="B27" i="31"/>
  <c r="J26" i="31"/>
  <c r="DA24" i="25"/>
  <c r="DB24" i="25" s="1"/>
  <c r="BM25" i="25" l="1"/>
  <c r="BV25" i="25"/>
  <c r="BQ25" i="25"/>
  <c r="BL25" i="25"/>
  <c r="BX25" i="25"/>
  <c r="BS25" i="25"/>
  <c r="BI25" i="25"/>
  <c r="BR25" i="25"/>
  <c r="BP25" i="25"/>
  <c r="BJ25" i="25"/>
  <c r="BH25" i="25"/>
  <c r="BW25" i="25"/>
  <c r="BN25" i="25"/>
  <c r="BG25" i="25"/>
  <c r="B28" i="31"/>
  <c r="J27" i="31"/>
  <c r="B27" i="25"/>
  <c r="O26" i="25"/>
  <c r="DA25" i="25"/>
  <c r="DB25" i="25" s="1"/>
  <c r="BM26" i="25" l="1"/>
  <c r="BV26" i="25"/>
  <c r="BQ26" i="25"/>
  <c r="BL26" i="25"/>
  <c r="BX26" i="25"/>
  <c r="BI26" i="25"/>
  <c r="BS26" i="25"/>
  <c r="BR26" i="25"/>
  <c r="BP26" i="25"/>
  <c r="BJ26" i="25"/>
  <c r="BH26" i="25"/>
  <c r="BW26" i="25"/>
  <c r="BN26" i="25"/>
  <c r="BG26" i="25"/>
  <c r="DA26" i="25"/>
  <c r="DB26" i="25" s="1"/>
  <c r="J28" i="31"/>
  <c r="B29" i="31"/>
  <c r="O27" i="25"/>
  <c r="B28" i="25"/>
  <c r="BM27" i="25" l="1"/>
  <c r="BV27" i="25"/>
  <c r="BQ27" i="25"/>
  <c r="BL27" i="25"/>
  <c r="BX27" i="25"/>
  <c r="BI27" i="25"/>
  <c r="BS27" i="25"/>
  <c r="BR27" i="25"/>
  <c r="BP27" i="25"/>
  <c r="BJ27" i="25"/>
  <c r="BH27" i="25"/>
  <c r="BW27" i="25"/>
  <c r="BN27" i="25"/>
  <c r="BG27" i="25"/>
  <c r="DA27" i="25"/>
  <c r="DB27" i="25" s="1"/>
  <c r="B29" i="25"/>
  <c r="O28" i="25"/>
  <c r="B30" i="31"/>
  <c r="J29" i="31"/>
  <c r="BM28" i="25" l="1"/>
  <c r="BV28" i="25"/>
  <c r="BQ28" i="25"/>
  <c r="BL28" i="25"/>
  <c r="BX28" i="25"/>
  <c r="BI28" i="25"/>
  <c r="BS28" i="25"/>
  <c r="BR28" i="25"/>
  <c r="BP28" i="25"/>
  <c r="BJ28" i="25"/>
  <c r="BW28" i="25"/>
  <c r="BN28" i="25"/>
  <c r="BH28" i="25"/>
  <c r="BG28" i="25"/>
  <c r="B30" i="25"/>
  <c r="O29" i="25"/>
  <c r="DA28" i="25"/>
  <c r="DB28" i="25" s="1"/>
  <c r="B31" i="31"/>
  <c r="J30" i="31"/>
  <c r="BM29" i="25" l="1"/>
  <c r="BV29" i="25"/>
  <c r="BQ29" i="25"/>
  <c r="BL29" i="25"/>
  <c r="BX29" i="25"/>
  <c r="BI29" i="25"/>
  <c r="BS29" i="25"/>
  <c r="BR29" i="25"/>
  <c r="BP29" i="25"/>
  <c r="BJ29" i="25"/>
  <c r="BH29" i="25"/>
  <c r="BW29" i="25"/>
  <c r="BN29" i="25"/>
  <c r="BG29" i="25"/>
  <c r="B32" i="31"/>
  <c r="J31" i="31"/>
  <c r="DA29" i="25"/>
  <c r="DB29" i="25" s="1"/>
  <c r="O30" i="25"/>
  <c r="B31" i="25"/>
  <c r="BM30" i="25" l="1"/>
  <c r="BV30" i="25"/>
  <c r="BQ30" i="25"/>
  <c r="BL30" i="25"/>
  <c r="BX30" i="25"/>
  <c r="BI30" i="25"/>
  <c r="BS30" i="25"/>
  <c r="BR30" i="25"/>
  <c r="BP30" i="25"/>
  <c r="BJ30" i="25"/>
  <c r="BH30" i="25"/>
  <c r="BW30" i="25"/>
  <c r="BN30" i="25"/>
  <c r="BG30" i="25"/>
  <c r="O31" i="25"/>
  <c r="B32" i="25"/>
  <c r="DA30" i="25"/>
  <c r="DB30" i="25" s="1"/>
  <c r="J32" i="31"/>
  <c r="B33" i="31"/>
  <c r="AM31" i="25" l="1"/>
  <c r="AN31" i="25"/>
  <c r="AL31" i="25"/>
  <c r="AQ31" i="25"/>
  <c r="BM31" i="25"/>
  <c r="BV31" i="25"/>
  <c r="BQ31" i="25"/>
  <c r="BL31" i="25"/>
  <c r="BX31" i="25"/>
  <c r="BI31" i="25"/>
  <c r="BS31" i="25"/>
  <c r="BR31" i="25"/>
  <c r="BP31" i="25"/>
  <c r="BJ31" i="25"/>
  <c r="BH31" i="25"/>
  <c r="BW31" i="25"/>
  <c r="BN31" i="25"/>
  <c r="DA31" i="25"/>
  <c r="DB31" i="25" s="1"/>
  <c r="BG31" i="25"/>
  <c r="B33" i="25"/>
  <c r="O32" i="25"/>
  <c r="B34" i="31"/>
  <c r="J33" i="31"/>
  <c r="BM32" i="25" l="1"/>
  <c r="BV32" i="25"/>
  <c r="BQ32" i="25"/>
  <c r="BL32" i="25"/>
  <c r="BX32" i="25"/>
  <c r="BS32" i="25"/>
  <c r="BI32" i="25"/>
  <c r="BR32" i="25"/>
  <c r="BP32" i="25"/>
  <c r="BJ32" i="25"/>
  <c r="BH32" i="25"/>
  <c r="BW32" i="25"/>
  <c r="BN32" i="25"/>
  <c r="DA32" i="25"/>
  <c r="DB32" i="25" s="1"/>
  <c r="BG32" i="25"/>
  <c r="B34" i="25"/>
  <c r="O33" i="25"/>
  <c r="B35" i="31"/>
  <c r="J34" i="31"/>
  <c r="BM33" i="25" l="1"/>
  <c r="BV33" i="25"/>
  <c r="BQ33" i="25"/>
  <c r="BL33" i="25"/>
  <c r="BX33" i="25"/>
  <c r="BS33" i="25"/>
  <c r="BI33" i="25"/>
  <c r="BR33" i="25"/>
  <c r="BP33" i="25"/>
  <c r="BJ33" i="25"/>
  <c r="BH33" i="25"/>
  <c r="BW33" i="25"/>
  <c r="BN33" i="25"/>
  <c r="DA33" i="25"/>
  <c r="DB33" i="25" s="1"/>
  <c r="BG33" i="25"/>
  <c r="O34" i="25"/>
  <c r="J35" i="31"/>
  <c r="B36" i="31"/>
  <c r="BM34" i="25" l="1"/>
  <c r="BV34" i="25"/>
  <c r="BX34" i="25"/>
  <c r="BQ34" i="25"/>
  <c r="BL34" i="25"/>
  <c r="BI34" i="25"/>
  <c r="BS34" i="25"/>
  <c r="BR34" i="25"/>
  <c r="BP34" i="25"/>
  <c r="BJ34" i="25"/>
  <c r="BH34" i="25"/>
  <c r="BW34" i="25"/>
  <c r="BN34" i="25"/>
  <c r="BG34" i="25"/>
  <c r="DA34" i="25"/>
  <c r="DB34" i="25" s="1"/>
  <c r="B37" i="31"/>
  <c r="J36" i="31"/>
  <c r="B38" i="31" l="1"/>
  <c r="J37" i="31"/>
  <c r="B39" i="31" l="1"/>
  <c r="J38" i="31"/>
  <c r="J39" i="31" l="1"/>
  <c r="B40" i="31"/>
  <c r="B41" i="31" l="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J241" i="31" l="1"/>
  <c r="J242" i="31" l="1"/>
  <c r="J243" i="31" l="1"/>
  <c r="J244" i="31" l="1"/>
  <c r="J245" i="31" l="1"/>
  <c r="J246" i="31" l="1"/>
  <c r="J247" i="31" l="1"/>
  <c r="J248" i="31" l="1"/>
  <c r="J249" i="31" l="1"/>
  <c r="J250" i="31" l="1"/>
  <c r="J251" i="31" l="1"/>
  <c r="J252" i="31"/>
  <c r="CX13" i="25" l="1"/>
  <c r="CX14" i="25" l="1"/>
  <c r="CX15" i="25" l="1"/>
  <c r="CX16" i="25" l="1"/>
  <c r="CX17" i="25"/>
  <c r="CX19" i="25" l="1"/>
  <c r="CX18" i="25"/>
  <c r="CX20" i="25"/>
  <c r="CX21" i="25" l="1"/>
  <c r="CX22" i="25" l="1"/>
  <c r="CX23" i="25"/>
  <c r="CX27" i="25" l="1"/>
  <c r="CX25" i="25"/>
  <c r="CX24" i="25"/>
  <c r="CX26" i="25"/>
  <c r="CV28" i="25" l="1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CX29" i="25" l="1"/>
  <c r="CV29" i="25"/>
  <c r="CX28" i="25"/>
  <c r="CW29" i="25" l="1"/>
  <c r="CV30" i="25" l="1"/>
  <c r="CW30" i="25"/>
  <c r="CX30" i="25"/>
  <c r="L24" i="43" l="1"/>
  <c r="L25" i="43" l="1"/>
  <c r="G24" i="43"/>
  <c r="L26" i="43" l="1"/>
  <c r="G25" i="43"/>
  <c r="BK21" i="25" l="1"/>
  <c r="L27" i="43"/>
  <c r="G26" i="43"/>
  <c r="BK22" i="25" l="1"/>
  <c r="L28" i="43"/>
  <c r="G27" i="43"/>
  <c r="BK23" i="25" l="1"/>
  <c r="L29" i="43"/>
  <c r="G28" i="43"/>
  <c r="J28" i="43" s="1"/>
  <c r="BK24" i="25" l="1"/>
  <c r="L30" i="43"/>
  <c r="G29" i="43"/>
  <c r="J29" i="43" s="1"/>
  <c r="B21" i="77"/>
  <c r="K28" i="43"/>
  <c r="BK25" i="25" l="1"/>
  <c r="L31" i="43"/>
  <c r="G30" i="43"/>
  <c r="J30" i="43" s="1"/>
  <c r="B22" i="77"/>
  <c r="K29" i="43"/>
  <c r="BK26" i="25" l="1"/>
  <c r="L32" i="43"/>
  <c r="G31" i="43"/>
  <c r="J31" i="43" s="1"/>
  <c r="B23" i="77"/>
  <c r="K30" i="43"/>
  <c r="BK27" i="25" l="1"/>
  <c r="L33" i="43"/>
  <c r="G32" i="43"/>
  <c r="J32" i="43" s="1"/>
  <c r="B24" i="77"/>
  <c r="K31" i="43"/>
  <c r="BK28" i="25" l="1"/>
  <c r="G33" i="43"/>
  <c r="L34" i="43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K29" i="25" l="1"/>
  <c r="J33" i="43"/>
  <c r="K33" i="43" s="1"/>
  <c r="G34" i="43"/>
  <c r="L35" i="43"/>
  <c r="BK30" i="25" l="1"/>
  <c r="J34" i="43"/>
  <c r="K34" i="43" s="1"/>
  <c r="G35" i="43"/>
  <c r="L36" i="43"/>
  <c r="BK31" i="25" l="1"/>
  <c r="J35" i="43"/>
  <c r="K35" i="43" s="1"/>
  <c r="G36" i="43"/>
  <c r="L37" i="43"/>
  <c r="BK32" i="25" s="1"/>
  <c r="BK33" i="25" l="1"/>
  <c r="BK34" i="25"/>
  <c r="BK15" i="25"/>
  <c r="BK14" i="25"/>
  <c r="BK16" i="25"/>
  <c r="BK20" i="25"/>
  <c r="BK18" i="25"/>
  <c r="BK17" i="25"/>
  <c r="BK19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29" i="25" l="1"/>
  <c r="CE31" i="25"/>
  <c r="CE34" i="25"/>
  <c r="CE30" i="25"/>
  <c r="CE32" i="25"/>
  <c r="CE33" i="25"/>
  <c r="CE28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25" i="25"/>
  <c r="DC24" i="25"/>
  <c r="DC33" i="25"/>
  <c r="DC17" i="25"/>
  <c r="DC30" i="25"/>
  <c r="DC18" i="25"/>
  <c r="DC32" i="25"/>
  <c r="DC22" i="25"/>
  <c r="DC16" i="25"/>
  <c r="DC29" i="25"/>
  <c r="DC26" i="25"/>
  <c r="DC23" i="25"/>
  <c r="DC13" i="25"/>
  <c r="DC14" i="25"/>
  <c r="DC19" i="25"/>
  <c r="AL17" i="25"/>
  <c r="AV14" i="25"/>
  <c r="AT17" i="25"/>
  <c r="AT15" i="25"/>
  <c r="CL15" i="25" s="1"/>
  <c r="AR15" i="25"/>
  <c r="AR16" i="25"/>
  <c r="AN18" i="25"/>
  <c r="AQ18" i="25"/>
  <c r="AL18" i="25"/>
  <c r="AQ17" i="25"/>
  <c r="AN17" i="25"/>
  <c r="CJ16" i="25" l="1"/>
  <c r="AO14" i="25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AN26" i="25"/>
  <c r="CF26" i="25" s="1"/>
  <c r="AR29" i="25"/>
  <c r="CG27" i="25" l="1"/>
  <c r="CI27" i="25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25" i="25"/>
  <c r="CJ28" i="25"/>
  <c r="CJ29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19" i="25"/>
  <c r="CK24" i="25"/>
  <c r="CK26" i="25"/>
  <c r="CK17" i="25"/>
  <c r="CK21" i="25"/>
  <c r="CK18" i="25"/>
  <c r="CK27" i="25"/>
  <c r="CK23" i="25"/>
  <c r="CK28" i="25"/>
  <c r="CK31" i="25"/>
  <c r="CK15" i="25"/>
  <c r="CK14" i="25"/>
  <c r="CK25" i="25"/>
  <c r="CK33" i="25"/>
  <c r="CK13" i="25"/>
  <c r="CK34" i="25"/>
  <c r="CK32" i="25"/>
  <c r="CG31" i="25"/>
  <c r="CG33" i="25"/>
  <c r="CG29" i="25"/>
  <c r="CG30" i="25"/>
  <c r="CG34" i="25"/>
  <c r="CG32" i="25"/>
  <c r="CN27" i="25"/>
  <c r="CN26" i="25"/>
  <c r="CH27" i="25"/>
  <c r="CH33" i="25"/>
  <c r="CH25" i="25"/>
  <c r="CH28" i="25"/>
  <c r="CH32" i="25"/>
  <c r="CH24" i="25"/>
  <c r="CH31" i="25"/>
  <c r="CH29" i="25"/>
  <c r="CH23" i="25"/>
  <c r="CH16" i="25"/>
  <c r="CH19" i="25"/>
  <c r="CH13" i="25"/>
  <c r="CH17" i="25"/>
  <c r="CH34" i="25"/>
  <c r="CH26" i="25"/>
  <c r="CH14" i="25"/>
  <c r="CH30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N28" i="25"/>
  <c r="CM28" i="25" l="1"/>
  <c r="CM32" i="25"/>
  <c r="CM31" i="25"/>
  <c r="CM27" i="25"/>
  <c r="CI28" i="25"/>
  <c r="CI30" i="25"/>
  <c r="CI34" i="25"/>
  <c r="CI33" i="25"/>
  <c r="CI32" i="25"/>
  <c r="CI29" i="25"/>
  <c r="CI31" i="25"/>
  <c r="CL30" i="25"/>
  <c r="CL33" i="25"/>
  <c r="CL34" i="25"/>
  <c r="CL31" i="25"/>
  <c r="CL32" i="25"/>
  <c r="CL29" i="25"/>
  <c r="CL27" i="25"/>
  <c r="AW25" i="25"/>
  <c r="CO25" i="25" s="1"/>
  <c r="AX25" i="25"/>
  <c r="CL28" i="25"/>
  <c r="CM29" i="25"/>
  <c r="CM34" i="25"/>
  <c r="CN29" i="25"/>
  <c r="CN32" i="25"/>
  <c r="CN31" i="25"/>
  <c r="CN33" i="25"/>
  <c r="CN30" i="25"/>
  <c r="CN34" i="25"/>
  <c r="AZ26" i="25"/>
  <c r="BA26" i="25"/>
  <c r="AW26" i="25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CM33" i="25"/>
  <c r="CO28" i="25" l="1"/>
  <c r="CO26" i="25"/>
  <c r="CP26" i="25"/>
  <c r="CP27" i="25"/>
  <c r="CO32" i="25"/>
  <c r="CO33" i="25"/>
  <c r="CO29" i="25"/>
  <c r="AZ25" i="25"/>
  <c r="BA25" i="25"/>
  <c r="CF28" i="25"/>
  <c r="CF29" i="25"/>
  <c r="CF33" i="25"/>
  <c r="CF32" i="25"/>
  <c r="CF34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CP30" i="25"/>
  <c r="CP33" i="25"/>
  <c r="CP31" i="25"/>
  <c r="CP29" i="25"/>
  <c r="CP34" i="25"/>
  <c r="CP32" i="25"/>
  <c r="CP25" i="25"/>
  <c r="CP28" i="25"/>
  <c r="CO34" i="25"/>
  <c r="CR26" i="25" l="1"/>
  <c r="CQ33" i="25"/>
  <c r="CQ14" i="25"/>
  <c r="CQ22" i="25"/>
  <c r="CQ30" i="25"/>
  <c r="CQ29" i="25"/>
  <c r="CQ25" i="25"/>
  <c r="CQ32" i="25"/>
  <c r="CQ16" i="25"/>
  <c r="CQ17" i="25"/>
  <c r="CQ34" i="25"/>
  <c r="CQ15" i="25"/>
  <c r="CQ26" i="25"/>
  <c r="CQ27" i="25"/>
  <c r="CQ20" i="25"/>
  <c r="CQ28" i="25"/>
  <c r="CQ24" i="25"/>
  <c r="CQ31" i="25"/>
  <c r="CQ19" i="25"/>
  <c r="CQ18" i="25"/>
  <c r="CQ23" i="25"/>
  <c r="CQ13" i="25"/>
  <c r="CQ21" i="25"/>
  <c r="CS27" i="25"/>
  <c r="CS26" i="25"/>
  <c r="CS25" i="25"/>
  <c r="CR25" i="25"/>
  <c r="CR27" i="25"/>
  <c r="CT14" i="25"/>
  <c r="CT25" i="25"/>
  <c r="CT20" i="25"/>
  <c r="CT23" i="25"/>
  <c r="CT22" i="25"/>
  <c r="CT13" i="25"/>
  <c r="CT19" i="25"/>
  <c r="CT17" i="25"/>
  <c r="CT18" i="25"/>
  <c r="CT26" i="25"/>
  <c r="CT24" i="25"/>
  <c r="CT27" i="25"/>
  <c r="CT21" i="25"/>
  <c r="CT16" i="25"/>
  <c r="CT1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BC20" i="25" l="1"/>
  <c r="CU20" i="25" l="1"/>
  <c r="CY20" i="25" s="1"/>
  <c r="C20" i="25" s="1"/>
  <c r="BC21" i="25"/>
  <c r="CU21" i="25" l="1"/>
  <c r="CY21" i="25" s="1"/>
  <c r="C21" i="25" s="1"/>
  <c r="BC22" i="25"/>
  <c r="CU22" i="25" l="1"/>
  <c r="CY22" i="25" s="1"/>
  <c r="C22" i="25" s="1"/>
  <c r="BC23" i="25"/>
  <c r="CU23" i="25" l="1"/>
  <c r="CY23" i="25" s="1"/>
  <c r="C23" i="25" s="1"/>
  <c r="BC24" i="25"/>
  <c r="CU24" i="25" s="1"/>
  <c r="CY24" i="25" s="1"/>
  <c r="C24" i="25" s="1"/>
  <c r="BC25" i="25" l="1"/>
  <c r="CU26" i="25" l="1"/>
  <c r="CY26" i="25" s="1"/>
  <c r="C26" i="25" s="1"/>
  <c r="CU25" i="25"/>
  <c r="CY25" i="25" s="1"/>
  <c r="C25" i="25" s="1"/>
  <c r="BC27" i="25" l="1"/>
  <c r="CU27" i="25" s="1"/>
  <c r="CY27" i="25" s="1"/>
  <c r="C27" i="25" s="1"/>
  <c r="BC28" i="25" l="1"/>
  <c r="BC29" i="25" l="1"/>
  <c r="CU29" i="25" s="1"/>
  <c r="CU28" i="25"/>
  <c r="CU32" i="25" l="1"/>
  <c r="CU31" i="25"/>
  <c r="CU30" i="25"/>
  <c r="CU33" i="25"/>
  <c r="CU34" i="25"/>
  <c r="B11" i="77" l="1"/>
  <c r="B12" i="77" l="1"/>
  <c r="B13" i="77" l="1"/>
  <c r="B14" i="77" l="1"/>
  <c r="B15" i="77" l="1"/>
  <c r="J24" i="43" l="1"/>
  <c r="B16" i="77"/>
  <c r="J25" i="43" l="1"/>
  <c r="K24" i="43"/>
  <c r="B17" i="77"/>
  <c r="K25" i="43" l="1"/>
  <c r="B18" i="77"/>
  <c r="J26" i="43"/>
  <c r="J27" i="43"/>
  <c r="B20" i="77" l="1"/>
  <c r="K27" i="43"/>
  <c r="K26" i="43"/>
  <c r="B19" i="77"/>
  <c r="B50" i="77" l="1"/>
  <c r="C9" i="28" l="1"/>
  <c r="C30" i="28" l="1"/>
  <c r="C26" i="28"/>
  <c r="C31" i="28"/>
  <c r="C21" i="28"/>
  <c r="C27" i="28"/>
  <c r="C18" i="28"/>
  <c r="C33" i="28"/>
  <c r="C29" i="28"/>
  <c r="C25" i="28"/>
  <c r="C38" i="28"/>
  <c r="C32" i="28"/>
  <c r="C34" i="28"/>
  <c r="C37" i="28"/>
  <c r="C19" i="28"/>
  <c r="C23" i="28"/>
  <c r="C28" i="28"/>
  <c r="C17" i="28"/>
  <c r="C35" i="28"/>
  <c r="C20" i="28"/>
  <c r="C36" i="28"/>
  <c r="C24" i="28"/>
  <c r="C22" i="28"/>
  <c r="AZ28" i="25" l="1"/>
  <c r="A73" i="25"/>
  <c r="AZ29" i="25"/>
  <c r="BA28" i="25"/>
  <c r="CS28" i="25" l="1"/>
  <c r="CR28" i="25"/>
  <c r="CR29" i="25"/>
  <c r="AZ30" i="25"/>
  <c r="BA30" i="25"/>
  <c r="BB28" i="25"/>
  <c r="BB29" i="25"/>
  <c r="BA29" i="25"/>
  <c r="A72" i="25" l="1"/>
  <c r="CT29" i="25"/>
  <c r="CT28" i="25"/>
  <c r="CY28" i="25" s="1"/>
  <c r="C28" i="25" s="1"/>
  <c r="CS29" i="25"/>
  <c r="CS30" i="25"/>
  <c r="CR30" i="25"/>
  <c r="CY29" i="25" l="1"/>
  <c r="C29" i="25" s="1"/>
  <c r="AZ31" i="25"/>
  <c r="BA31" i="25"/>
  <c r="BB30" i="25" l="1"/>
  <c r="CT30" i="25" s="1"/>
  <c r="CY30" i="25" s="1"/>
  <c r="C30" i="25" s="1"/>
  <c r="CS34" i="25"/>
  <c r="CS33" i="25"/>
  <c r="CS32" i="25"/>
  <c r="CS31" i="25"/>
  <c r="CR31" i="25"/>
  <c r="CR32" i="25"/>
  <c r="CR34" i="25"/>
  <c r="CR33" i="25"/>
  <c r="BB31" i="25" l="1"/>
  <c r="CT31" i="25" s="1"/>
  <c r="CY31" i="25" s="1"/>
  <c r="C31" i="25" s="1"/>
  <c r="A74" i="25"/>
  <c r="CT32" i="25" l="1"/>
  <c r="CY32" i="25" s="1"/>
  <c r="C32" i="25" s="1"/>
  <c r="CT33" i="25"/>
  <c r="CY33" i="25" s="1"/>
  <c r="C33" i="25" s="1"/>
  <c r="CT34" i="25"/>
  <c r="CY34" i="25" s="1"/>
  <c r="C34" i="25" s="1"/>
  <c r="G53" i="25"/>
  <c r="E53" i="25"/>
  <c r="G57" i="25"/>
  <c r="E57" i="25"/>
  <c r="K173" i="31" l="1"/>
  <c r="D173" i="31"/>
  <c r="K227" i="31"/>
  <c r="D227" i="31"/>
  <c r="D135" i="31"/>
  <c r="K135" i="31"/>
  <c r="D201" i="31"/>
  <c r="K201" i="31"/>
  <c r="K166" i="31"/>
  <c r="D166" i="31"/>
  <c r="D238" i="31"/>
  <c r="K238" i="31"/>
  <c r="D169" i="31"/>
  <c r="O29" i="31"/>
  <c r="K169" i="31"/>
  <c r="D148" i="31"/>
  <c r="K148" i="31"/>
  <c r="D234" i="31"/>
  <c r="K234" i="31"/>
  <c r="K202" i="31"/>
  <c r="D202" i="31"/>
  <c r="D152" i="31"/>
  <c r="K152" i="31"/>
  <c r="K213" i="31"/>
  <c r="D213" i="31"/>
  <c r="K239" i="31"/>
  <c r="D239" i="31"/>
  <c r="D191" i="31"/>
  <c r="K191" i="31"/>
  <c r="K189" i="31"/>
  <c r="D189" i="31"/>
  <c r="K177" i="31"/>
  <c r="D177" i="31"/>
  <c r="D164" i="31"/>
  <c r="K164" i="31"/>
  <c r="K190" i="31"/>
  <c r="D190" i="31"/>
  <c r="K168" i="31"/>
  <c r="D168" i="31"/>
  <c r="K141" i="31"/>
  <c r="D141" i="31"/>
  <c r="K237" i="31"/>
  <c r="D237" i="31"/>
  <c r="D221" i="31"/>
  <c r="K221" i="31"/>
  <c r="K211" i="31"/>
  <c r="D211" i="31"/>
  <c r="O28" i="31"/>
  <c r="D157" i="31"/>
  <c r="K157" i="31"/>
  <c r="K180" i="31"/>
  <c r="D180" i="31"/>
  <c r="K155" i="31"/>
  <c r="D155" i="31"/>
  <c r="K161" i="31"/>
  <c r="D161" i="31"/>
  <c r="D235" i="31"/>
  <c r="K235" i="31"/>
  <c r="D223" i="31"/>
  <c r="K223" i="31"/>
  <c r="D171" i="31"/>
  <c r="K171" i="31"/>
  <c r="K219" i="31"/>
  <c r="D219" i="31"/>
  <c r="D218" i="31"/>
  <c r="K218" i="31"/>
  <c r="K220" i="31"/>
  <c r="D220" i="31"/>
  <c r="D186" i="31"/>
  <c r="K186" i="31"/>
  <c r="K210" i="31"/>
  <c r="D210" i="31"/>
  <c r="D153" i="31"/>
  <c r="K153" i="31"/>
  <c r="K229" i="31"/>
  <c r="D229" i="31"/>
  <c r="O34" i="31"/>
  <c r="D206" i="31"/>
  <c r="K206" i="31"/>
  <c r="D185" i="31"/>
  <c r="K185" i="31"/>
  <c r="K198" i="31"/>
  <c r="D198" i="31"/>
  <c r="K197" i="31"/>
  <c r="D197" i="31"/>
  <c r="D154" i="31"/>
  <c r="K154" i="31"/>
  <c r="K149" i="31"/>
  <c r="D149" i="31"/>
  <c r="K226" i="31"/>
  <c r="D226" i="31"/>
  <c r="D199" i="31"/>
  <c r="K199" i="31"/>
  <c r="K233" i="31"/>
  <c r="D233" i="31"/>
  <c r="O33" i="31"/>
  <c r="K217" i="31"/>
  <c r="D217" i="31"/>
  <c r="K170" i="31"/>
  <c r="D170" i="31"/>
  <c r="K228" i="31"/>
  <c r="D228" i="31"/>
  <c r="D147" i="31"/>
  <c r="K147" i="31"/>
  <c r="D214" i="31"/>
  <c r="K214" i="31"/>
  <c r="K203" i="31"/>
  <c r="D203" i="31"/>
  <c r="D231" i="31"/>
  <c r="K231" i="31"/>
  <c r="D194" i="31"/>
  <c r="K194" i="31"/>
  <c r="D179" i="31"/>
  <c r="K179" i="31"/>
  <c r="K207" i="31"/>
  <c r="D207" i="31"/>
  <c r="K178" i="31"/>
  <c r="D178" i="31"/>
  <c r="D140" i="31"/>
  <c r="K140" i="31"/>
  <c r="K174" i="31"/>
  <c r="D174" i="31"/>
  <c r="K146" i="31"/>
  <c r="D146" i="31"/>
  <c r="O26" i="31"/>
  <c r="D133" i="31"/>
  <c r="K133" i="31"/>
  <c r="K230" i="31"/>
  <c r="D230" i="31"/>
  <c r="D212" i="31"/>
  <c r="K212" i="31"/>
  <c r="K134" i="31"/>
  <c r="D134" i="31"/>
  <c r="K139" i="31"/>
  <c r="D139" i="31"/>
  <c r="K160" i="31"/>
  <c r="D160" i="31"/>
  <c r="K240" i="31"/>
  <c r="D240" i="31"/>
  <c r="K159" i="31"/>
  <c r="D159" i="31"/>
  <c r="K175" i="31"/>
  <c r="D175" i="31"/>
  <c r="D143" i="31"/>
  <c r="K143" i="31"/>
  <c r="O30" i="31"/>
  <c r="K181" i="31"/>
  <c r="D181" i="31"/>
  <c r="K216" i="31"/>
  <c r="D216" i="31"/>
  <c r="D225" i="31"/>
  <c r="K225" i="31"/>
  <c r="K204" i="31"/>
  <c r="D204" i="31"/>
  <c r="K208" i="31"/>
  <c r="D208" i="31"/>
  <c r="D165" i="31"/>
  <c r="K165" i="31"/>
  <c r="K184" i="31"/>
  <c r="D184" i="31"/>
  <c r="K209" i="31"/>
  <c r="D209" i="31"/>
  <c r="D145" i="31"/>
  <c r="O27" i="31"/>
  <c r="K145" i="31"/>
  <c r="K196" i="31"/>
  <c r="D196" i="31"/>
  <c r="D172" i="31"/>
  <c r="K172" i="31"/>
  <c r="K162" i="31"/>
  <c r="D162" i="31"/>
  <c r="K187" i="31"/>
  <c r="D187" i="31"/>
  <c r="K224" i="31"/>
  <c r="D224" i="31"/>
  <c r="K150" i="31"/>
  <c r="D150" i="31"/>
  <c r="D163" i="31"/>
  <c r="K163" i="31"/>
  <c r="D232" i="31"/>
  <c r="K232" i="31"/>
  <c r="D188" i="31"/>
  <c r="K188" i="31"/>
  <c r="D236" i="31"/>
  <c r="K236" i="31"/>
  <c r="K176" i="31"/>
  <c r="D176" i="31"/>
  <c r="D182" i="31"/>
  <c r="K182" i="31"/>
  <c r="K205" i="31"/>
  <c r="D205" i="31"/>
  <c r="O32" i="31"/>
  <c r="K222" i="31"/>
  <c r="D222" i="31"/>
  <c r="K200" i="31"/>
  <c r="D200" i="31"/>
  <c r="K195" i="31"/>
  <c r="D195" i="31"/>
  <c r="D192" i="31"/>
  <c r="K192" i="31"/>
  <c r="D137" i="31"/>
  <c r="K137" i="31"/>
  <c r="K167" i="31"/>
  <c r="D167" i="31"/>
  <c r="D183" i="31"/>
  <c r="K183" i="31"/>
  <c r="K138" i="31"/>
  <c r="D138" i="31"/>
  <c r="D151" i="31"/>
  <c r="K151" i="31"/>
  <c r="K193" i="31"/>
  <c r="D193" i="31"/>
  <c r="O31" i="31"/>
  <c r="D142" i="31"/>
  <c r="K142" i="31"/>
  <c r="K136" i="31"/>
  <c r="D136" i="31"/>
  <c r="K156" i="31"/>
  <c r="D156" i="31"/>
  <c r="D158" i="31"/>
  <c r="K158" i="31"/>
  <c r="K144" i="31"/>
  <c r="D144" i="31"/>
  <c r="D215" i="31"/>
  <c r="K215" i="31"/>
  <c r="N29" i="31" l="1"/>
  <c r="R29" i="31" s="1"/>
  <c r="N31" i="31"/>
  <c r="R31" i="31" s="1"/>
  <c r="N32" i="31"/>
  <c r="R32" i="31" s="1"/>
  <c r="K248" i="31"/>
  <c r="N30" i="31"/>
  <c r="R30" i="31" s="1"/>
  <c r="K252" i="31"/>
  <c r="N34" i="31"/>
  <c r="R34" i="31" s="1"/>
  <c r="N28" i="31"/>
  <c r="R28" i="31" s="1"/>
  <c r="K250" i="31"/>
  <c r="K242" i="31"/>
  <c r="N26" i="31"/>
  <c r="R26" i="31" s="1"/>
  <c r="K251" i="31"/>
  <c r="K244" i="31"/>
  <c r="O35" i="31"/>
  <c r="K241" i="31"/>
  <c r="D241" i="31"/>
  <c r="D242" i="31"/>
  <c r="K249" i="31"/>
  <c r="K246" i="31"/>
  <c r="N27" i="31"/>
  <c r="R27" i="31" s="1"/>
  <c r="K243" i="31"/>
  <c r="N33" i="31"/>
  <c r="R33" i="31" s="1"/>
  <c r="K245" i="31"/>
  <c r="K247" i="31"/>
  <c r="D249" i="31" l="1"/>
  <c r="D245" i="31"/>
  <c r="D250" i="31"/>
  <c r="D243" i="31"/>
  <c r="D246" i="31"/>
  <c r="D247" i="31"/>
  <c r="D251" i="31"/>
  <c r="D252" i="31"/>
  <c r="D248" i="31"/>
  <c r="O36" i="31"/>
  <c r="D244" i="31"/>
  <c r="E221" i="31"/>
  <c r="G221" i="31" s="1"/>
  <c r="E223" i="31"/>
  <c r="G223" i="31" s="1"/>
  <c r="E235" i="31"/>
  <c r="G235" i="31" s="1"/>
  <c r="E234" i="31"/>
  <c r="G234" i="31" s="1"/>
  <c r="E232" i="31"/>
  <c r="G232" i="31" s="1"/>
  <c r="E240" i="31"/>
  <c r="G240" i="31" s="1"/>
  <c r="E233" i="31"/>
  <c r="G233" i="31" s="1"/>
  <c r="E230" i="31"/>
  <c r="G230" i="31" s="1"/>
  <c r="E227" i="31"/>
  <c r="G227" i="31" s="1"/>
  <c r="E239" i="31"/>
  <c r="G239" i="31" s="1"/>
  <c r="E237" i="31"/>
  <c r="G237" i="31" s="1"/>
  <c r="E228" i="31"/>
  <c r="G228" i="31" s="1"/>
  <c r="E231" i="31"/>
  <c r="G231" i="31" s="1"/>
  <c r="E218" i="31"/>
  <c r="G218" i="31" s="1"/>
  <c r="E226" i="31"/>
  <c r="G226" i="31" s="1"/>
  <c r="E219" i="31"/>
  <c r="G219" i="31" s="1"/>
  <c r="E220" i="31"/>
  <c r="G220" i="31" s="1"/>
  <c r="E236" i="31"/>
  <c r="G236" i="31" s="1"/>
  <c r="E222" i="31"/>
  <c r="G222" i="31" s="1"/>
  <c r="E238" i="31"/>
  <c r="G238" i="31" s="1"/>
  <c r="E225" i="31"/>
  <c r="G225" i="31" s="1"/>
  <c r="E224" i="31"/>
  <c r="G224" i="31" s="1"/>
  <c r="C252" i="31" l="1"/>
  <c r="C251" i="31"/>
  <c r="C248" i="31"/>
  <c r="E248" i="31" s="1"/>
  <c r="G248" i="31" s="1"/>
  <c r="C242" i="31"/>
  <c r="E242" i="31" s="1"/>
  <c r="G242" i="31" s="1"/>
  <c r="C250" i="31"/>
  <c r="E185" i="31"/>
  <c r="G185" i="31" s="1"/>
  <c r="E190" i="31"/>
  <c r="G190" i="31" s="1"/>
  <c r="E161" i="31"/>
  <c r="G161" i="31" s="1"/>
  <c r="E180" i="31"/>
  <c r="G180" i="31" s="1"/>
  <c r="E212" i="31"/>
  <c r="G212" i="31" s="1"/>
  <c r="E148" i="31"/>
  <c r="G148" i="31" s="1"/>
  <c r="E209" i="31"/>
  <c r="G209" i="31" s="1"/>
  <c r="E188" i="31"/>
  <c r="G188" i="31" s="1"/>
  <c r="E203" i="31"/>
  <c r="G203" i="31" s="1"/>
  <c r="E182" i="31"/>
  <c r="G182" i="31" s="1"/>
  <c r="E196" i="31"/>
  <c r="G196" i="31" s="1"/>
  <c r="E192" i="31"/>
  <c r="G192" i="31" s="1"/>
  <c r="E164" i="31"/>
  <c r="G164" i="31" s="1"/>
  <c r="E201" i="31"/>
  <c r="G201" i="31" s="1"/>
  <c r="E214" i="31"/>
  <c r="G214" i="31" s="1"/>
  <c r="E202" i="31"/>
  <c r="G202" i="31" s="1"/>
  <c r="E186" i="31"/>
  <c r="G186" i="31" s="1"/>
  <c r="E160" i="31"/>
  <c r="G160" i="31" s="1"/>
  <c r="E184" i="31"/>
  <c r="G184" i="31" s="1"/>
  <c r="E204" i="31"/>
  <c r="G204" i="31" s="1"/>
  <c r="E207" i="31"/>
  <c r="G207" i="31" s="1"/>
  <c r="E172" i="31"/>
  <c r="G172" i="31" s="1"/>
  <c r="E195" i="31"/>
  <c r="G195" i="31" s="1"/>
  <c r="E153" i="31"/>
  <c r="G153" i="31" s="1"/>
  <c r="E154" i="31"/>
  <c r="G154" i="31" s="1"/>
  <c r="E175" i="31"/>
  <c r="G175" i="31" s="1"/>
  <c r="E200" i="31"/>
  <c r="G200" i="31" s="1"/>
  <c r="E158" i="31"/>
  <c r="G158" i="31" s="1"/>
  <c r="E167" i="31"/>
  <c r="G167" i="31" s="1"/>
  <c r="E156" i="31"/>
  <c r="G156" i="31" s="1"/>
  <c r="E149" i="31"/>
  <c r="G149" i="31" s="1"/>
  <c r="E162" i="31"/>
  <c r="G162" i="31" s="1"/>
  <c r="E144" i="31"/>
  <c r="G144" i="31" s="1"/>
  <c r="E197" i="31"/>
  <c r="G197" i="31" s="1"/>
  <c r="E198" i="31"/>
  <c r="G198" i="31" s="1"/>
  <c r="E135" i="31"/>
  <c r="G135" i="31" s="1"/>
  <c r="E176" i="31"/>
  <c r="G176" i="31" s="1"/>
  <c r="E168" i="31"/>
  <c r="G168" i="31" s="1"/>
  <c r="E142" i="31"/>
  <c r="G142" i="31" s="1"/>
  <c r="E152" i="31"/>
  <c r="G152" i="31" s="1"/>
  <c r="E206" i="31"/>
  <c r="G206" i="31" s="1"/>
  <c r="E179" i="31"/>
  <c r="G179" i="31" s="1"/>
  <c r="E147" i="31"/>
  <c r="G147" i="31" s="1"/>
  <c r="E143" i="31"/>
  <c r="G143" i="31" s="1"/>
  <c r="E136" i="31"/>
  <c r="G136" i="31" s="1"/>
  <c r="E171" i="31"/>
  <c r="G171" i="31" s="1"/>
  <c r="C246" i="31"/>
  <c r="C245" i="31"/>
  <c r="E245" i="31" s="1"/>
  <c r="G245" i="31" s="1"/>
  <c r="E251" i="31"/>
  <c r="G251" i="31" s="1"/>
  <c r="E189" i="31"/>
  <c r="G189" i="31" s="1"/>
  <c r="E151" i="31"/>
  <c r="G151" i="31" s="1"/>
  <c r="E211" i="31"/>
  <c r="G211" i="31" s="1"/>
  <c r="E194" i="31"/>
  <c r="G194" i="31" s="1"/>
  <c r="E183" i="31"/>
  <c r="G183" i="31" s="1"/>
  <c r="E159" i="31"/>
  <c r="G159" i="31" s="1"/>
  <c r="E208" i="31"/>
  <c r="G208" i="31" s="1"/>
  <c r="E215" i="31"/>
  <c r="G215" i="31" s="1"/>
  <c r="E173" i="31"/>
  <c r="G173" i="31" s="1"/>
  <c r="E166" i="31"/>
  <c r="G166" i="31" s="1"/>
  <c r="E150" i="31"/>
  <c r="G150" i="31" s="1"/>
  <c r="E138" i="31"/>
  <c r="G138" i="31" s="1"/>
  <c r="E174" i="31"/>
  <c r="G174" i="31" s="1"/>
  <c r="E178" i="31"/>
  <c r="G178" i="31" s="1"/>
  <c r="E177" i="31"/>
  <c r="G177" i="31" s="1"/>
  <c r="E163" i="31"/>
  <c r="G163" i="31" s="1"/>
  <c r="E134" i="31"/>
  <c r="G134" i="31" s="1"/>
  <c r="E210" i="31"/>
  <c r="G210" i="31" s="1"/>
  <c r="E141" i="31"/>
  <c r="G141" i="31" s="1"/>
  <c r="N35" i="31"/>
  <c r="R35" i="31" s="1"/>
  <c r="E187" i="31"/>
  <c r="G187" i="31" s="1"/>
  <c r="E216" i="31"/>
  <c r="G216" i="31" s="1"/>
  <c r="E213" i="31"/>
  <c r="G213" i="31" s="1"/>
  <c r="E140" i="31"/>
  <c r="G140" i="31" s="1"/>
  <c r="E191" i="31"/>
  <c r="G191" i="31" s="1"/>
  <c r="E137" i="31"/>
  <c r="G137" i="31" s="1"/>
  <c r="E170" i="31"/>
  <c r="G170" i="31" s="1"/>
  <c r="E199" i="31"/>
  <c r="G199" i="31" s="1"/>
  <c r="E146" i="31"/>
  <c r="G146" i="31" s="1"/>
  <c r="E155" i="31"/>
  <c r="G155" i="31" s="1"/>
  <c r="E139" i="31"/>
  <c r="G139" i="31" s="1"/>
  <c r="E165" i="31"/>
  <c r="G165" i="31" s="1"/>
  <c r="O37" i="31"/>
  <c r="N36" i="31"/>
  <c r="R36" i="31" s="1"/>
  <c r="C247" i="31"/>
  <c r="E252" i="31"/>
  <c r="G252" i="31" s="1"/>
  <c r="C249" i="31"/>
  <c r="E249" i="31" s="1"/>
  <c r="G249" i="31" s="1"/>
  <c r="C243" i="31"/>
  <c r="E250" i="31"/>
  <c r="G250" i="31" s="1"/>
  <c r="C244" i="31"/>
  <c r="E247" i="31" l="1"/>
  <c r="G247" i="31" s="1"/>
  <c r="E244" i="31"/>
  <c r="G244" i="31" s="1"/>
  <c r="E246" i="31"/>
  <c r="G246" i="31" s="1"/>
  <c r="N38" i="31"/>
  <c r="O38" i="31"/>
  <c r="E169" i="31"/>
  <c r="G169" i="31" s="1"/>
  <c r="M29" i="31"/>
  <c r="E243" i="31"/>
  <c r="G243" i="31" s="1"/>
  <c r="R38" i="31" l="1"/>
  <c r="N37" i="31"/>
  <c r="R37" i="31" s="1"/>
  <c r="M33" i="31"/>
  <c r="E217" i="31"/>
  <c r="G217" i="31" s="1"/>
  <c r="E229" i="31"/>
  <c r="G229" i="31" s="1"/>
  <c r="M34" i="31"/>
  <c r="C241" i="31"/>
  <c r="M27" i="31"/>
  <c r="E145" i="31"/>
  <c r="G145" i="31" s="1"/>
  <c r="E133" i="31"/>
  <c r="G133" i="31" s="1"/>
  <c r="M26" i="31"/>
  <c r="E205" i="31"/>
  <c r="G205" i="31" s="1"/>
  <c r="M32" i="31"/>
  <c r="P29" i="31"/>
  <c r="Q29" i="31"/>
  <c r="M31" i="31"/>
  <c r="E193" i="31"/>
  <c r="G193" i="31" s="1"/>
  <c r="E181" i="31"/>
  <c r="G181" i="31" s="1"/>
  <c r="M30" i="31"/>
  <c r="E157" i="31"/>
  <c r="G157" i="31" s="1"/>
  <c r="M28" i="31"/>
  <c r="P28" i="31" l="1"/>
  <c r="Q28" i="31"/>
  <c r="M35" i="31"/>
  <c r="E241" i="31"/>
  <c r="G241" i="31" s="1"/>
  <c r="P31" i="31"/>
  <c r="Q31" i="31"/>
  <c r="P34" i="31"/>
  <c r="Q34" i="31"/>
  <c r="P26" i="31"/>
  <c r="Q26" i="31"/>
  <c r="P30" i="31"/>
  <c r="Q30" i="31"/>
  <c r="Q32" i="31"/>
  <c r="P32" i="31"/>
  <c r="P27" i="31"/>
  <c r="Q27" i="31"/>
  <c r="Q33" i="31"/>
  <c r="P33" i="31"/>
  <c r="Q35" i="31" l="1"/>
  <c r="P35" i="31"/>
  <c r="M36" i="31"/>
  <c r="Q36" i="31" l="1"/>
  <c r="P36" i="31"/>
  <c r="M37" i="31"/>
  <c r="Q37" i="31" l="1"/>
  <c r="P37" i="31"/>
  <c r="M38" i="31"/>
  <c r="P38" i="31" l="1"/>
  <c r="Q38" i="31"/>
  <c r="F9" i="31"/>
  <c r="K76" i="31" l="1"/>
  <c r="D76" i="31"/>
  <c r="K21" i="31"/>
  <c r="D21" i="31"/>
  <c r="D116" i="31"/>
  <c r="K116" i="31"/>
  <c r="D31" i="31"/>
  <c r="K31" i="31"/>
  <c r="K18" i="31"/>
  <c r="D18" i="31"/>
  <c r="K24" i="31"/>
  <c r="D24" i="31"/>
  <c r="D19" i="31"/>
  <c r="K19" i="31"/>
  <c r="D14" i="31"/>
  <c r="K14" i="31"/>
  <c r="D27" i="31"/>
  <c r="K27" i="31"/>
  <c r="K47" i="31"/>
  <c r="D47" i="31"/>
  <c r="D126" i="31"/>
  <c r="K126" i="31"/>
  <c r="D118" i="31"/>
  <c r="K118" i="31"/>
  <c r="D121" i="31"/>
  <c r="K121" i="31"/>
  <c r="O25" i="31"/>
  <c r="D130" i="31"/>
  <c r="K130" i="31"/>
  <c r="K58" i="31"/>
  <c r="D58" i="31"/>
  <c r="K50" i="31"/>
  <c r="D50" i="31"/>
  <c r="K89" i="31"/>
  <c r="D89" i="31"/>
  <c r="D79" i="31"/>
  <c r="K79" i="31"/>
  <c r="K75" i="31"/>
  <c r="D75" i="31"/>
  <c r="K85" i="31"/>
  <c r="O22" i="31"/>
  <c r="D85" i="31"/>
  <c r="D42" i="31"/>
  <c r="K42" i="31"/>
  <c r="D99" i="31"/>
  <c r="K99" i="31"/>
  <c r="D15" i="31"/>
  <c r="K15" i="31"/>
  <c r="D68" i="31"/>
  <c r="K68" i="31"/>
  <c r="K92" i="31"/>
  <c r="D92" i="31"/>
  <c r="K125" i="31"/>
  <c r="D125" i="31"/>
  <c r="K17" i="31"/>
  <c r="D17" i="31"/>
  <c r="D84" i="31"/>
  <c r="K84" i="31"/>
  <c r="K107" i="31"/>
  <c r="D107" i="31"/>
  <c r="D55" i="31"/>
  <c r="K55" i="31"/>
  <c r="K127" i="31"/>
  <c r="D127" i="31"/>
  <c r="K39" i="31"/>
  <c r="D39" i="31"/>
  <c r="D32" i="31"/>
  <c r="K32" i="31"/>
  <c r="D22" i="31"/>
  <c r="K22" i="31"/>
  <c r="K80" i="31"/>
  <c r="D80" i="31"/>
  <c r="D90" i="31"/>
  <c r="K90" i="31"/>
  <c r="D33" i="31"/>
  <c r="K33" i="31"/>
  <c r="D93" i="31"/>
  <c r="K93" i="31"/>
  <c r="K104" i="31"/>
  <c r="D104" i="31"/>
  <c r="D112" i="31"/>
  <c r="K112" i="31"/>
  <c r="D20" i="31"/>
  <c r="K20" i="31"/>
  <c r="K53" i="31"/>
  <c r="D53" i="31"/>
  <c r="D49" i="31"/>
  <c r="K49" i="31"/>
  <c r="O19" i="31"/>
  <c r="D109" i="31"/>
  <c r="K109" i="31"/>
  <c r="O24" i="31"/>
  <c r="D105" i="31"/>
  <c r="K105" i="31"/>
  <c r="D98" i="31"/>
  <c r="K98" i="31"/>
  <c r="K86" i="31"/>
  <c r="D86" i="31"/>
  <c r="D26" i="31"/>
  <c r="K26" i="31"/>
  <c r="K91" i="31"/>
  <c r="D91" i="31"/>
  <c r="K34" i="31"/>
  <c r="D34" i="31"/>
  <c r="K63" i="31"/>
  <c r="D63" i="31"/>
  <c r="D73" i="31"/>
  <c r="K73" i="31"/>
  <c r="O21" i="31"/>
  <c r="D67" i="31"/>
  <c r="K67" i="31"/>
  <c r="K108" i="31"/>
  <c r="D108" i="31"/>
  <c r="D81" i="31"/>
  <c r="K81" i="31"/>
  <c r="D115" i="31"/>
  <c r="K115" i="31"/>
  <c r="D83" i="31"/>
  <c r="K83" i="31"/>
  <c r="K113" i="31"/>
  <c r="D113" i="31"/>
  <c r="K101" i="31"/>
  <c r="D101" i="31"/>
  <c r="D117" i="31"/>
  <c r="K117" i="31"/>
  <c r="D64" i="31"/>
  <c r="K64" i="31"/>
  <c r="K114" i="31"/>
  <c r="D114" i="31"/>
  <c r="K43" i="31"/>
  <c r="D43" i="31"/>
  <c r="K23" i="31"/>
  <c r="D23" i="31"/>
  <c r="D62" i="31"/>
  <c r="K62" i="31"/>
  <c r="K100" i="31"/>
  <c r="D100" i="31"/>
  <c r="O23" i="31"/>
  <c r="K97" i="31"/>
  <c r="D97" i="31"/>
  <c r="D29" i="31"/>
  <c r="K29" i="31"/>
  <c r="D52" i="31"/>
  <c r="K52" i="31"/>
  <c r="D128" i="31"/>
  <c r="K128" i="31"/>
  <c r="K129" i="31"/>
  <c r="D129" i="31"/>
  <c r="K94" i="31"/>
  <c r="D94" i="31"/>
  <c r="K82" i="31"/>
  <c r="D82" i="31"/>
  <c r="D95" i="31"/>
  <c r="K95" i="31"/>
  <c r="D57" i="31"/>
  <c r="K57" i="31"/>
  <c r="D72" i="31"/>
  <c r="K72" i="31"/>
  <c r="K25" i="31"/>
  <c r="O17" i="31"/>
  <c r="D25" i="31"/>
  <c r="D12" i="31"/>
  <c r="G12" i="31" s="1"/>
  <c r="K28" i="31"/>
  <c r="D28" i="31"/>
  <c r="K87" i="31"/>
  <c r="D87" i="31"/>
  <c r="D132" i="31"/>
  <c r="K132" i="31"/>
  <c r="K30" i="31"/>
  <c r="D30" i="31"/>
  <c r="D65" i="31"/>
  <c r="K65" i="31"/>
  <c r="D119" i="31"/>
  <c r="K119" i="31"/>
  <c r="D59" i="31"/>
  <c r="K59" i="31"/>
  <c r="K46" i="31"/>
  <c r="D46" i="31"/>
  <c r="D77" i="31"/>
  <c r="K77" i="31"/>
  <c r="K102" i="31"/>
  <c r="D102" i="31"/>
  <c r="K120" i="31"/>
  <c r="D120" i="31"/>
  <c r="D16" i="31"/>
  <c r="K16" i="31"/>
  <c r="K96" i="31"/>
  <c r="D96" i="31"/>
  <c r="K88" i="31"/>
  <c r="D88" i="31"/>
  <c r="K56" i="31"/>
  <c r="D56" i="31"/>
  <c r="D44" i="31"/>
  <c r="K44" i="31"/>
  <c r="K106" i="31"/>
  <c r="D106" i="31"/>
  <c r="K70" i="31"/>
  <c r="D70" i="31"/>
  <c r="D41" i="31"/>
  <c r="K41" i="31"/>
  <c r="D103" i="31"/>
  <c r="K103" i="31"/>
  <c r="K122" i="31"/>
  <c r="D122" i="31"/>
  <c r="K71" i="31"/>
  <c r="D71" i="31"/>
  <c r="D111" i="31"/>
  <c r="K111" i="31"/>
  <c r="K54" i="31"/>
  <c r="D54" i="31"/>
  <c r="K38" i="31"/>
  <c r="D38" i="31"/>
  <c r="K48" i="31"/>
  <c r="D48" i="31"/>
  <c r="D124" i="31"/>
  <c r="K124" i="31"/>
  <c r="K45" i="31"/>
  <c r="D45" i="31"/>
  <c r="O16" i="31"/>
  <c r="K13" i="31"/>
  <c r="D13" i="31"/>
  <c r="D35" i="31"/>
  <c r="K35" i="31"/>
  <c r="K110" i="31"/>
  <c r="D110" i="31"/>
  <c r="D131" i="31"/>
  <c r="K131" i="31"/>
  <c r="D61" i="31"/>
  <c r="O20" i="31"/>
  <c r="K61" i="31"/>
  <c r="K74" i="31"/>
  <c r="D74" i="31"/>
  <c r="O18" i="31"/>
  <c r="K37" i="31"/>
  <c r="D37" i="31"/>
  <c r="K36" i="31"/>
  <c r="D36" i="31"/>
  <c r="D78" i="31"/>
  <c r="K78" i="31"/>
  <c r="K40" i="31"/>
  <c r="D40" i="31"/>
  <c r="D69" i="31"/>
  <c r="K69" i="31"/>
  <c r="K60" i="31"/>
  <c r="D60" i="31"/>
  <c r="K51" i="31"/>
  <c r="D51" i="31"/>
  <c r="D66" i="31"/>
  <c r="K66" i="31"/>
  <c r="D123" i="31"/>
  <c r="K123" i="31"/>
  <c r="D9" i="31"/>
  <c r="N20" i="31" l="1"/>
  <c r="K4" i="31"/>
  <c r="K5" i="31"/>
  <c r="N24" i="31"/>
  <c r="N22" i="31"/>
  <c r="N23" i="31"/>
  <c r="N17" i="31"/>
  <c r="R17" i="31" s="1"/>
  <c r="N19" i="31"/>
  <c r="N25" i="31"/>
  <c r="N18" i="31"/>
  <c r="N16" i="31"/>
  <c r="R16" i="31" s="1"/>
  <c r="N21" i="31"/>
  <c r="R22" i="31" l="1"/>
  <c r="M7" i="31"/>
  <c r="K3" i="25"/>
  <c r="K6" i="31"/>
  <c r="B5" i="31" s="1"/>
  <c r="R20" i="31"/>
  <c r="R21" i="31"/>
  <c r="R24" i="31"/>
  <c r="R25" i="31"/>
  <c r="R18" i="31"/>
  <c r="R19" i="31"/>
  <c r="R23" i="31"/>
  <c r="G9" i="25" l="1"/>
  <c r="B5" i="25"/>
  <c r="C57" i="25"/>
  <c r="C53" i="25"/>
  <c r="C49" i="25"/>
  <c r="G33" i="25"/>
  <c r="E24" i="25"/>
  <c r="E32" i="25"/>
  <c r="G25" i="25"/>
  <c r="E26" i="25"/>
  <c r="G34" i="25"/>
  <c r="G28" i="25"/>
  <c r="G30" i="25"/>
  <c r="G24" i="25"/>
  <c r="E30" i="25"/>
  <c r="E23" i="25"/>
  <c r="G26" i="25"/>
  <c r="G27" i="25"/>
  <c r="G29" i="25"/>
  <c r="G31" i="25"/>
  <c r="E31" i="25"/>
  <c r="E29" i="25"/>
  <c r="E34" i="25"/>
  <c r="E33" i="25"/>
  <c r="E28" i="25"/>
  <c r="E27" i="25"/>
  <c r="G32" i="25"/>
  <c r="E25" i="25"/>
  <c r="G23" i="25"/>
  <c r="C23" i="96" l="1"/>
  <c r="C21" i="96"/>
  <c r="C19" i="96"/>
  <c r="C22" i="96"/>
  <c r="C20" i="96"/>
  <c r="B4" i="31"/>
  <c r="B5" i="66"/>
  <c r="B5" i="28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90" i="31" l="1"/>
  <c r="G69" i="31"/>
  <c r="G106" i="31"/>
  <c r="G45" i="31"/>
  <c r="G39" i="31"/>
  <c r="G20" i="31"/>
  <c r="G81" i="31"/>
  <c r="G26" i="31"/>
  <c r="G44" i="31"/>
  <c r="G29" i="31"/>
  <c r="G36" i="31"/>
  <c r="G78" i="31"/>
  <c r="G66" i="31"/>
  <c r="G102" i="31"/>
  <c r="G91" i="31"/>
  <c r="G111" i="31"/>
  <c r="G104" i="31"/>
  <c r="G107" i="31"/>
  <c r="G74" i="31"/>
  <c r="G63" i="31"/>
  <c r="G77" i="31"/>
  <c r="G86" i="31"/>
  <c r="G65" i="31"/>
  <c r="G83" i="31"/>
  <c r="G110" i="31"/>
  <c r="G54" i="31"/>
  <c r="G100" i="31"/>
  <c r="G70" i="31"/>
  <c r="G80" i="31"/>
  <c r="G53" i="31"/>
  <c r="G117" i="31"/>
  <c r="G57" i="31"/>
  <c r="G38" i="31"/>
  <c r="G108" i="31"/>
  <c r="G75" i="31"/>
  <c r="G67" i="31"/>
  <c r="G103" i="31"/>
  <c r="G51" i="31"/>
  <c r="G101" i="31"/>
  <c r="G93" i="31"/>
  <c r="G41" i="31"/>
  <c r="G14" i="31"/>
  <c r="G92" i="31"/>
  <c r="G33" i="31"/>
  <c r="G113" i="31"/>
  <c r="G56" i="31"/>
  <c r="G31" i="31"/>
  <c r="G116" i="31"/>
  <c r="G47" i="31"/>
  <c r="G46" i="31"/>
  <c r="G43" i="31"/>
  <c r="G15" i="31"/>
  <c r="G114" i="31"/>
  <c r="G24" i="31"/>
  <c r="G71" i="31"/>
  <c r="G52" i="31"/>
  <c r="G118" i="31"/>
  <c r="G30" i="31"/>
  <c r="G50" i="31"/>
  <c r="G27" i="31"/>
  <c r="G98" i="31"/>
  <c r="G35" i="31"/>
  <c r="G34" i="31"/>
  <c r="G120" i="31"/>
  <c r="G16" i="31"/>
  <c r="G55" i="31"/>
  <c r="G88" i="31"/>
  <c r="G59" i="31"/>
  <c r="G28" i="31"/>
  <c r="G119" i="31"/>
  <c r="G76" i="31"/>
  <c r="G62" i="31"/>
  <c r="G95" i="31"/>
  <c r="G40" i="31"/>
  <c r="G89" i="31"/>
  <c r="G94" i="31"/>
  <c r="G17" i="31"/>
  <c r="G19" i="31"/>
  <c r="G105" i="31"/>
  <c r="G79" i="31"/>
  <c r="G64" i="31"/>
  <c r="G115" i="31"/>
  <c r="G42" i="31"/>
  <c r="G87" i="31"/>
  <c r="G58" i="31"/>
  <c r="G82" i="31"/>
  <c r="G68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32" i="31" l="1"/>
  <c r="G60" i="31"/>
  <c r="G127" i="31"/>
  <c r="G126" i="31"/>
  <c r="G123" i="31"/>
  <c r="G21" i="31"/>
  <c r="G96" i="31"/>
  <c r="G125" i="31"/>
  <c r="G131" i="31"/>
  <c r="G128" i="31"/>
  <c r="G129" i="31"/>
  <c r="G22" i="31"/>
  <c r="G23" i="31"/>
  <c r="G72" i="31"/>
  <c r="G48" i="31"/>
  <c r="G124" i="31"/>
  <c r="G130" i="31"/>
  <c r="G122" i="31"/>
  <c r="G18" i="31"/>
  <c r="G84" i="31"/>
  <c r="E17" i="25"/>
  <c r="E13" i="25"/>
  <c r="E19" i="25"/>
  <c r="E61" i="31" l="1"/>
  <c r="M20" i="31"/>
  <c r="E13" i="31"/>
  <c r="M16" i="31"/>
  <c r="E85" i="31"/>
  <c r="M22" i="31"/>
  <c r="C9" i="31"/>
  <c r="E20" i="25"/>
  <c r="G19" i="25"/>
  <c r="G17" i="25"/>
  <c r="G13" i="25"/>
  <c r="E21" i="25"/>
  <c r="E15" i="25"/>
  <c r="E18" i="25"/>
  <c r="E16" i="25"/>
  <c r="E22" i="25"/>
  <c r="E14" i="25"/>
  <c r="C9" i="96" l="1"/>
  <c r="C15" i="96"/>
  <c r="C13" i="96"/>
  <c r="G9" i="31"/>
  <c r="G50" i="25" s="1"/>
  <c r="E50" i="25"/>
  <c r="Q16" i="31"/>
  <c r="P16" i="31"/>
  <c r="E73" i="31"/>
  <c r="M21" i="31"/>
  <c r="E97" i="31"/>
  <c r="M23" i="31"/>
  <c r="G13" i="31"/>
  <c r="G61" i="31"/>
  <c r="M18" i="31"/>
  <c r="E37" i="31"/>
  <c r="Q22" i="31"/>
  <c r="P22" i="31"/>
  <c r="E49" i="31"/>
  <c r="M19" i="31"/>
  <c r="M25" i="31"/>
  <c r="E121" i="31"/>
  <c r="E25" i="31"/>
  <c r="M17" i="31"/>
  <c r="M24" i="31"/>
  <c r="E109" i="31"/>
  <c r="G85" i="31"/>
  <c r="Q20" i="31"/>
  <c r="P20" i="31"/>
  <c r="G18" i="25"/>
  <c r="G20" i="25"/>
  <c r="G22" i="25"/>
  <c r="G14" i="25"/>
  <c r="G21" i="25"/>
  <c r="G16" i="25"/>
  <c r="E9" i="31"/>
  <c r="G15" i="25"/>
  <c r="C26" i="96" l="1"/>
  <c r="C17" i="96"/>
  <c r="C16" i="96"/>
  <c r="C18" i="96"/>
  <c r="C10" i="96"/>
  <c r="C12" i="96"/>
  <c r="C11" i="96"/>
  <c r="C14" i="96"/>
  <c r="I75" i="25"/>
  <c r="G109" i="31"/>
  <c r="G121" i="31"/>
  <c r="Q19" i="31"/>
  <c r="P19" i="31"/>
  <c r="P23" i="31"/>
  <c r="Q23" i="31"/>
  <c r="P24" i="31"/>
  <c r="Q24" i="31"/>
  <c r="Q25" i="31"/>
  <c r="P25" i="31"/>
  <c r="G49" i="31"/>
  <c r="G37" i="31"/>
  <c r="G97" i="31"/>
  <c r="Q17" i="31"/>
  <c r="P17" i="31"/>
  <c r="P18" i="31"/>
  <c r="Q18" i="31"/>
  <c r="Q21" i="31"/>
  <c r="P21" i="31"/>
  <c r="G25" i="31"/>
  <c r="G73" i="31"/>
  <c r="I13" i="96" l="1"/>
  <c r="I15" i="96"/>
  <c r="I9" i="96"/>
  <c r="I16" i="96" l="1"/>
  <c r="I10" i="96"/>
  <c r="I11" i="96"/>
  <c r="I17" i="96"/>
  <c r="I18" i="96"/>
  <c r="I12" i="96"/>
  <c r="I14" i="96"/>
  <c r="I23" i="96" l="1"/>
  <c r="I19" i="96"/>
  <c r="I26" i="96"/>
  <c r="I27" i="96" s="1"/>
  <c r="I22" i="96" l="1"/>
  <c r="I20" i="96"/>
  <c r="I21" i="96"/>
  <c r="D15" i="96" l="1"/>
  <c r="J15" i="96" s="1"/>
  <c r="D9" i="96"/>
  <c r="J9" i="96" s="1"/>
  <c r="D13" i="96"/>
  <c r="J13" i="96" s="1"/>
  <c r="D12" i="96" l="1"/>
  <c r="J12" i="96" s="1"/>
  <c r="D17" i="96"/>
  <c r="J17" i="96" s="1"/>
  <c r="D18" i="96"/>
  <c r="J18" i="96" s="1"/>
  <c r="D16" i="96"/>
  <c r="J16" i="96" s="1"/>
  <c r="D10" i="96"/>
  <c r="J10" i="96" s="1"/>
  <c r="D14" i="96"/>
  <c r="J14" i="96" s="1"/>
  <c r="D11" i="96"/>
  <c r="J11" i="96" s="1"/>
  <c r="D23" i="96" l="1"/>
  <c r="J23" i="96" s="1"/>
  <c r="D19" i="96"/>
  <c r="J19" i="96" s="1"/>
  <c r="D20" i="96"/>
  <c r="J20" i="96" s="1"/>
  <c r="D21" i="96"/>
  <c r="J21" i="96" s="1"/>
  <c r="D22" i="96"/>
  <c r="J22" i="96" s="1"/>
  <c r="D26" i="96"/>
  <c r="J26" i="96" s="1"/>
  <c r="J27" i="96" s="1"/>
  <c r="E9" i="96" l="1"/>
  <c r="K9" i="96" s="1"/>
  <c r="E13" i="96"/>
  <c r="K13" i="96" s="1"/>
  <c r="E15" i="96"/>
  <c r="K15" i="96" s="1"/>
  <c r="E18" i="96" l="1"/>
  <c r="K18" i="96" s="1"/>
  <c r="E14" i="96"/>
  <c r="K14" i="96" s="1"/>
  <c r="E12" i="96"/>
  <c r="K12" i="96" s="1"/>
  <c r="E17" i="96"/>
  <c r="K17" i="96" s="1"/>
  <c r="E10" i="96"/>
  <c r="K10" i="96" s="1"/>
  <c r="E16" i="96"/>
  <c r="K16" i="96" s="1"/>
  <c r="E11" i="96"/>
  <c r="K11" i="96" s="1"/>
  <c r="E26" i="96" l="1"/>
  <c r="K26" i="96" s="1"/>
  <c r="K27" i="96" s="1"/>
  <c r="E20" i="96"/>
  <c r="K20" i="96" s="1"/>
  <c r="E19" i="96"/>
  <c r="K19" i="96" s="1"/>
  <c r="E22" i="96"/>
  <c r="K22" i="96" s="1"/>
  <c r="E23" i="96"/>
  <c r="K23" i="96" s="1"/>
  <c r="E21" i="96"/>
  <c r="K21" i="9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PacifiCorp</author>
  </authors>
  <commentList>
    <comment ref="H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<sst xmlns="http://schemas.openxmlformats.org/spreadsheetml/2006/main" count="1389" uniqueCount="260">
  <si>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</si>
  <si>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</si>
  <si>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</si>
  <si>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</si>
  <si>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</si>
  <si>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</si>
  <si>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</si>
  <si>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</si>
  <si>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</si>
  <si>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</si>
  <si>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</si>
  <si>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</si>
  <si>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</si>
  <si>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</si>
  <si>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</si>
  <si>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</si>
  <si>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</si>
  <si>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</si>
  <si>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</si>
  <si>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</si>
  <si>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</si>
  <si>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</si>
  <si>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</si>
  <si>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</si>
  <si>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</si>
  <si>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</si>
  <si>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</si>
  <si>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</si>
  <si>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</si>
  <si>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</si>
  <si>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</si>
  <si>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</si>
  <si>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</si>
  <si>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</si>
  <si>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</si>
  <si>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</si>
  <si>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</si>
  <si>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</si>
  <si>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</si>
  <si>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</si>
  <si>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</si>
  <si>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</si>
  <si>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</si>
  <si>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</si>
  <si>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</si>
  <si>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</si>
  <si>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</si>
  <si>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</si>
  <si>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</si>
  <si>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</si>
  <si>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</si>
  <si>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</si>
  <si>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</si>
  <si>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</si>
  <si>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</si>
  <si>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</si>
  <si>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</si>
  <si>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</si>
  <si>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</si>
  <si>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</si>
  <si>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</si>
  <si>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</si>
  <si>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</si>
  <si>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</si>
  <si>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</si>
  <si>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</si>
  <si>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</si>
  <si>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</si>
  <si>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</si>
  <si>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</si>
  <si>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</si>
  <si>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</si>
  <si>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</si>
  <si>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</si>
  <si>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</si>
  <si>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</si>
  <si>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</si>
  <si>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</si>
  <si>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</si>
  <si>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</si>
  <si>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</si>
  <si>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</si>
  <si>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</si>
  <si>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</si>
  <si>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</si>
  <si>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</si>
  <si>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</si>
  <si>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</si>
  <si>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</si>
  <si>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</si>
  <si>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</si>
  <si>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</si>
  <si>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</si>
  <si>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</si>
  <si>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</si>
  <si>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</si>
  <si>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</si>
  <si>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</si>
  <si>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COD</t>
  </si>
  <si>
    <t>Wheeling ($ MWh)</t>
  </si>
  <si>
    <t>Inflation/Escalation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</si>
  <si>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</si>
  <si>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</si>
  <si>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</si>
  <si>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</si>
  <si>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</si>
  <si>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</si>
  <si>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</si>
  <si>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</si>
  <si>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</si>
  <si>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</si>
  <si>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</si>
  <si>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</si>
  <si>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</si>
  <si>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</si>
  <si>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</si>
  <si>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</si>
  <si>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</si>
  <si>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</si>
  <si>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</si>
  <si>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</si>
  <si>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</si>
  <si>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</si>
  <si>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</si>
  <si>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</si>
  <si>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</si>
  <si>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>Naughton</t>
  </si>
  <si>
    <t>Burner tip</t>
  </si>
  <si>
    <t>WY wind Tax</t>
  </si>
  <si>
    <t>IRP19Wind_WYAE</t>
  </si>
  <si>
    <t>Total Resource Cost ($/MWh)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</si>
  <si>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</si>
  <si>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</si>
  <si>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</si>
  <si>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</si>
  <si>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</si>
  <si>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</si>
  <si>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</si>
  <si>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</si>
  <si>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</si>
  <si>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IRP19Wind_wS_ID</t>
  </si>
  <si>
    <t>IRP19Wind_wS_YK</t>
  </si>
  <si>
    <t>Retail Revenue Requirement
($/kW-year, 2024$)</t>
  </si>
  <si>
    <t>Capital Cost (Mil $)</t>
  </si>
  <si>
    <t>CRF 1st Year Real</t>
  </si>
  <si>
    <t>Aeolus_Wyoming - to - Utah S, Expansion</t>
  </si>
  <si>
    <t>Utah N, Transmission Integration</t>
  </si>
  <si>
    <t>Yakima, Transmission Integration</t>
  </si>
  <si>
    <t>Utah S, Transmission Integration-2023</t>
  </si>
  <si>
    <t>Utah S, Transmission Integration-2030</t>
  </si>
  <si>
    <t>Retail Revenue Requirement
($/kW-year, 2033$)</t>
  </si>
  <si>
    <t>Retail Revenue Requirement
($/kW-year, 2030$)</t>
  </si>
  <si>
    <t>Retail Revenue Requirement
($/kW-year, 2037$)</t>
  </si>
  <si>
    <t>Network Upgrade ($/kw-yr)</t>
  </si>
  <si>
    <t>Total Fixed Cost</t>
  </si>
  <si>
    <t xml:space="preserve">No resource cost tab </t>
  </si>
  <si>
    <t>if Deferred 1</t>
  </si>
  <si>
    <t>15 Year Starting 2023</t>
  </si>
  <si>
    <t>2021 IRP Borah Solar with Storage</t>
  </si>
  <si>
    <t>Plant Costs  - 2021 IRP Update - Table 7.1 &amp; 7.2</t>
  </si>
  <si>
    <t>2020 $</t>
  </si>
  <si>
    <t>2021 IRP Wyoming Wind Resource</t>
  </si>
  <si>
    <t>Retail Revenue Requirement
($/kW-year, 2025$)</t>
  </si>
  <si>
    <t>Utah S - to - Utah N, Expansion</t>
  </si>
  <si>
    <t>Portland NC - Willamette V, Expansion</t>
  </si>
  <si>
    <t>Retail Revenue Requirement
($/kW-year, 2032$)</t>
  </si>
  <si>
    <t>Portland NC - to - Southern Oregon, Expansion</t>
  </si>
  <si>
    <t>Central OR - to - Willamette V, Expansion</t>
  </si>
  <si>
    <t>B2H Borah - to - Hemingway, Expansion</t>
  </si>
  <si>
    <t>Retail Revenue Requirement
($/kW-year, 2040$)</t>
  </si>
  <si>
    <t>Central OR, Transmission Integration 2037</t>
  </si>
  <si>
    <t>Portland NC, Transmission Integration</t>
  </si>
  <si>
    <t>Retail Revenue Requirement
($/kW-year, 2026$)</t>
  </si>
  <si>
    <t>Southern OR, Transmission Integration 2028</t>
  </si>
  <si>
    <t>Retail Revenue Requirement
($/kW-year, 2028$)</t>
  </si>
  <si>
    <t>Retail Revenue Requirement
($/kW-year, 2031$)</t>
  </si>
  <si>
    <t>Utah S, Transmission Integration</t>
  </si>
  <si>
    <t>Willamette V, Transmission Integration</t>
  </si>
  <si>
    <t>2021 IRP Transmission Costs</t>
  </si>
  <si>
    <t>0% PTC</t>
  </si>
  <si>
    <t>IRP 2021</t>
  </si>
  <si>
    <t>Discount Rate - 2021 IRP</t>
  </si>
  <si>
    <t>2033 $</t>
  </si>
  <si>
    <t xml:space="preserve">Plant Costs  - 2019 IRP - Table 7.1 &amp; 7.2 </t>
  </si>
  <si>
    <t>Non Emitting - 206 MW- East Side Resource (5,050')</t>
  </si>
  <si>
    <t>Fuel Cost ($/mmBtu)</t>
  </si>
  <si>
    <t>2026$</t>
  </si>
  <si>
    <t>(j)</t>
  </si>
  <si>
    <t>2028 $</t>
  </si>
  <si>
    <t>Non Emitting - 196 MW- East Side Resource (5,050')</t>
  </si>
  <si>
    <t xml:space="preserve">2021 IRP Sm Adv Nuclear Resource Costs </t>
  </si>
  <si>
    <t>Sm Adv Nuclear - 196 MW- East Side Resource (5,050')</t>
  </si>
  <si>
    <t>2021 IRP Wyoming DJ Wind Resource</t>
  </si>
  <si>
    <t>2021 IRP Wilamette Valley Resource</t>
  </si>
  <si>
    <t>2021 IRP Portland North Coast Wind Resource</t>
  </si>
  <si>
    <t xml:space="preserve">Plexos Properties file </t>
  </si>
  <si>
    <t>VO&amp;M</t>
  </si>
  <si>
    <t>2021 IRP Southern Oregon Solar with Storage</t>
  </si>
  <si>
    <t>2021 IRP Yakima Solar with Storage</t>
  </si>
  <si>
    <t>2021 IRP UTN Solar with Storage</t>
  </si>
  <si>
    <t>Cost Difference</t>
  </si>
  <si>
    <t>WV wind</t>
  </si>
  <si>
    <t>60% PTC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</si>
  <si>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</si>
  <si>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</si>
  <si>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</si>
  <si>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</si>
  <si>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</si>
  <si>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</si>
  <si>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</si>
  <si>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</si>
  <si>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</si>
  <si>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</si>
  <si>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</si>
  <si>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</si>
  <si>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2032$</t>
  </si>
  <si>
    <t>2030 $</t>
  </si>
  <si>
    <t>IRP21_UTN_Non_Emitting_2033_T</t>
  </si>
  <si>
    <t>IRP21_BAT_WYE_DJ_Wyodak</t>
  </si>
  <si>
    <t>IRP21_NTN_Non_Emitting_2033_T</t>
  </si>
  <si>
    <t>2029 $</t>
  </si>
  <si>
    <t>2030$</t>
  </si>
  <si>
    <t>2021 IRP UTS Solar with Storage</t>
  </si>
  <si>
    <t>2021 IRP Stand Alone Battery WY DJ</t>
  </si>
  <si>
    <t xml:space="preserve">2021 IRP Non Emitting UTN Peaker Resource Costs </t>
  </si>
  <si>
    <t xml:space="preserve">2021 IRP Non Emitting NTN Peaker Resource Costs </t>
  </si>
  <si>
    <t>15 Year Starting 2025</t>
  </si>
  <si>
    <t>15 Year Starting 2024</t>
  </si>
  <si>
    <t xml:space="preserve">15 Year </t>
  </si>
  <si>
    <t>Appendix B.1</t>
  </si>
  <si>
    <t>Avoided Cost Prices $/MWh</t>
  </si>
  <si>
    <t>Thermal</t>
  </si>
  <si>
    <t>Solar Tracking</t>
  </si>
  <si>
    <t>UT 2021.Q3</t>
  </si>
  <si>
    <t>100% CF (2)</t>
  </si>
  <si>
    <t>31.1% CF (2)</t>
  </si>
  <si>
    <t>29.4% CF (2)</t>
  </si>
  <si>
    <t>Difference</t>
  </si>
  <si>
    <t>15-Year Levelized Prices (Nominal) @ 6.88% Discount Rate (1) (3)</t>
  </si>
  <si>
    <t>2022-2036</t>
  </si>
  <si>
    <t>Footnotes:</t>
  </si>
  <si>
    <t>(1)   Discount Rate - 2021 IRP</t>
  </si>
  <si>
    <t>UT 2021.Q4</t>
  </si>
  <si>
    <t>UT 2021.4</t>
  </si>
  <si>
    <t>Utah 2021.Q4 Sch 38</t>
  </si>
  <si>
    <t>Utah 2021.Q4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</si>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</sst>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&quot;$&quot;#,##0.000_);[Red]\(&quot;$&quot;#,##0.000\)"/>
    <numFmt numFmtId="184" formatCode="_(&quot;$&quot;* #,##0.000_);_(&quot;$&quot;* \(#,##0.000\);_(&quot;$&quot;* &quot;-&quot;??_);_(@_)"/>
  </numFmts>
  <fonts count="4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Geneva"/>
      <family val="2"/>
    </font>
    <font>
      <b/>
      <sz val="9"/>
      <name val="Calibri"/>
      <family val="2"/>
      <scheme val="minor"/>
    </font>
    <font>
      <sz val="10"/>
      <color rgb="FFCCECFF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2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8" fillId="0" borderId="0"/>
    <xf numFmtId="0" fontId="3" fillId="0" borderId="0"/>
  </cellStyleXfs>
  <cellXfs count="451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182" fontId="5" fillId="6" borderId="0" xfId="1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7" fillId="0" borderId="0" xfId="5" applyFont="1" applyFill="1" applyBorder="1"/>
    <xf numFmtId="171" fontId="5" fillId="0" borderId="0" xfId="24" applyFont="1" applyFill="1" applyBorder="1" applyAlignment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64" fontId="5" fillId="0" borderId="0" xfId="1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8" fontId="5" fillId="6" borderId="0" xfId="24" applyNumberFormat="1" applyFont="1" applyFill="1" applyAlignment="1">
      <alignment horizontal="right"/>
    </xf>
    <xf numFmtId="171" fontId="0" fillId="0" borderId="0" xfId="24" applyFont="1" applyFill="1"/>
    <xf numFmtId="172" fontId="5" fillId="0" borderId="0" xfId="2" applyNumberFormat="1" applyFont="1" applyFill="1"/>
    <xf numFmtId="171" fontId="4" fillId="6" borderId="5" xfId="24" applyFont="1" applyFill="1" applyBorder="1" applyAlignment="1">
      <alignment horizontal="center" wrapText="1"/>
    </xf>
    <xf numFmtId="174" fontId="5" fillId="6" borderId="0" xfId="8" applyNumberFormat="1" applyFont="1" applyFill="1" applyAlignment="1">
      <alignment horizontal="right"/>
    </xf>
    <xf numFmtId="172" fontId="5" fillId="6" borderId="0" xfId="24" applyNumberFormat="1" applyFont="1" applyFill="1" applyAlignment="1">
      <alignment horizontal="right"/>
    </xf>
    <xf numFmtId="166" fontId="0" fillId="6" borderId="0" xfId="0" applyNumberFormat="1" applyFont="1" applyFill="1" applyAlignment="1">
      <alignment horizontal="center"/>
    </xf>
    <xf numFmtId="174" fontId="0" fillId="0" borderId="0" xfId="8" applyNumberFormat="1" applyFont="1"/>
    <xf numFmtId="166" fontId="0" fillId="0" borderId="0" xfId="0" applyNumberFormat="1" applyFont="1" applyFill="1" applyAlignment="1">
      <alignment horizontal="center"/>
    </xf>
    <xf numFmtId="44" fontId="0" fillId="6" borderId="0" xfId="2" applyNumberFormat="1" applyFont="1" applyFill="1"/>
    <xf numFmtId="43" fontId="39" fillId="0" borderId="25" xfId="30" applyNumberFormat="1" applyFont="1" applyBorder="1" applyAlignment="1">
      <alignment horizontal="center" wrapText="1"/>
    </xf>
    <xf numFmtId="172" fontId="0" fillId="6" borderId="0" xfId="0" applyNumberFormat="1" applyFill="1"/>
    <xf numFmtId="171" fontId="4" fillId="0" borderId="9" xfId="5" applyFont="1" applyFill="1" applyBorder="1" applyAlignment="1">
      <alignment horizontal="centerContinuous"/>
    </xf>
    <xf numFmtId="183" fontId="5" fillId="6" borderId="0" xfId="24" applyNumberFormat="1" applyFont="1" applyFill="1" applyAlignment="1">
      <alignment horizontal="right"/>
    </xf>
    <xf numFmtId="172" fontId="0" fillId="0" borderId="0" xfId="5" applyNumberFormat="1" applyFont="1" applyFill="1"/>
    <xf numFmtId="184" fontId="5" fillId="6" borderId="0" xfId="24" applyNumberFormat="1" applyFont="1" applyFill="1" applyAlignment="1">
      <alignment horizontal="right"/>
    </xf>
    <xf numFmtId="8" fontId="0" fillId="6" borderId="0" xfId="0" applyNumberFormat="1" applyFont="1" applyFill="1" applyAlignment="1">
      <alignment horizontal="right"/>
    </xf>
    <xf numFmtId="8" fontId="5" fillId="15" borderId="0" xfId="24" applyNumberFormat="1" applyFont="1" applyFill="1" applyAlignment="1">
      <alignment horizontal="right"/>
    </xf>
    <xf numFmtId="182" fontId="5" fillId="0" borderId="0" xfId="1" applyNumberFormat="1" applyFont="1" applyFill="1"/>
    <xf numFmtId="8" fontId="0" fillId="0" borderId="0" xfId="24" applyNumberFormat="1" applyFont="1" applyFill="1" applyBorder="1"/>
    <xf numFmtId="8" fontId="32" fillId="0" borderId="0" xfId="24" applyNumberFormat="1" applyFont="1" applyFill="1" applyBorder="1"/>
    <xf numFmtId="8" fontId="32" fillId="6" borderId="0" xfId="24" applyNumberFormat="1" applyFont="1" applyFill="1" applyBorder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40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1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0" fontId="5" fillId="0" borderId="0" xfId="25" applyFont="1" applyFill="1"/>
    <xf numFmtId="14" fontId="5" fillId="0" borderId="0" xfId="26" applyNumberFormat="1" applyFont="1" applyFill="1"/>
    <xf numFmtId="44" fontId="5" fillId="0" borderId="0" xfId="2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84" fontId="5" fillId="0" borderId="0" xfId="24" applyNumberFormat="1" applyFont="1" applyFill="1" applyAlignment="1">
      <alignment horizontal="right"/>
    </xf>
    <xf numFmtId="44" fontId="0" fillId="0" borderId="0" xfId="0" applyNumberFormat="1" applyFont="1" applyFill="1" applyBorder="1"/>
    <xf numFmtId="44" fontId="0" fillId="0" borderId="0" xfId="2" applyNumberFormat="1" applyFont="1" applyFill="1"/>
    <xf numFmtId="172" fontId="0" fillId="0" borderId="0" xfId="0" applyNumberFormat="1" applyFill="1"/>
    <xf numFmtId="43" fontId="39" fillId="0" borderId="25" xfId="30" applyNumberFormat="1" applyFont="1" applyFill="1" applyBorder="1" applyAlignment="1">
      <alignment horizontal="center" wrapText="1"/>
    </xf>
    <xf numFmtId="44" fontId="5" fillId="0" borderId="0" xfId="24" applyNumberFormat="1" applyFont="1" applyFill="1" applyAlignment="1">
      <alignment horizontal="right"/>
    </xf>
    <xf numFmtId="8" fontId="5" fillId="0" borderId="1" xfId="0" applyNumberFormat="1" applyFont="1" applyFill="1" applyBorder="1" applyAlignment="1">
      <alignment horizontal="center"/>
    </xf>
    <xf numFmtId="8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8" fontId="5" fillId="0" borderId="12" xfId="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65" fontId="0" fillId="0" borderId="0" xfId="24" applyNumberFormat="1" applyFont="1" applyFill="1" applyAlignment="1">
      <alignment horizontal="center" vertical="top" wrapText="1"/>
    </xf>
  </cellXfs>
  <cellStyles count="32">
    <cellStyle name="Comma" xfId="1" builtinId="3"/>
    <cellStyle name="Comma 2" xfId="14" xr:uid="{00000000-0005-0000-0000-000001000000}"/>
    <cellStyle name="Comma 3" xfId="28" xr:uid="{00000000-0005-0000-0000-000002000000}"/>
    <cellStyle name="Currency" xfId="2" builtinId="4"/>
    <cellStyle name="Currency 2" xfId="15" xr:uid="{00000000-0005-0000-0000-000004000000}"/>
    <cellStyle name="Currency No Comma" xfId="16" xr:uid="{00000000-0005-0000-0000-000005000000}"/>
    <cellStyle name="Hyperlink" xfId="27" builtinId="8"/>
    <cellStyle name="Input" xfId="3" builtinId="20" customBuiltin="1"/>
    <cellStyle name="MCP" xfId="17" xr:uid="{00000000-0005-0000-0000-000008000000}"/>
    <cellStyle name="noninput" xfId="18" xr:uid="{00000000-0005-0000-0000-000009000000}"/>
    <cellStyle name="Normal" xfId="0" builtinId="0" customBuiltin="1"/>
    <cellStyle name="Normal 176" xfId="29" xr:uid="{00000000-0005-0000-0000-00000B000000}"/>
    <cellStyle name="Normal 2" xfId="9" xr:uid="{00000000-0005-0000-0000-00000C000000}"/>
    <cellStyle name="Normal 2 2" xfId="13" xr:uid="{00000000-0005-0000-0000-00000D000000}"/>
    <cellStyle name="Normal 3" xfId="10" xr:uid="{00000000-0005-0000-0000-00000E000000}"/>
    <cellStyle name="Normal 3 2" xfId="26" xr:uid="{00000000-0005-0000-0000-00000F000000}"/>
    <cellStyle name="Normal 5" xfId="12" xr:uid="{00000000-0005-0000-0000-000010000000}"/>
    <cellStyle name="Normal_Book1" xfId="30" xr:uid="{D3489703-B45D-4570-8943-D390DE335C88}"/>
    <cellStyle name="Normal_DRR AC Study - Utah Valley - 53 MW 90 CF (2.28.2005)" xfId="4" xr:uid="{00000000-0005-0000-0000-000011000000}"/>
    <cellStyle name="Normal_Exhibit GND-1 - 5.24.2005" xfId="31" xr:uid="{6AADAF8B-3C15-4219-BED8-80A2DBEC1742}"/>
    <cellStyle name="Normal_INF_06_03_07" xfId="25" xr:uid="{00000000-0005-0000-0000-000012000000}"/>
    <cellStyle name="Normal_OR AC Sch 37 - AC  Study (Gold) _2009 06 19" xfId="5" xr:uid="{00000000-0005-0000-0000-000013000000}"/>
    <cellStyle name="Normal_T-INF-10-15-04-TEMPLATE" xfId="6" xr:uid="{00000000-0005-0000-0000-000014000000}"/>
    <cellStyle name="Normal_UT 2008.Q2 - Compliance - Appendix B - AC Study_2008 08 05" xfId="11" xr:uid="{00000000-0005-0000-0000-000015000000}"/>
    <cellStyle name="Normal_UT AC 2004 - AC Study (As Ordered by Commission)" xfId="7" xr:uid="{00000000-0005-0000-0000-000016000000}"/>
    <cellStyle name="Normal_WY AC 2009 - AC Study (Wind Study)_2009 08 11" xfId="24" xr:uid="{00000000-0005-0000-0000-000017000000}"/>
    <cellStyle name="Password" xfId="19" xr:uid="{00000000-0005-0000-0000-000018000000}"/>
    <cellStyle name="Percent" xfId="8" builtinId="5"/>
    <cellStyle name="Percent 2" xfId="23" xr:uid="{00000000-0005-0000-0000-00001A000000}"/>
    <cellStyle name="Unprot" xfId="20" xr:uid="{00000000-0005-0000-0000-00001B000000}"/>
    <cellStyle name="Unprot$" xfId="21" xr:uid="{00000000-0005-0000-0000-00001C000000}"/>
    <cellStyle name="Unprotect" xfId="22" xr:uid="{00000000-0005-0000-0000-00001D000000}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5" formatCode="&quot;$&quot;#,##0.00_)&quot;x&quot;"/>
    </dxf>
    <dxf>
      <numFmt numFmtId="185" formatCode="&quot;$&quot;#,##0.00_)&quot;x&quot;"/>
    </dxf>
    <dxf>
      <numFmt numFmtId="185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1%20-%20UT%202021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SHARED\FILINGS\UT\2021%20Dockets\21-035-44%20Quarterly%20Avoided%20Cost%20Updates\3-30-22%20Q4%202021\Working%20docs\4_Appendix%20B.2%20-%20UT%202021.Q4%20-%20AC%20Study%20NON-CONF%20S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SHARED\FILINGS\UT\2021%20Dockets\21-035-44%20Quarterly%20Avoided%20Cost%20Updates\3-30-22%20Q4%202021\Working%20docs\4_Appendix%20B.3%20-%20UT%202021.Q4%20-%20AC%20Study%20NON-CONF%20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2%20-%20UT%202021.Q3%20-%20AC%20Study%20NON-CONF%20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0%20-%202021%20IRP%20GRID%20update-%20UT%20-%202021%20Sep\Sch%2038%20Filing\4_Appendix%20B.3%20-%20UT%202021.Q3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66%20-%20UT2021Q2%20-%20UT%20-%202021%20Aug\Sch%2038%20Filing\4_Appendix%20B.1%20-%20UT%202021.Q2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33.349716426529604</v>
          </cell>
          <cell r="G13">
            <v>33.349716426529604</v>
          </cell>
        </row>
        <row r="14">
          <cell r="B14">
            <v>2023</v>
          </cell>
          <cell r="C14">
            <v>0</v>
          </cell>
          <cell r="E14">
            <v>30.355139843151193</v>
          </cell>
          <cell r="G14">
            <v>30.355139843151193</v>
          </cell>
        </row>
        <row r="15">
          <cell r="B15">
            <v>2024</v>
          </cell>
          <cell r="C15">
            <v>0</v>
          </cell>
          <cell r="E15">
            <v>31.57773718322953</v>
          </cell>
          <cell r="G15">
            <v>31.57773718322953</v>
          </cell>
        </row>
        <row r="16">
          <cell r="B16">
            <v>2025</v>
          </cell>
          <cell r="C16">
            <v>0</v>
          </cell>
          <cell r="E16">
            <v>21.206969499166682</v>
          </cell>
          <cell r="G16">
            <v>21.206969499166682</v>
          </cell>
        </row>
        <row r="17">
          <cell r="B17">
            <v>2026</v>
          </cell>
          <cell r="C17">
            <v>0</v>
          </cell>
          <cell r="E17">
            <v>19.411552154771829</v>
          </cell>
          <cell r="G17">
            <v>19.411552154771829</v>
          </cell>
        </row>
        <row r="18">
          <cell r="B18">
            <v>2027</v>
          </cell>
          <cell r="C18">
            <v>0</v>
          </cell>
          <cell r="E18">
            <v>20.041330467526958</v>
          </cell>
          <cell r="G18">
            <v>20.041330467526958</v>
          </cell>
        </row>
        <row r="19">
          <cell r="B19">
            <v>2028</v>
          </cell>
          <cell r="C19">
            <v>0</v>
          </cell>
          <cell r="E19">
            <v>21.081157889160139</v>
          </cell>
          <cell r="G19">
            <v>21.081157889160139</v>
          </cell>
        </row>
        <row r="20">
          <cell r="B20">
            <v>2029</v>
          </cell>
          <cell r="C20">
            <v>0</v>
          </cell>
          <cell r="E20">
            <v>22.173265278043559</v>
          </cell>
          <cell r="G20">
            <v>22.173265278043559</v>
          </cell>
        </row>
        <row r="21">
          <cell r="B21">
            <v>2030</v>
          </cell>
          <cell r="C21">
            <v>0</v>
          </cell>
          <cell r="E21">
            <v>22.329548208730881</v>
          </cell>
          <cell r="G21">
            <v>22.329548208730881</v>
          </cell>
        </row>
        <row r="22">
          <cell r="B22">
            <v>2031</v>
          </cell>
          <cell r="C22">
            <v>0</v>
          </cell>
          <cell r="E22">
            <v>21.678981552067377</v>
          </cell>
          <cell r="G22">
            <v>21.678981552067377</v>
          </cell>
        </row>
        <row r="23">
          <cell r="B23">
            <v>2032</v>
          </cell>
          <cell r="C23">
            <v>0</v>
          </cell>
          <cell r="E23">
            <v>21.902060166408795</v>
          </cell>
          <cell r="G23">
            <v>21.902060166408795</v>
          </cell>
        </row>
        <row r="24">
          <cell r="B24">
            <v>2033</v>
          </cell>
          <cell r="C24">
            <v>119.86081370449678</v>
          </cell>
          <cell r="E24">
            <v>21.077929260772795</v>
          </cell>
          <cell r="G24">
            <v>34.760670551240459</v>
          </cell>
        </row>
        <row r="25">
          <cell r="B25">
            <v>2034</v>
          </cell>
          <cell r="C25">
            <v>122.44111349036402</v>
          </cell>
          <cell r="E25">
            <v>21.86055264315322</v>
          </cell>
          <cell r="G25">
            <v>35.83784870369707</v>
          </cell>
        </row>
        <row r="26">
          <cell r="B26">
            <v>2035</v>
          </cell>
          <cell r="C26">
            <v>125.08565310492506</v>
          </cell>
          <cell r="E26">
            <v>22.478048679411138</v>
          </cell>
          <cell r="G26">
            <v>36.75723282380897</v>
          </cell>
        </row>
        <row r="27">
          <cell r="B27">
            <v>2036</v>
          </cell>
          <cell r="C27">
            <v>127.78372591006423</v>
          </cell>
          <cell r="E27">
            <v>23.6795257147188</v>
          </cell>
          <cell r="G27">
            <v>38.226853345645964</v>
          </cell>
        </row>
        <row r="28">
          <cell r="B28">
            <v>2037</v>
          </cell>
          <cell r="C28">
            <v>130.53533190578159</v>
          </cell>
          <cell r="E28">
            <v>25.731553782708893</v>
          </cell>
          <cell r="G28">
            <v>40.632847379259303</v>
          </cell>
        </row>
        <row r="29">
          <cell r="B29">
            <v>2038</v>
          </cell>
          <cell r="C29">
            <v>133.34047109207711</v>
          </cell>
          <cell r="E29">
            <v>24.619564776265374</v>
          </cell>
          <cell r="G29">
            <v>39.841079741114349</v>
          </cell>
        </row>
        <row r="30">
          <cell r="B30">
            <v>2039</v>
          </cell>
          <cell r="C30">
            <v>136.20985010706639</v>
          </cell>
          <cell r="E30">
            <v>25.725234350245803</v>
          </cell>
          <cell r="G30">
            <v>41.274303997171195</v>
          </cell>
        </row>
        <row r="31">
          <cell r="B31">
            <v>2040</v>
          </cell>
          <cell r="C31">
            <v>139.14346895074948</v>
          </cell>
          <cell r="E31">
            <v>27.272352537253639</v>
          </cell>
          <cell r="G31">
            <v>43.112911388659548</v>
          </cell>
        </row>
        <row r="32">
          <cell r="B32">
            <v>2041</v>
          </cell>
          <cell r="C32">
            <v>142.14132762312636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145.20342612419702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0</v>
          </cell>
          <cell r="E34" t="e">
            <v>#DIV/0!</v>
          </cell>
          <cell r="G34" t="e">
            <v>#DIV/0!</v>
          </cell>
        </row>
        <row r="50">
          <cell r="G50">
            <v>26.847644384944417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33.39252204011715</v>
          </cell>
          <cell r="G13">
            <v>33.39252204011715</v>
          </cell>
        </row>
        <row r="14">
          <cell r="B14">
            <v>2023</v>
          </cell>
          <cell r="C14">
            <v>0</v>
          </cell>
          <cell r="E14">
            <v>20.966991039740954</v>
          </cell>
          <cell r="G14">
            <v>20.966991039740954</v>
          </cell>
        </row>
        <row r="15">
          <cell r="B15">
            <v>2024</v>
          </cell>
          <cell r="C15">
            <v>0</v>
          </cell>
          <cell r="E15">
            <v>18.763354414346537</v>
          </cell>
          <cell r="G15">
            <v>18.763354414346537</v>
          </cell>
        </row>
        <row r="16">
          <cell r="B16">
            <v>2025</v>
          </cell>
          <cell r="C16">
            <v>0</v>
          </cell>
          <cell r="E16">
            <v>14.719818081599156</v>
          </cell>
          <cell r="G16">
            <v>14.719818081599156</v>
          </cell>
        </row>
        <row r="17">
          <cell r="B17">
            <v>2026</v>
          </cell>
          <cell r="C17">
            <v>39.689546807250125</v>
          </cell>
          <cell r="E17">
            <v>10.93107083840977</v>
          </cell>
          <cell r="G17">
            <v>25.266027415544162</v>
          </cell>
        </row>
        <row r="18">
          <cell r="B18">
            <v>2027</v>
          </cell>
          <cell r="C18">
            <v>40.56946661516033</v>
          </cell>
          <cell r="E18">
            <v>11.202957386901785</v>
          </cell>
          <cell r="G18">
            <v>25.929352867335581</v>
          </cell>
        </row>
        <row r="19">
          <cell r="B19">
            <v>2028</v>
          </cell>
          <cell r="C19">
            <v>41.468419043191368</v>
          </cell>
          <cell r="E19">
            <v>13.124888319590298</v>
          </cell>
          <cell r="G19">
            <v>28.211947559673717</v>
          </cell>
        </row>
        <row r="20">
          <cell r="B20">
            <v>2029</v>
          </cell>
          <cell r="C20">
            <v>42.385727761136522</v>
          </cell>
          <cell r="E20">
            <v>16.29163963511046</v>
          </cell>
          <cell r="G20">
            <v>31.832342075079278</v>
          </cell>
        </row>
        <row r="21">
          <cell r="B21">
            <v>2030</v>
          </cell>
          <cell r="C21">
            <v>43.31286861857452</v>
          </cell>
          <cell r="E21">
            <v>15.098244272364649</v>
          </cell>
          <cell r="G21">
            <v>31.058684399912661</v>
          </cell>
        </row>
        <row r="22">
          <cell r="B22">
            <v>2031</v>
          </cell>
          <cell r="C22">
            <v>44.261720957720861</v>
          </cell>
          <cell r="E22">
            <v>14.41158608530645</v>
          </cell>
          <cell r="G22">
            <v>30.80363072864672</v>
          </cell>
        </row>
        <row r="23">
          <cell r="B23">
            <v>2032</v>
          </cell>
          <cell r="C23">
            <v>45.230587729687628</v>
          </cell>
          <cell r="E23">
            <v>14.214554774346531</v>
          </cell>
          <cell r="G23">
            <v>31.003639579083945</v>
          </cell>
        </row>
        <row r="24">
          <cell r="B24">
            <v>2033</v>
          </cell>
          <cell r="C24">
            <v>46.221127077381119</v>
          </cell>
          <cell r="E24">
            <v>13.518000917534597</v>
          </cell>
          <cell r="G24">
            <v>30.808168480402795</v>
          </cell>
        </row>
        <row r="25">
          <cell r="B25">
            <v>2034</v>
          </cell>
          <cell r="C25">
            <v>47.233339000801308</v>
          </cell>
          <cell r="E25">
            <v>13.000363280976465</v>
          </cell>
          <cell r="G25">
            <v>30.757961936882968</v>
          </cell>
        </row>
        <row r="26">
          <cell r="B26">
            <v>2035</v>
          </cell>
          <cell r="C26">
            <v>48.267262405929856</v>
          </cell>
          <cell r="E26">
            <v>13.678803944910829</v>
          </cell>
          <cell r="G26">
            <v>31.916298485586452</v>
          </cell>
        </row>
        <row r="27">
          <cell r="B27">
            <v>2036</v>
          </cell>
          <cell r="C27">
            <v>49.322858386785114</v>
          </cell>
          <cell r="E27">
            <v>17.613734040578532</v>
          </cell>
          <cell r="G27">
            <v>36.292608615051016</v>
          </cell>
        </row>
        <row r="28">
          <cell r="B28">
            <v>2037</v>
          </cell>
          <cell r="C28">
            <v>50.403482135161319</v>
          </cell>
          <cell r="E28">
            <v>21.202602982323203</v>
          </cell>
          <cell r="G28">
            <v>40.439139915796225</v>
          </cell>
        </row>
        <row r="29">
          <cell r="B29">
            <v>2038</v>
          </cell>
          <cell r="C29">
            <v>51.505778459264221</v>
          </cell>
          <cell r="E29">
            <v>20.632531719688746</v>
          </cell>
          <cell r="G29">
            <v>40.388541287157992</v>
          </cell>
        </row>
        <row r="30">
          <cell r="B30">
            <v>2039</v>
          </cell>
          <cell r="C30">
            <v>52.634760693794362</v>
          </cell>
          <cell r="E30">
            <v>23.900825167966989</v>
          </cell>
          <cell r="G30">
            <v>44.191329409698639</v>
          </cell>
        </row>
        <row r="31">
          <cell r="B31">
            <v>2040</v>
          </cell>
          <cell r="C31">
            <v>53.787112552939149</v>
          </cell>
          <cell r="E31">
            <v>23.462591652323216</v>
          </cell>
          <cell r="G31">
            <v>44.244641313356794</v>
          </cell>
        </row>
        <row r="32">
          <cell r="B32">
            <v>2041</v>
          </cell>
          <cell r="C32">
            <v>54.964492179604861</v>
          </cell>
          <cell r="E32">
            <v>23.990279702973904</v>
          </cell>
          <cell r="G32">
            <v>45.268575616478742</v>
          </cell>
        </row>
        <row r="33">
          <cell r="B33">
            <v>2042</v>
          </cell>
          <cell r="C33">
            <v>56.166899573791525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57.397651021311688</v>
          </cell>
          <cell r="E34" t="e">
            <v>#DIV/0!</v>
          </cell>
          <cell r="G34" t="e">
            <v>#DIV/0!</v>
          </cell>
        </row>
        <row r="50">
          <cell r="G50">
            <v>27.017836880637113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V wS Borah_2026"/>
      <sheetName val="Table 3 StdBat  DJ_2029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39.415531900032619</v>
          </cell>
          <cell r="G13">
            <v>39.415531900032619</v>
          </cell>
        </row>
        <row r="14">
          <cell r="B14">
            <v>2023</v>
          </cell>
          <cell r="C14">
            <v>0</v>
          </cell>
          <cell r="E14">
            <v>27.041242865239862</v>
          </cell>
          <cell r="G14">
            <v>27.041242865239862</v>
          </cell>
        </row>
        <row r="15">
          <cell r="B15">
            <v>2024</v>
          </cell>
          <cell r="C15">
            <v>0</v>
          </cell>
          <cell r="E15">
            <v>29.209308122897617</v>
          </cell>
          <cell r="G15">
            <v>29.209308122897617</v>
          </cell>
        </row>
        <row r="16">
          <cell r="B16">
            <v>2025</v>
          </cell>
          <cell r="C16">
            <v>0</v>
          </cell>
          <cell r="E16">
            <v>24.907875045412947</v>
          </cell>
          <cell r="G16">
            <v>24.907875045412947</v>
          </cell>
        </row>
        <row r="17">
          <cell r="B17">
            <v>2026</v>
          </cell>
          <cell r="C17">
            <v>87.983796211214255</v>
          </cell>
          <cell r="E17">
            <v>-0.62534515655245371</v>
          </cell>
          <cell r="G17">
            <v>33.47366335280006</v>
          </cell>
        </row>
        <row r="18">
          <cell r="B18">
            <v>2027</v>
          </cell>
          <cell r="C18">
            <v>89.87973666129065</v>
          </cell>
          <cell r="E18">
            <v>-0.67142376524165226</v>
          </cell>
          <cell r="G18">
            <v>34.162375607023641</v>
          </cell>
        </row>
        <row r="19">
          <cell r="B19">
            <v>2028</v>
          </cell>
          <cell r="C19">
            <v>91.813078636275492</v>
          </cell>
          <cell r="E19">
            <v>-0.40663689096154232</v>
          </cell>
          <cell r="G19">
            <v>35.068945875258891</v>
          </cell>
        </row>
        <row r="20">
          <cell r="B20">
            <v>2029</v>
          </cell>
          <cell r="C20">
            <v>93.796935484715988</v>
          </cell>
          <cell r="E20">
            <v>0.26580625865089963</v>
          </cell>
          <cell r="G20">
            <v>36.617755583120484</v>
          </cell>
        </row>
        <row r="21">
          <cell r="B21">
            <v>2030</v>
          </cell>
          <cell r="C21">
            <v>95.81753042294244</v>
          </cell>
          <cell r="E21">
            <v>2.935929820249478E-2</v>
          </cell>
          <cell r="G21">
            <v>37.164410590983778</v>
          </cell>
        </row>
        <row r="22">
          <cell r="B22">
            <v>2031</v>
          </cell>
          <cell r="C22">
            <v>97.879455712178057</v>
          </cell>
          <cell r="E22">
            <v>-0.46743841498177069</v>
          </cell>
          <cell r="G22">
            <v>37.466732840917601</v>
          </cell>
        </row>
        <row r="23">
          <cell r="B23">
            <v>2032</v>
          </cell>
          <cell r="C23">
            <v>99.987303613646105</v>
          </cell>
          <cell r="E23">
            <v>3.521173652156822E-2</v>
          </cell>
          <cell r="G23">
            <v>38.669226820246735</v>
          </cell>
        </row>
        <row r="24">
          <cell r="B24">
            <v>2033</v>
          </cell>
          <cell r="C24">
            <v>102.14107412734654</v>
          </cell>
          <cell r="E24">
            <v>-0.40579845220189514</v>
          </cell>
          <cell r="G24">
            <v>39.180006045954876</v>
          </cell>
        </row>
        <row r="25">
          <cell r="B25">
            <v>2034</v>
          </cell>
          <cell r="C25">
            <v>104.34535951450266</v>
          </cell>
          <cell r="E25">
            <v>0.65615233839333631</v>
          </cell>
          <cell r="G25">
            <v>41.096249892890178</v>
          </cell>
        </row>
        <row r="26">
          <cell r="B26">
            <v>2035</v>
          </cell>
          <cell r="C26">
            <v>106.59097525266796</v>
          </cell>
          <cell r="E26">
            <v>0.51996888166200461</v>
          </cell>
          <cell r="G26">
            <v>41.830377487305263</v>
          </cell>
        </row>
        <row r="27">
          <cell r="B27">
            <v>2036</v>
          </cell>
          <cell r="C27">
            <v>108.88710586428893</v>
          </cell>
          <cell r="E27">
            <v>16.92967852321647</v>
          </cell>
          <cell r="G27">
            <v>59.0024811526294</v>
          </cell>
        </row>
        <row r="28">
          <cell r="B28">
            <v>2037</v>
          </cell>
          <cell r="C28">
            <v>111.23375134936552</v>
          </cell>
          <cell r="E28">
            <v>19.923136505379677</v>
          </cell>
          <cell r="G28">
            <v>63.032899860939146</v>
          </cell>
        </row>
        <row r="29">
          <cell r="B29">
            <v>2038</v>
          </cell>
          <cell r="C29">
            <v>113.63091170789781</v>
          </cell>
          <cell r="E29">
            <v>18.481097702625057</v>
          </cell>
          <cell r="G29">
            <v>62.519904756954318</v>
          </cell>
        </row>
        <row r="30">
          <cell r="B30">
            <v>2039</v>
          </cell>
          <cell r="C30">
            <v>116.07858693988574</v>
          </cell>
          <cell r="E30">
            <v>20.515594069376078</v>
          </cell>
          <cell r="G30">
            <v>65.503022371682931</v>
          </cell>
        </row>
        <row r="31">
          <cell r="B31">
            <v>2040</v>
          </cell>
          <cell r="C31">
            <v>118.57677704532935</v>
          </cell>
          <cell r="E31">
            <v>20.950686439365615</v>
          </cell>
          <cell r="G31">
            <v>66.767473445146535</v>
          </cell>
        </row>
        <row r="32">
          <cell r="B32">
            <v>2041</v>
          </cell>
          <cell r="C32">
            <v>121.13007428545184</v>
          </cell>
          <cell r="E32">
            <v>21.367492495141235</v>
          </cell>
          <cell r="G32">
            <v>68.331110891180288</v>
          </cell>
        </row>
        <row r="33">
          <cell r="B33">
            <v>2042</v>
          </cell>
          <cell r="C33">
            <v>123.73847866025324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126.40658243095679</v>
          </cell>
          <cell r="E34" t="e">
            <v>#DIV/0!</v>
          </cell>
          <cell r="G34" t="e">
            <v>#DIV/0!</v>
          </cell>
        </row>
        <row r="50">
          <cell r="G50">
            <v>35.438848707285828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24.600535124023555</v>
          </cell>
          <cell r="G13">
            <v>24.600535124023555</v>
          </cell>
        </row>
        <row r="14">
          <cell r="B14">
            <v>2023</v>
          </cell>
          <cell r="C14">
            <v>0</v>
          </cell>
          <cell r="E14">
            <v>20.953441061110205</v>
          </cell>
          <cell r="G14">
            <v>20.953441061110205</v>
          </cell>
        </row>
        <row r="15">
          <cell r="B15">
            <v>2024</v>
          </cell>
          <cell r="C15">
            <v>0</v>
          </cell>
          <cell r="E15">
            <v>19.417389122646654</v>
          </cell>
          <cell r="G15">
            <v>19.417389122646654</v>
          </cell>
        </row>
        <row r="16">
          <cell r="B16">
            <v>2025</v>
          </cell>
          <cell r="C16">
            <v>0</v>
          </cell>
          <cell r="E16">
            <v>12.226298219956826</v>
          </cell>
          <cell r="G16">
            <v>12.226298219956826</v>
          </cell>
        </row>
        <row r="17">
          <cell r="B17">
            <v>2026</v>
          </cell>
          <cell r="C17">
            <v>39.689546807250032</v>
          </cell>
          <cell r="E17">
            <v>7.6900972092785844</v>
          </cell>
          <cell r="G17">
            <v>22.097088759528294</v>
          </cell>
        </row>
        <row r="18">
          <cell r="B18">
            <v>2027</v>
          </cell>
          <cell r="C18">
            <v>40.577951859599906</v>
          </cell>
          <cell r="E18">
            <v>8.062244057649016</v>
          </cell>
          <cell r="G18">
            <v>22.865737110943854</v>
          </cell>
        </row>
        <row r="19">
          <cell r="B19">
            <v>2028</v>
          </cell>
          <cell r="C19">
            <v>41.487086580958518</v>
          </cell>
          <cell r="E19">
            <v>8.5779141400630863</v>
          </cell>
          <cell r="G19">
            <v>23.747613498775319</v>
          </cell>
        </row>
        <row r="20">
          <cell r="B20">
            <v>2029</v>
          </cell>
          <cell r="C20">
            <v>42.40439529890368</v>
          </cell>
          <cell r="E20">
            <v>10.317274959528362</v>
          </cell>
          <cell r="G20">
            <v>25.942950050990476</v>
          </cell>
        </row>
        <row r="21">
          <cell r="B21">
            <v>2030</v>
          </cell>
          <cell r="C21">
            <v>43.333233205229597</v>
          </cell>
          <cell r="E21">
            <v>9.9180557039859458</v>
          </cell>
          <cell r="G21">
            <v>25.966240859707785</v>
          </cell>
        </row>
        <row r="22">
          <cell r="B22">
            <v>2031</v>
          </cell>
          <cell r="C22">
            <v>44.282085544375931</v>
          </cell>
          <cell r="E22">
            <v>9.6301896726422154</v>
          </cell>
          <cell r="G22">
            <v>26.112186373757979</v>
          </cell>
        </row>
        <row r="23">
          <cell r="B23">
            <v>2032</v>
          </cell>
          <cell r="C23">
            <v>45.250952316342698</v>
          </cell>
          <cell r="E23">
            <v>9.6445469024730368</v>
          </cell>
          <cell r="G23">
            <v>26.525595875341242</v>
          </cell>
        </row>
        <row r="24">
          <cell r="B24">
            <v>2033</v>
          </cell>
          <cell r="C24">
            <v>46.241491664036182</v>
          </cell>
          <cell r="E24">
            <v>9.2211044766305612</v>
          </cell>
          <cell r="G24">
            <v>26.605813404501827</v>
          </cell>
        </row>
        <row r="25">
          <cell r="B25">
            <v>2034</v>
          </cell>
          <cell r="C25">
            <v>47.255400636344305</v>
          </cell>
          <cell r="E25">
            <v>8.9595288057798328</v>
          </cell>
          <cell r="G25">
            <v>26.814697468025933</v>
          </cell>
        </row>
        <row r="26">
          <cell r="B26">
            <v>2035</v>
          </cell>
          <cell r="C26">
            <v>48.289324041472852</v>
          </cell>
          <cell r="E26">
            <v>9.1752283863632424</v>
          </cell>
          <cell r="G26">
            <v>27.51274665151875</v>
          </cell>
        </row>
        <row r="27">
          <cell r="B27">
            <v>2036</v>
          </cell>
          <cell r="C27">
            <v>49.344920022328111</v>
          </cell>
          <cell r="E27">
            <v>11.056926208859261</v>
          </cell>
          <cell r="G27">
            <v>29.838061223338279</v>
          </cell>
        </row>
        <row r="28">
          <cell r="B28">
            <v>2037</v>
          </cell>
          <cell r="C28">
            <v>50.425543770704309</v>
          </cell>
          <cell r="E28">
            <v>12.122916771077358</v>
          </cell>
          <cell r="G28">
            <v>31.464582016788995</v>
          </cell>
        </row>
        <row r="29">
          <cell r="B29">
            <v>2038</v>
          </cell>
          <cell r="C29">
            <v>51.52953714369513</v>
          </cell>
          <cell r="E29">
            <v>11.187240334294756</v>
          </cell>
          <cell r="G29">
            <v>31.051685013187086</v>
          </cell>
        </row>
        <row r="30">
          <cell r="B30">
            <v>2039</v>
          </cell>
          <cell r="C30">
            <v>52.658519378225279</v>
          </cell>
          <cell r="E30">
            <v>11.923145101268165</v>
          </cell>
          <cell r="G30">
            <v>32.32481685215231</v>
          </cell>
        </row>
        <row r="31">
          <cell r="B31">
            <v>2040</v>
          </cell>
          <cell r="C31">
            <v>53.810871237370051</v>
          </cell>
          <cell r="E31">
            <v>12.88886637825701</v>
          </cell>
          <cell r="G31">
            <v>33.784574392604178</v>
          </cell>
        </row>
        <row r="32">
          <cell r="B32">
            <v>2041</v>
          </cell>
          <cell r="C32">
            <v>54.974674472932328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56.16350547601553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57.394256923535707</v>
          </cell>
          <cell r="E34" t="e">
            <v>#DIV/0!</v>
          </cell>
          <cell r="G34" t="e">
            <v>#DIV/0!</v>
          </cell>
        </row>
        <row r="50">
          <cell r="G50">
            <v>23.178118867640421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TransCost"/>
      <sheetName val="Table 3 PNC Wind_2026"/>
      <sheetName val="Table 3 PNC Wind_2032"/>
      <sheetName val="Table 3 WV Wind_2026"/>
      <sheetName val="Table 3 YK WindwS_2030"/>
      <sheetName val="Table 3 WYE Wind_2030"/>
      <sheetName val="Table 3 WYE_DJ Wind_2030"/>
      <sheetName val="Table 3 PV wS Borah_2026"/>
      <sheetName val="Table 3 PV wS SOR_2028"/>
      <sheetName val="Table 3 PV wS SOR_2030"/>
      <sheetName val="Table 3 PV wS YK_2030"/>
      <sheetName val="Table 3 PV wS UTN_2031"/>
      <sheetName val="Table 3 PV wS UTS_2033"/>
      <sheetName val="Table 3 SmNuc 345MW (NTN) 2028"/>
      <sheetName val="Table 3 NonE 206MW (UTN) 2033"/>
      <sheetName val="Table 3 NonE 196MW (NTN)"/>
      <sheetName val="Table 3 StdBat  DJ_2029"/>
    </sheetNames>
    <sheetDataSet>
      <sheetData sheetId="0" refreshError="1"/>
      <sheetData sheetId="1">
        <row r="13">
          <cell r="B13">
            <v>2022</v>
          </cell>
          <cell r="C13">
            <v>0</v>
          </cell>
          <cell r="E13">
            <v>30.859614362502434</v>
          </cell>
          <cell r="G13">
            <v>30.859614362502434</v>
          </cell>
        </row>
        <row r="14">
          <cell r="B14">
            <v>2023</v>
          </cell>
          <cell r="C14">
            <v>0</v>
          </cell>
          <cell r="E14">
            <v>27.124845517071677</v>
          </cell>
          <cell r="G14">
            <v>27.124845517071677</v>
          </cell>
        </row>
        <row r="15">
          <cell r="B15">
            <v>2024</v>
          </cell>
          <cell r="C15">
            <v>0</v>
          </cell>
          <cell r="E15">
            <v>28.664412306017891</v>
          </cell>
          <cell r="G15">
            <v>28.664412306017891</v>
          </cell>
        </row>
        <row r="16">
          <cell r="B16">
            <v>2025</v>
          </cell>
          <cell r="C16">
            <v>0</v>
          </cell>
          <cell r="E16">
            <v>19.406339012533543</v>
          </cell>
          <cell r="G16">
            <v>19.406339012533543</v>
          </cell>
        </row>
        <row r="17">
          <cell r="B17">
            <v>2026</v>
          </cell>
          <cell r="C17">
            <v>87.983796211214241</v>
          </cell>
          <cell r="E17">
            <v>-4.8885590710951687</v>
          </cell>
          <cell r="G17">
            <v>29.210449438257342</v>
          </cell>
        </row>
        <row r="18">
          <cell r="B18">
            <v>2027</v>
          </cell>
          <cell r="C18">
            <v>89.879736661290622</v>
          </cell>
          <cell r="E18">
            <v>-5.1179712813546079</v>
          </cell>
          <cell r="G18">
            <v>29.715828090910669</v>
          </cell>
        </row>
        <row r="19">
          <cell r="B19">
            <v>2028</v>
          </cell>
          <cell r="C19">
            <v>91.813078636275478</v>
          </cell>
          <cell r="E19">
            <v>-4.8353783647780073</v>
          </cell>
          <cell r="G19">
            <v>30.640204401442407</v>
          </cell>
        </row>
        <row r="20">
          <cell r="B20">
            <v>2029</v>
          </cell>
          <cell r="C20">
            <v>93.796935484715974</v>
          </cell>
          <cell r="E20">
            <v>-4.5975204725406771</v>
          </cell>
          <cell r="G20">
            <v>31.754428851928903</v>
          </cell>
        </row>
        <row r="21">
          <cell r="B21">
            <v>2030</v>
          </cell>
          <cell r="C21">
            <v>95.817530422942426</v>
          </cell>
          <cell r="E21">
            <v>-4.9225480695762558</v>
          </cell>
          <cell r="G21">
            <v>32.212503223205026</v>
          </cell>
        </row>
        <row r="22">
          <cell r="B22">
            <v>2031</v>
          </cell>
          <cell r="C22">
            <v>97.879455712178043</v>
          </cell>
          <cell r="E22">
            <v>-4.9622010239508505</v>
          </cell>
          <cell r="G22">
            <v>32.971970231948518</v>
          </cell>
        </row>
        <row r="23">
          <cell r="B23">
            <v>2032</v>
          </cell>
          <cell r="C23">
            <v>99.987303613646077</v>
          </cell>
          <cell r="E23">
            <v>-4.7692716771386001</v>
          </cell>
          <cell r="G23">
            <v>33.864743406586555</v>
          </cell>
        </row>
        <row r="24">
          <cell r="B24">
            <v>2033</v>
          </cell>
          <cell r="C24">
            <v>102.14107412734651</v>
          </cell>
          <cell r="E24">
            <v>-5.4304068918200343</v>
          </cell>
          <cell r="G24">
            <v>34.155397606336741</v>
          </cell>
        </row>
        <row r="25">
          <cell r="B25">
            <v>2034</v>
          </cell>
          <cell r="C25">
            <v>104.34535951450263</v>
          </cell>
          <cell r="E25">
            <v>-5.2421087427817943</v>
          </cell>
          <cell r="G25">
            <v>35.197988811715007</v>
          </cell>
        </row>
        <row r="26">
          <cell r="B26">
            <v>2035</v>
          </cell>
          <cell r="C26">
            <v>106.59097525266793</v>
          </cell>
          <cell r="E26">
            <v>-5.5904177277339064</v>
          </cell>
          <cell r="G26">
            <v>35.719990877909346</v>
          </cell>
        </row>
        <row r="27">
          <cell r="B27">
            <v>2036</v>
          </cell>
          <cell r="C27">
            <v>108.8871058642889</v>
          </cell>
          <cell r="E27">
            <v>10.57958768027288</v>
          </cell>
          <cell r="G27">
            <v>52.652390309685799</v>
          </cell>
        </row>
        <row r="28">
          <cell r="B28">
            <v>2037</v>
          </cell>
          <cell r="C28">
            <v>111.23375134936551</v>
          </cell>
          <cell r="E28">
            <v>11.631183288967341</v>
          </cell>
          <cell r="G28">
            <v>54.740946644526801</v>
          </cell>
        </row>
        <row r="29">
          <cell r="B29">
            <v>2038</v>
          </cell>
          <cell r="C29">
            <v>113.63091170789778</v>
          </cell>
          <cell r="E29">
            <v>11.055598055107474</v>
          </cell>
          <cell r="G29">
            <v>55.094405109436721</v>
          </cell>
        </row>
        <row r="30">
          <cell r="B30">
            <v>2039</v>
          </cell>
          <cell r="C30">
            <v>116.07858693988571</v>
          </cell>
          <cell r="E30">
            <v>11.661218327434151</v>
          </cell>
          <cell r="G30">
            <v>56.648646629741002</v>
          </cell>
        </row>
        <row r="31">
          <cell r="B31">
            <v>2040</v>
          </cell>
          <cell r="C31">
            <v>118.57677704532932</v>
          </cell>
          <cell r="E31">
            <v>12.609180416929142</v>
          </cell>
          <cell r="G31">
            <v>58.425967422710023</v>
          </cell>
        </row>
        <row r="32">
          <cell r="B32">
            <v>2041</v>
          </cell>
          <cell r="C32">
            <v>121.13007428545181</v>
          </cell>
          <cell r="E32" t="e">
            <v>#DIV/0!</v>
          </cell>
          <cell r="G32" t="e">
            <v>#DIV/0!</v>
          </cell>
        </row>
        <row r="33">
          <cell r="B33">
            <v>2042</v>
          </cell>
          <cell r="C33">
            <v>123.73847866025321</v>
          </cell>
          <cell r="E33" t="e">
            <v>#DIV/0!</v>
          </cell>
          <cell r="G33" t="e">
            <v>#DIV/0!</v>
          </cell>
        </row>
        <row r="34">
          <cell r="B34">
            <v>2043</v>
          </cell>
          <cell r="C34">
            <v>126.40658243095677</v>
          </cell>
          <cell r="E34" t="e">
            <v>#DIV/0!</v>
          </cell>
          <cell r="G34" t="e">
            <v>#DIV/0!</v>
          </cell>
        </row>
        <row r="50">
          <cell r="G50">
            <v>30.935247793909166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  <sheetName val="4_Appendix B.1 - UT 2021"/>
    </sheetNames>
    <sheetDataSet>
      <sheetData sheetId="0">
        <row r="27">
          <cell r="C27"/>
        </row>
      </sheetData>
      <sheetData sheetId="1">
        <row r="13">
          <cell r="B13">
            <v>2022</v>
          </cell>
        </row>
        <row r="17">
          <cell r="I17">
            <v>-2.5121246648423465</v>
          </cell>
        </row>
        <row r="18">
          <cell r="I18">
            <v>-1.7118119022304619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E02C2-CCB1-4F2A-B890-DAB3568142AB}">
  <sheetPr>
    <pageSetUpPr fitToPage="1"/>
  </sheetPr>
  <dimension ref="A1:L40"/>
  <sheetViews>
    <sheetView showGridLines="0" view="pageBreakPreview" topLeftCell="A14" zoomScale="80" zoomScaleNormal="80" zoomScaleSheetLayoutView="80" workbookViewId="0">
      <selection activeCell="F5" sqref="F5:H5"/>
    </sheetView>
  </sheetViews>
  <sheetFormatPr defaultColWidth="9.33203125" defaultRowHeight="13.2"/>
  <cols>
    <col min="1" max="1" width="14" style="53" customWidth="1"/>
    <col min="2" max="2" width="11.6640625" style="53" customWidth="1"/>
    <col min="3" max="3" width="20.21875" style="53" customWidth="1"/>
    <col min="4" max="8" width="17.44140625" style="53" customWidth="1"/>
    <col min="9" max="9" width="21.21875" style="53" customWidth="1"/>
    <col min="10" max="11" width="17.44140625" style="53" customWidth="1"/>
    <col min="12" max="13" width="9.33203125" style="53" customWidth="1"/>
    <col min="14" max="14" width="10.44140625" style="53" bestFit="1" customWidth="1"/>
    <col min="15" max="16384" width="9.33203125" style="53"/>
  </cols>
  <sheetData>
    <row r="1" spans="2:12" ht="15.6">
      <c r="B1" s="387" t="s">
        <v>229</v>
      </c>
      <c r="C1" s="388"/>
      <c r="D1" s="388"/>
      <c r="E1" s="388"/>
      <c r="F1" s="388"/>
      <c r="G1" s="388"/>
      <c r="H1" s="388"/>
      <c r="I1" s="389"/>
      <c r="J1" s="389"/>
      <c r="K1" s="389"/>
    </row>
    <row r="2" spans="2:12" ht="5.25" customHeight="1">
      <c r="B2" s="387"/>
      <c r="C2" s="388"/>
      <c r="D2" s="388"/>
      <c r="E2" s="388"/>
      <c r="F2" s="388"/>
      <c r="G2" s="388"/>
      <c r="H2" s="388"/>
      <c r="I2" s="389"/>
      <c r="J2" s="389"/>
      <c r="K2" s="389"/>
    </row>
    <row r="3" spans="2:12" ht="15.6">
      <c r="B3" s="390" t="s">
        <v>230</v>
      </c>
      <c r="C3" s="390"/>
      <c r="D3" s="390"/>
      <c r="E3" s="390"/>
      <c r="F3" s="390"/>
      <c r="G3" s="390"/>
      <c r="H3" s="390"/>
      <c r="I3" s="387"/>
      <c r="J3" s="387"/>
      <c r="K3" s="387"/>
    </row>
    <row r="4" spans="2:12" ht="15.6">
      <c r="B4" s="391" t="s">
        <v>244</v>
      </c>
      <c r="C4" s="390"/>
      <c r="D4" s="390"/>
      <c r="E4" s="390"/>
      <c r="F4" s="390"/>
      <c r="G4" s="390"/>
      <c r="H4" s="390"/>
      <c r="I4" s="387"/>
      <c r="J4" s="387"/>
      <c r="K4" s="387"/>
    </row>
    <row r="5" spans="2:12" ht="41.25" customHeight="1">
      <c r="C5" s="392" t="s">
        <v>231</v>
      </c>
      <c r="D5" s="392" t="s">
        <v>232</v>
      </c>
      <c r="E5" s="393" t="s">
        <v>66</v>
      </c>
      <c r="F5" s="392" t="s">
        <v>231</v>
      </c>
      <c r="G5" s="392" t="s">
        <v>232</v>
      </c>
      <c r="H5" s="393" t="s">
        <v>66</v>
      </c>
      <c r="I5" s="393" t="str">
        <f>C5</f>
        <v>Thermal</v>
      </c>
      <c r="J5" s="392" t="str">
        <f>D5</f>
        <v>Solar Tracking</v>
      </c>
      <c r="K5" s="393" t="str">
        <f>E5</f>
        <v>Wind</v>
      </c>
    </row>
    <row r="6" spans="2:12">
      <c r="B6" s="392" t="s">
        <v>0</v>
      </c>
      <c r="C6" s="394" t="s">
        <v>242</v>
      </c>
      <c r="D6" s="394" t="s">
        <v>242</v>
      </c>
      <c r="E6" s="394" t="s">
        <v>243</v>
      </c>
      <c r="F6" s="394" t="s">
        <v>233</v>
      </c>
      <c r="G6" s="394" t="s">
        <v>233</v>
      </c>
      <c r="H6" s="394" t="s">
        <v>233</v>
      </c>
      <c r="I6" s="395"/>
      <c r="J6" s="395"/>
      <c r="K6" s="395"/>
      <c r="L6" s="396"/>
    </row>
    <row r="7" spans="2:12">
      <c r="B7" s="392"/>
      <c r="C7" s="397" t="s">
        <v>234</v>
      </c>
      <c r="D7" s="397" t="s">
        <v>235</v>
      </c>
      <c r="E7" s="398" t="s">
        <v>236</v>
      </c>
      <c r="F7" s="397" t="s">
        <v>234</v>
      </c>
      <c r="G7" s="397" t="s">
        <v>235</v>
      </c>
      <c r="H7" s="398" t="s">
        <v>236</v>
      </c>
      <c r="I7" s="392" t="s">
        <v>237</v>
      </c>
      <c r="J7" s="392" t="s">
        <v>237</v>
      </c>
      <c r="K7" s="392" t="s">
        <v>237</v>
      </c>
    </row>
    <row r="8" spans="2:12" hidden="1">
      <c r="B8" s="399"/>
      <c r="C8" s="400"/>
      <c r="D8" s="400"/>
      <c r="E8" s="400"/>
      <c r="F8" s="400"/>
      <c r="G8" s="400"/>
      <c r="H8" s="400"/>
      <c r="I8" s="400"/>
      <c r="J8" s="400"/>
      <c r="K8" s="401"/>
      <c r="L8" s="402"/>
    </row>
    <row r="9" spans="2:12">
      <c r="B9" s="399">
        <v>2022</v>
      </c>
      <c r="C9" s="400">
        <f ca="1">VLOOKUP($B9,'Table 1'!$B$13:$G$34,6,FALSE)</f>
        <v>34.176884685777488</v>
      </c>
      <c r="D9" s="400">
        <f>VLOOKUP($B9,'[11]Table 1'!$B$13:$G$39,6,FALSE)</f>
        <v>33.39252204011715</v>
      </c>
      <c r="E9" s="400">
        <f>VLOOKUP($B9,'[12]Table 1'!$B$13:$G$40,6,FALSE)</f>
        <v>39.415531900032619</v>
      </c>
      <c r="F9" s="403">
        <f>VLOOKUP($B9,'[1]Table 1'!$B$13:$G$40,6,FALSE)</f>
        <v>33.349716426529604</v>
      </c>
      <c r="G9" s="403">
        <f>VLOOKUP($B9,'[13]Table 1'!$B$13:$G$40,6,FALSE)</f>
        <v>24.600535124023555</v>
      </c>
      <c r="H9" s="403">
        <f>VLOOKUP($B9,'[14]Table 1'!$B$13:$G$40,6,FALSE)</f>
        <v>30.859614362502434</v>
      </c>
      <c r="I9" s="400">
        <f t="shared" ref="I9:K23" ca="1" si="0">C9-F9</f>
        <v>0.82716825924788395</v>
      </c>
      <c r="J9" s="400">
        <f t="shared" si="0"/>
        <v>8.7919869160935953</v>
      </c>
      <c r="K9" s="401">
        <f t="shared" si="0"/>
        <v>8.5559175375301848</v>
      </c>
      <c r="L9" s="402"/>
    </row>
    <row r="10" spans="2:12">
      <c r="B10" s="404">
        <f>B9+1</f>
        <v>2023</v>
      </c>
      <c r="C10" s="405">
        <f ca="1">VLOOKUP($B10,'Table 1'!$B$13:$G$34,6,FALSE)</f>
        <v>30.228965736097177</v>
      </c>
      <c r="D10" s="405">
        <f>VLOOKUP($B10,'[11]Table 1'!$B$13:$G$39,6,FALSE)</f>
        <v>20.966991039740954</v>
      </c>
      <c r="E10" s="405">
        <f>VLOOKUP($B10,'[12]Table 1'!$B$13:$G$40,6,FALSE)</f>
        <v>27.041242865239862</v>
      </c>
      <c r="F10" s="405">
        <f>VLOOKUP($B10,'[1]Table 1'!$B$13:$G$40,6,FALSE)</f>
        <v>30.355139843151193</v>
      </c>
      <c r="G10" s="405">
        <f>VLOOKUP($B10,'[13]Table 1'!$B$13:$G$40,6,FALSE)</f>
        <v>20.953441061110205</v>
      </c>
      <c r="H10" s="405">
        <f>VLOOKUP($B10,'[14]Table 1'!$B$13:$G$40,6,FALSE)</f>
        <v>27.124845517071677</v>
      </c>
      <c r="I10" s="405">
        <f t="shared" ca="1" si="0"/>
        <v>-0.1261741070540161</v>
      </c>
      <c r="J10" s="405">
        <f t="shared" si="0"/>
        <v>1.3549978630749138E-2</v>
      </c>
      <c r="K10" s="406">
        <f t="shared" si="0"/>
        <v>-8.3602651831814256E-2</v>
      </c>
      <c r="L10" s="402"/>
    </row>
    <row r="11" spans="2:12">
      <c r="B11" s="404">
        <f t="shared" ref="B11:B23" si="1">B10+1</f>
        <v>2024</v>
      </c>
      <c r="C11" s="405">
        <f ca="1">VLOOKUP($B11,'Table 1'!$B$13:$G$34,6,FALSE)</f>
        <v>32.164512348755068</v>
      </c>
      <c r="D11" s="405">
        <f>VLOOKUP($B11,'[11]Table 1'!$B$13:$G$39,6,FALSE)</f>
        <v>18.763354414346537</v>
      </c>
      <c r="E11" s="405">
        <f>VLOOKUP($B11,'[12]Table 1'!$B$13:$G$40,6,FALSE)</f>
        <v>29.209308122897617</v>
      </c>
      <c r="F11" s="405">
        <f>VLOOKUP($B11,'[1]Table 1'!$B$13:$G$40,6,FALSE)</f>
        <v>31.57773718322953</v>
      </c>
      <c r="G11" s="405">
        <f>VLOOKUP($B11,'[13]Table 1'!$B$13:$G$40,6,FALSE)</f>
        <v>19.417389122646654</v>
      </c>
      <c r="H11" s="405">
        <f>VLOOKUP($B11,'[14]Table 1'!$B$13:$G$40,6,FALSE)</f>
        <v>28.664412306017891</v>
      </c>
      <c r="I11" s="405">
        <f t="shared" ca="1" si="0"/>
        <v>0.58677516552553755</v>
      </c>
      <c r="J11" s="405">
        <f t="shared" si="0"/>
        <v>-0.65403470830011656</v>
      </c>
      <c r="K11" s="406">
        <f t="shared" si="0"/>
        <v>0.54489581687972688</v>
      </c>
      <c r="L11" s="402"/>
    </row>
    <row r="12" spans="2:12">
      <c r="B12" s="404">
        <f t="shared" si="1"/>
        <v>2025</v>
      </c>
      <c r="C12" s="405">
        <f ca="1">VLOOKUP($B12,'Table 1'!$B$13:$G$34,6,FALSE)</f>
        <v>27.852830281407748</v>
      </c>
      <c r="D12" s="405">
        <f>VLOOKUP($B12,'[11]Table 1'!$B$13:$G$39,6,FALSE)</f>
        <v>14.719818081599156</v>
      </c>
      <c r="E12" s="405">
        <f>VLOOKUP($B12,'[12]Table 1'!$B$13:$G$40,6,FALSE)</f>
        <v>24.907875045412947</v>
      </c>
      <c r="F12" s="405">
        <f>VLOOKUP($B12,'[1]Table 1'!$B$13:$G$40,6,FALSE)</f>
        <v>21.206969499166682</v>
      </c>
      <c r="G12" s="405">
        <f>VLOOKUP($B12,'[13]Table 1'!$B$13:$G$40,6,FALSE)</f>
        <v>12.226298219956826</v>
      </c>
      <c r="H12" s="405">
        <f>VLOOKUP($B12,'[14]Table 1'!$B$13:$G$40,6,FALSE)</f>
        <v>19.406339012533543</v>
      </c>
      <c r="I12" s="405">
        <f t="shared" ca="1" si="0"/>
        <v>6.6458607822410656</v>
      </c>
      <c r="J12" s="405">
        <f t="shared" si="0"/>
        <v>2.49351986164233</v>
      </c>
      <c r="K12" s="406">
        <f t="shared" si="0"/>
        <v>5.5015360328794038</v>
      </c>
      <c r="L12" s="402"/>
    </row>
    <row r="13" spans="2:12">
      <c r="B13" s="404">
        <f t="shared" si="1"/>
        <v>2026</v>
      </c>
      <c r="C13" s="405">
        <f ca="1">VLOOKUP($B13,'Table 1'!$B$13:$G$34,6,FALSE)</f>
        <v>36.213150991757814</v>
      </c>
      <c r="D13" s="405">
        <f>VLOOKUP($B13,'[11]Table 1'!$B$13:$G$39,6,FALSE)</f>
        <v>25.266027415544162</v>
      </c>
      <c r="E13" s="405">
        <f>VLOOKUP($B13,'[12]Table 1'!$B$13:$G$40,6,FALSE)</f>
        <v>33.47366335280006</v>
      </c>
      <c r="F13" s="405">
        <f>VLOOKUP($B13,'[1]Table 1'!$B$13:$G$40,6,FALSE)</f>
        <v>19.411552154771829</v>
      </c>
      <c r="G13" s="405">
        <f>VLOOKUP($B13,'[13]Table 1'!$B$13:$G$40,6,FALSE)</f>
        <v>22.097088759528294</v>
      </c>
      <c r="H13" s="405">
        <f>VLOOKUP($B13,'[14]Table 1'!$B$13:$G$40,6,FALSE)</f>
        <v>29.210449438257342</v>
      </c>
      <c r="I13" s="405">
        <f t="shared" ca="1" si="0"/>
        <v>16.801598836985985</v>
      </c>
      <c r="J13" s="405">
        <f t="shared" si="0"/>
        <v>3.1689386560158681</v>
      </c>
      <c r="K13" s="406">
        <f t="shared" si="0"/>
        <v>4.2632139145427175</v>
      </c>
      <c r="L13" s="402"/>
    </row>
    <row r="14" spans="2:12">
      <c r="B14" s="404">
        <f t="shared" si="1"/>
        <v>2027</v>
      </c>
      <c r="C14" s="405">
        <f ca="1">VLOOKUP($B14,'Table 1'!$B$13:$G$34,6,FALSE)</f>
        <v>37.332598292099128</v>
      </c>
      <c r="D14" s="405">
        <f>VLOOKUP($B14,'[11]Table 1'!$B$13:$G$39,6,FALSE)</f>
        <v>25.929352867335581</v>
      </c>
      <c r="E14" s="405">
        <f>VLOOKUP($B14,'[12]Table 1'!$B$13:$G$40,6,FALSE)</f>
        <v>34.162375607023641</v>
      </c>
      <c r="F14" s="405">
        <f>VLOOKUP($B14,'[1]Table 1'!$B$13:$G$40,6,FALSE)</f>
        <v>20.041330467526958</v>
      </c>
      <c r="G14" s="405">
        <f>VLOOKUP($B14,'[13]Table 1'!$B$13:$G$40,6,FALSE)</f>
        <v>22.865737110943854</v>
      </c>
      <c r="H14" s="405">
        <f>VLOOKUP($B14,'[14]Table 1'!$B$13:$G$40,6,FALSE)</f>
        <v>29.715828090910669</v>
      </c>
      <c r="I14" s="405">
        <f t="shared" ca="1" si="0"/>
        <v>17.29126782457217</v>
      </c>
      <c r="J14" s="405">
        <f t="shared" si="0"/>
        <v>3.0636157563917266</v>
      </c>
      <c r="K14" s="406">
        <f t="shared" si="0"/>
        <v>4.4465475161129717</v>
      </c>
      <c r="L14" s="402"/>
    </row>
    <row r="15" spans="2:12">
      <c r="B15" s="404">
        <f t="shared" si="1"/>
        <v>2028</v>
      </c>
      <c r="C15" s="405">
        <f ca="1">VLOOKUP($B15,'Table 1'!$B$13:$G$34,6,FALSE)</f>
        <v>39.950886530226356</v>
      </c>
      <c r="D15" s="405">
        <f>VLOOKUP($B15,'[11]Table 1'!$B$13:$G$39,6,FALSE)</f>
        <v>28.211947559673717</v>
      </c>
      <c r="E15" s="405">
        <f>VLOOKUP($B15,'[12]Table 1'!$B$13:$G$40,6,FALSE)</f>
        <v>35.068945875258891</v>
      </c>
      <c r="F15" s="405">
        <f>VLOOKUP($B15,'[1]Table 1'!$B$13:$G$40,6,FALSE)</f>
        <v>21.081157889160139</v>
      </c>
      <c r="G15" s="405">
        <f>VLOOKUP($B15,'[13]Table 1'!$B$13:$G$40,6,FALSE)</f>
        <v>23.747613498775319</v>
      </c>
      <c r="H15" s="405">
        <f>VLOOKUP($B15,'[14]Table 1'!$B$13:$G$40,6,FALSE)</f>
        <v>30.640204401442407</v>
      </c>
      <c r="I15" s="405">
        <f t="shared" ca="1" si="0"/>
        <v>18.869728641066217</v>
      </c>
      <c r="J15" s="405">
        <f t="shared" si="0"/>
        <v>4.4643340608983983</v>
      </c>
      <c r="K15" s="406">
        <f t="shared" si="0"/>
        <v>4.4287414738164834</v>
      </c>
      <c r="L15" s="402"/>
    </row>
    <row r="16" spans="2:12">
      <c r="B16" s="404">
        <f t="shared" si="1"/>
        <v>2029</v>
      </c>
      <c r="C16" s="405">
        <f ca="1">VLOOKUP($B16,'Table 1'!$B$13:$G$34,6,FALSE)</f>
        <v>40.66680176083009</v>
      </c>
      <c r="D16" s="405">
        <f>VLOOKUP($B16,'[11]Table 1'!$B$13:$G$39,6,FALSE)</f>
        <v>31.832342075079278</v>
      </c>
      <c r="E16" s="405">
        <f>VLOOKUP($B16,'[12]Table 1'!$B$13:$G$40,6,FALSE)</f>
        <v>36.617755583120484</v>
      </c>
      <c r="F16" s="405">
        <f>VLOOKUP($B16,'[1]Table 1'!$B$13:$G$40,6,FALSE)</f>
        <v>22.173265278043559</v>
      </c>
      <c r="G16" s="405">
        <f>VLOOKUP($B16,'[13]Table 1'!$B$13:$G$40,6,FALSE)</f>
        <v>25.942950050990476</v>
      </c>
      <c r="H16" s="405">
        <f>VLOOKUP($B16,'[14]Table 1'!$B$13:$G$40,6,FALSE)</f>
        <v>31.754428851928903</v>
      </c>
      <c r="I16" s="405">
        <f t="shared" ca="1" si="0"/>
        <v>18.493536482786531</v>
      </c>
      <c r="J16" s="405">
        <f t="shared" si="0"/>
        <v>5.8893920240888029</v>
      </c>
      <c r="K16" s="406">
        <f t="shared" si="0"/>
        <v>4.8633267311915809</v>
      </c>
      <c r="L16" s="402"/>
    </row>
    <row r="17" spans="1:12">
      <c r="B17" s="404">
        <f t="shared" si="1"/>
        <v>2030</v>
      </c>
      <c r="C17" s="405">
        <f ca="1">VLOOKUP($B17,'Table 1'!$B$13:$G$34,6,FALSE)</f>
        <v>40.112935185241902</v>
      </c>
      <c r="D17" s="405">
        <f>VLOOKUP($B17,'[11]Table 1'!$B$13:$G$39,6,FALSE)</f>
        <v>31.058684399912661</v>
      </c>
      <c r="E17" s="405">
        <f>VLOOKUP($B17,'[12]Table 1'!$B$13:$G$40,6,FALSE)</f>
        <v>37.164410590983778</v>
      </c>
      <c r="F17" s="405">
        <f>VLOOKUP($B17,'[1]Table 1'!$B$13:$G$40,6,FALSE)</f>
        <v>22.329548208730881</v>
      </c>
      <c r="G17" s="405">
        <f>VLOOKUP($B17,'[13]Table 1'!$B$13:$G$40,6,FALSE)</f>
        <v>25.966240859707785</v>
      </c>
      <c r="H17" s="405">
        <f>VLOOKUP($B17,'[14]Table 1'!$B$13:$G$40,6,FALSE)</f>
        <v>32.212503223205026</v>
      </c>
      <c r="I17" s="405">
        <f t="shared" ca="1" si="0"/>
        <v>17.783386976511022</v>
      </c>
      <c r="J17" s="405">
        <f t="shared" si="0"/>
        <v>5.0924435402048758</v>
      </c>
      <c r="K17" s="406">
        <f t="shared" si="0"/>
        <v>4.9519073677787517</v>
      </c>
      <c r="L17" s="402"/>
    </row>
    <row r="18" spans="1:12">
      <c r="B18" s="404">
        <f t="shared" si="1"/>
        <v>2031</v>
      </c>
      <c r="C18" s="405">
        <f ca="1">VLOOKUP($B18,'Table 1'!$B$13:$G$34,6,FALSE)</f>
        <v>36.905629916782537</v>
      </c>
      <c r="D18" s="405">
        <f>VLOOKUP($B18,'[11]Table 1'!$B$13:$G$39,6,FALSE)</f>
        <v>30.80363072864672</v>
      </c>
      <c r="E18" s="405">
        <f>VLOOKUP($B18,'[12]Table 1'!$B$13:$G$40,6,FALSE)</f>
        <v>37.466732840917601</v>
      </c>
      <c r="F18" s="405">
        <f>VLOOKUP($B18,'[1]Table 1'!$B$13:$G$40,6,FALSE)</f>
        <v>21.678981552067377</v>
      </c>
      <c r="G18" s="405">
        <f>VLOOKUP($B18,'[13]Table 1'!$B$13:$G$40,6,FALSE)</f>
        <v>26.112186373757979</v>
      </c>
      <c r="H18" s="405">
        <f>VLOOKUP($B18,'[14]Table 1'!$B$13:$G$40,6,FALSE)</f>
        <v>32.971970231948518</v>
      </c>
      <c r="I18" s="405">
        <f t="shared" ca="1" si="0"/>
        <v>15.22664836471516</v>
      </c>
      <c r="J18" s="405">
        <f t="shared" si="0"/>
        <v>4.6914443548887412</v>
      </c>
      <c r="K18" s="406">
        <f t="shared" si="0"/>
        <v>4.4947626089690829</v>
      </c>
      <c r="L18" s="402"/>
    </row>
    <row r="19" spans="1:12">
      <c r="B19" s="404">
        <f t="shared" si="1"/>
        <v>2032</v>
      </c>
      <c r="C19" s="405">
        <f ca="1">VLOOKUP($B19,'Table 1'!$B$13:$G$34,6,FALSE)</f>
        <v>36.873580417352571</v>
      </c>
      <c r="D19" s="405">
        <f>VLOOKUP($B19,'[11]Table 1'!$B$13:$G$39,6,FALSE)</f>
        <v>31.003639579083945</v>
      </c>
      <c r="E19" s="405">
        <f>VLOOKUP($B19,'[12]Table 1'!$B$13:$G$40,6,FALSE)</f>
        <v>38.669226820246735</v>
      </c>
      <c r="F19" s="405">
        <f>VLOOKUP($B19,'[1]Table 1'!$B$13:$G$40,6,FALSE)</f>
        <v>21.902060166408795</v>
      </c>
      <c r="G19" s="405">
        <f>VLOOKUP($B19,'[13]Table 1'!$B$13:$G$40,6,FALSE)</f>
        <v>26.525595875341242</v>
      </c>
      <c r="H19" s="405">
        <f>VLOOKUP($B19,'[14]Table 1'!$B$13:$G$40,6,FALSE)</f>
        <v>33.864743406586555</v>
      </c>
      <c r="I19" s="405">
        <f t="shared" ca="1" si="0"/>
        <v>14.971520250943776</v>
      </c>
      <c r="J19" s="405">
        <f t="shared" si="0"/>
        <v>4.4780437037427028</v>
      </c>
      <c r="K19" s="406">
        <f t="shared" si="0"/>
        <v>4.8044834136601793</v>
      </c>
      <c r="L19" s="402"/>
    </row>
    <row r="20" spans="1:12">
      <c r="B20" s="404">
        <f t="shared" si="1"/>
        <v>2033</v>
      </c>
      <c r="C20" s="405">
        <f ca="1">VLOOKUP($B20,'Table 1'!$B$13:$G$34,6,FALSE)</f>
        <v>50.153262523760226</v>
      </c>
      <c r="D20" s="405">
        <f>VLOOKUP($B20,'[11]Table 1'!$B$13:$G$39,6,FALSE)</f>
        <v>30.808168480402795</v>
      </c>
      <c r="E20" s="405">
        <f>VLOOKUP($B20,'[12]Table 1'!$B$13:$G$40,6,FALSE)</f>
        <v>39.180006045954876</v>
      </c>
      <c r="F20" s="405">
        <f>VLOOKUP($B20,'[1]Table 1'!$B$13:$G$40,6,FALSE)</f>
        <v>34.760670551240459</v>
      </c>
      <c r="G20" s="405">
        <f>VLOOKUP($B20,'[13]Table 1'!$B$13:$G$40,6,FALSE)</f>
        <v>26.605813404501827</v>
      </c>
      <c r="H20" s="405">
        <f>VLOOKUP($B20,'[14]Table 1'!$B$13:$G$40,6,FALSE)</f>
        <v>34.155397606336741</v>
      </c>
      <c r="I20" s="405">
        <f t="shared" ca="1" si="0"/>
        <v>15.392591972519767</v>
      </c>
      <c r="J20" s="405">
        <f t="shared" si="0"/>
        <v>4.202355075900968</v>
      </c>
      <c r="K20" s="406">
        <f t="shared" si="0"/>
        <v>5.0246084396181345</v>
      </c>
      <c r="L20" s="402"/>
    </row>
    <row r="21" spans="1:12">
      <c r="B21" s="404">
        <f t="shared" si="1"/>
        <v>2034</v>
      </c>
      <c r="C21" s="405">
        <f ca="1">VLOOKUP($B21,'Table 1'!$B$13:$G$34,6,FALSE)</f>
        <v>52.560707060174138</v>
      </c>
      <c r="D21" s="405">
        <f>VLOOKUP($B21,'[11]Table 1'!$B$13:$G$39,6,FALSE)</f>
        <v>30.757961936882968</v>
      </c>
      <c r="E21" s="405">
        <f>VLOOKUP($B21,'[12]Table 1'!$B$13:$G$40,6,FALSE)</f>
        <v>41.096249892890178</v>
      </c>
      <c r="F21" s="405">
        <f>VLOOKUP($B21,'[1]Table 1'!$B$13:$G$40,6,FALSE)</f>
        <v>35.83784870369707</v>
      </c>
      <c r="G21" s="405">
        <f>VLOOKUP($B21,'[13]Table 1'!$B$13:$G$40,6,FALSE)</f>
        <v>26.814697468025933</v>
      </c>
      <c r="H21" s="405">
        <f>VLOOKUP($B21,'[14]Table 1'!$B$13:$G$40,6,FALSE)</f>
        <v>35.197988811715007</v>
      </c>
      <c r="I21" s="405">
        <f t="shared" ca="1" si="0"/>
        <v>16.722858356477069</v>
      </c>
      <c r="J21" s="405">
        <f t="shared" si="0"/>
        <v>3.9432644688570342</v>
      </c>
      <c r="K21" s="406">
        <f t="shared" si="0"/>
        <v>5.8982610811751712</v>
      </c>
      <c r="L21" s="402"/>
    </row>
    <row r="22" spans="1:12">
      <c r="B22" s="404">
        <f t="shared" si="1"/>
        <v>2035</v>
      </c>
      <c r="C22" s="405">
        <f ca="1">VLOOKUP($B22,'Table 1'!$B$13:$G$34,6,FALSE)</f>
        <v>53.794425732284239</v>
      </c>
      <c r="D22" s="405">
        <f>VLOOKUP($B22,'[11]Table 1'!$B$13:$G$39,6,FALSE)</f>
        <v>31.916298485586452</v>
      </c>
      <c r="E22" s="405">
        <f>VLOOKUP($B22,'[12]Table 1'!$B$13:$G$40,6,FALSE)</f>
        <v>41.830377487305263</v>
      </c>
      <c r="F22" s="405">
        <f>VLOOKUP($B22,'[1]Table 1'!$B$13:$G$40,6,FALSE)</f>
        <v>36.75723282380897</v>
      </c>
      <c r="G22" s="405">
        <f>VLOOKUP($B22,'[13]Table 1'!$B$13:$G$40,6,FALSE)</f>
        <v>27.51274665151875</v>
      </c>
      <c r="H22" s="405">
        <f>VLOOKUP($B22,'[14]Table 1'!$B$13:$G$40,6,FALSE)</f>
        <v>35.719990877909346</v>
      </c>
      <c r="I22" s="405">
        <f t="shared" ca="1" si="0"/>
        <v>17.037192908475269</v>
      </c>
      <c r="J22" s="405">
        <f t="shared" si="0"/>
        <v>4.4035518340677022</v>
      </c>
      <c r="K22" s="406">
        <f t="shared" si="0"/>
        <v>6.1103866093959169</v>
      </c>
      <c r="L22" s="402"/>
    </row>
    <row r="23" spans="1:12">
      <c r="B23" s="407">
        <f t="shared" si="1"/>
        <v>2036</v>
      </c>
      <c r="C23" s="408">
        <f ca="1">VLOOKUP($B23,'Table 1'!$B$13:$G$34,6,FALSE)</f>
        <v>56.708223788037607</v>
      </c>
      <c r="D23" s="408">
        <f>VLOOKUP($B23,'[11]Table 1'!$B$13:$G$39,6,FALSE)</f>
        <v>36.292608615051016</v>
      </c>
      <c r="E23" s="408">
        <f>VLOOKUP($B23,'[12]Table 1'!$B$13:$G$40,6,FALSE)</f>
        <v>59.0024811526294</v>
      </c>
      <c r="F23" s="408">
        <f>VLOOKUP($B23,'[1]Table 1'!$B$13:$G$40,6,FALSE)</f>
        <v>38.226853345645964</v>
      </c>
      <c r="G23" s="408">
        <f>VLOOKUP($B23,'[13]Table 1'!$B$13:$G$40,6,FALSE)</f>
        <v>29.838061223338279</v>
      </c>
      <c r="H23" s="408">
        <f>VLOOKUP($B23,'[14]Table 1'!$B$13:$G$40,6,FALSE)</f>
        <v>52.652390309685799</v>
      </c>
      <c r="I23" s="408">
        <f t="shared" ca="1" si="0"/>
        <v>18.481370442391643</v>
      </c>
      <c r="J23" s="408">
        <f t="shared" si="0"/>
        <v>6.4545473917127367</v>
      </c>
      <c r="K23" s="409">
        <f t="shared" si="0"/>
        <v>6.3500908429436009</v>
      </c>
      <c r="L23" s="402"/>
    </row>
    <row r="25" spans="1:12">
      <c r="B25" s="410" t="s">
        <v>238</v>
      </c>
      <c r="L25" s="411"/>
    </row>
    <row r="26" spans="1:12">
      <c r="A26" t="s">
        <v>239</v>
      </c>
      <c r="B26" s="412" t="s">
        <v>31</v>
      </c>
      <c r="C26" s="405">
        <f ca="1">ROUND('Table 1'!$G$50,2)</f>
        <v>38.22</v>
      </c>
      <c r="D26" s="405">
        <f>ROUND('[11]Table 1'!$G$50,2)</f>
        <v>27.02</v>
      </c>
      <c r="E26" s="405">
        <f>ROUND('[12]Table 1'!$G$50,2)</f>
        <v>35.44</v>
      </c>
      <c r="F26" s="405">
        <f>ROUND('[1]Table 1'!$G$50,2)</f>
        <v>26.85</v>
      </c>
      <c r="G26" s="405">
        <f>ROUND('[13]Table 1'!$G$50,2)</f>
        <v>23.18</v>
      </c>
      <c r="H26" s="405">
        <f>ROUND('[14]Table 1'!$G$50,2)</f>
        <v>30.94</v>
      </c>
      <c r="I26" s="405">
        <f ca="1">C26-F26</f>
        <v>11.369999999999997</v>
      </c>
      <c r="J26" s="405">
        <f>D26-G26</f>
        <v>3.84</v>
      </c>
      <c r="K26" s="405">
        <f>E26-H26</f>
        <v>4.4999999999999964</v>
      </c>
      <c r="L26" s="413"/>
    </row>
    <row r="27" spans="1:12" ht="17.25" customHeight="1">
      <c r="B27" s="414"/>
      <c r="C27" s="405"/>
      <c r="D27" s="405"/>
      <c r="E27" s="405"/>
      <c r="F27" s="405"/>
      <c r="G27" s="405"/>
      <c r="H27" s="405"/>
      <c r="I27" s="415">
        <f ca="1">I26/F26</f>
        <v>0.42346368715083788</v>
      </c>
      <c r="J27" s="415">
        <f>J26/G26</f>
        <v>0.16566005176876616</v>
      </c>
      <c r="K27" s="415">
        <f>K26/H26</f>
        <v>0.1454427925016159</v>
      </c>
    </row>
    <row r="28" spans="1:12" ht="10.5" customHeight="1">
      <c r="B28" s="412"/>
      <c r="C28" s="405"/>
      <c r="D28" s="405"/>
      <c r="E28" s="405"/>
      <c r="F28" s="405"/>
      <c r="G28" s="405"/>
      <c r="H28" s="405"/>
      <c r="I28" s="405"/>
      <c r="J28" s="405"/>
      <c r="K28" s="405"/>
    </row>
    <row r="29" spans="1:12" ht="5.25" customHeight="1">
      <c r="F29" s="416"/>
      <c r="G29" s="416"/>
      <c r="H29" s="416"/>
    </row>
    <row r="30" spans="1:12">
      <c r="B30" s="53" t="s">
        <v>240</v>
      </c>
      <c r="C30" s="417"/>
      <c r="D30" s="417"/>
      <c r="E30" s="417"/>
      <c r="F30" s="418"/>
      <c r="G30" s="418"/>
      <c r="H30" s="418"/>
      <c r="I30" s="418"/>
      <c r="J30" s="418"/>
      <c r="K30" s="418"/>
    </row>
    <row r="31" spans="1:12">
      <c r="B31" s="50" t="s">
        <v>241</v>
      </c>
      <c r="C31" s="417"/>
      <c r="D31" s="417"/>
      <c r="E31" s="417"/>
      <c r="F31" s="418"/>
      <c r="G31" s="418"/>
      <c r="H31" s="418"/>
      <c r="I31" s="418"/>
      <c r="J31" s="418"/>
      <c r="K31" s="418"/>
    </row>
    <row r="32" spans="1:12">
      <c r="B32" s="419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20"/>
    </row>
    <row r="35" spans="2:11">
      <c r="B35" s="420"/>
    </row>
    <row r="36" spans="2:11">
      <c r="B36" s="420"/>
    </row>
    <row r="37" spans="2:11" hidden="1"/>
    <row r="38" spans="2:11">
      <c r="C38" s="405"/>
      <c r="D38" s="405"/>
      <c r="E38" s="405"/>
      <c r="F38" s="405"/>
      <c r="G38" s="405"/>
      <c r="H38" s="405"/>
    </row>
    <row r="40" spans="2:11">
      <c r="C40" s="416"/>
      <c r="D40" s="416"/>
      <c r="E40" s="416"/>
      <c r="F40" s="416"/>
      <c r="G40" s="416"/>
      <c r="H40" s="416"/>
      <c r="I40" s="416"/>
      <c r="J40" s="416"/>
      <c r="K40" s="416"/>
    </row>
  </sheetData>
  <conditionalFormatting sqref="I8:J21">
    <cfRule type="expression" dxfId="3" priority="6">
      <formula>ISNA(N8)</formula>
    </cfRule>
  </conditionalFormatting>
  <conditionalFormatting sqref="I23:J23">
    <cfRule type="expression" dxfId="2" priority="5">
      <formula>ISNA(N23)</formula>
    </cfRule>
  </conditionalFormatting>
  <conditionalFormatting sqref="I22:J22">
    <cfRule type="expression" dxfId="1" priority="4">
      <formula>ISNA(N22)</formula>
    </cfRule>
  </conditionalFormatting>
  <printOptions horizontalCentered="1"/>
  <pageMargins left="0.25" right="0.25" top="0.75" bottom="0.75" header="0.3" footer="0.3"/>
  <pageSetup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480F-F259-40F5-B211-CF5B946198C9}">
  <sheetPr>
    <tabColor rgb="FFFFC000"/>
    <pageSetUpPr fitToPage="1"/>
  </sheetPr>
  <dimension ref="B1:AB91"/>
  <sheetViews>
    <sheetView view="pageBreakPreview" zoomScale="60" zoomScaleNormal="70" workbookViewId="0">
      <selection activeCell="J19" sqref="J19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202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421"/>
      <c r="R14" s="422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423"/>
      <c r="Q15" s="421"/>
      <c r="R15" s="422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384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7"/>
      <c r="G19" s="129"/>
      <c r="H19" s="127"/>
      <c r="I19" s="127"/>
      <c r="J19" s="129"/>
      <c r="K19" s="129"/>
      <c r="L19" s="127"/>
      <c r="M19" s="118"/>
      <c r="O19" s="116"/>
      <c r="Q19" s="384"/>
      <c r="R19" s="366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>
        <v>1417.9949999999999</v>
      </c>
      <c r="D20" s="127">
        <f>C20*$C$62</f>
        <v>98.965825152287621</v>
      </c>
      <c r="E20" s="146">
        <f>C56</f>
        <v>67.885445280087083</v>
      </c>
      <c r="F20" s="185">
        <f>$C$60</f>
        <v>24.740174248339812</v>
      </c>
      <c r="G20" s="129">
        <f t="shared" ref="G20:G23" si="1">(D20+E20+F20)/(8.76*$C$63)</f>
        <v>59.031496725829669</v>
      </c>
      <c r="H20" s="127">
        <v>0</v>
      </c>
      <c r="I20" s="127">
        <v>-22.278000000000002</v>
      </c>
      <c r="J20" s="129">
        <f t="shared" ref="J20:J23" si="2">(G20+H20+I20)</f>
        <v>36.753496725829663</v>
      </c>
      <c r="K20" s="129">
        <f t="shared" ref="K20:K23" si="3">ROUND(J20*$C$63*8.76,2)</f>
        <v>119.29</v>
      </c>
      <c r="L20" s="127">
        <f t="shared" ref="L20:L23" si="4">(D20+E20+F20)</f>
        <v>191.59144468071452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>
        <f t="shared" ref="D21:D37" si="5">ROUND(D20*(1+IRP21_Infl_Rate),2)</f>
        <v>101.1</v>
      </c>
      <c r="E21" s="127">
        <f t="shared" ref="E21:E37" si="6">ROUND(E20*(1+IRP21_Infl_Rate),2)</f>
        <v>69.349999999999994</v>
      </c>
      <c r="F21" s="127">
        <f t="shared" ref="F21:F37" si="7">ROUND(F20*(1+IRP21_Infl_Rate),2)</f>
        <v>25.27</v>
      </c>
      <c r="G21" s="129">
        <f t="shared" si="1"/>
        <v>60.303551436930974</v>
      </c>
      <c r="H21" s="127">
        <v>0</v>
      </c>
      <c r="I21" s="127">
        <v>-23.07</v>
      </c>
      <c r="J21" s="129">
        <f t="shared" si="2"/>
        <v>37.233551436930973</v>
      </c>
      <c r="K21" s="129">
        <f t="shared" si="3"/>
        <v>120.84</v>
      </c>
      <c r="L21" s="127">
        <f t="shared" si="4"/>
        <v>195.72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>
        <f t="shared" si="5"/>
        <v>103.28</v>
      </c>
      <c r="E22" s="127">
        <f t="shared" si="6"/>
        <v>70.84</v>
      </c>
      <c r="F22" s="127">
        <f t="shared" si="7"/>
        <v>25.81</v>
      </c>
      <c r="G22" s="129">
        <f t="shared" si="1"/>
        <v>61.600700177731504</v>
      </c>
      <c r="H22" s="127">
        <v>0</v>
      </c>
      <c r="I22" s="127">
        <v>-23.07</v>
      </c>
      <c r="J22" s="129">
        <f t="shared" si="2"/>
        <v>38.530700177731504</v>
      </c>
      <c r="K22" s="129">
        <f t="shared" si="3"/>
        <v>125.05</v>
      </c>
      <c r="L22" s="127">
        <f t="shared" si="4"/>
        <v>199.93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>
        <f t="shared" si="5"/>
        <v>105.51</v>
      </c>
      <c r="E23" s="127">
        <f t="shared" si="6"/>
        <v>72.37</v>
      </c>
      <c r="F23" s="127">
        <f t="shared" si="7"/>
        <v>26.37</v>
      </c>
      <c r="G23" s="129">
        <f t="shared" si="1"/>
        <v>62.931741165916364</v>
      </c>
      <c r="H23" s="127">
        <v>0</v>
      </c>
      <c r="I23" s="127">
        <v>-23.867999999999999</v>
      </c>
      <c r="J23" s="129">
        <f t="shared" si="2"/>
        <v>39.063741165916369</v>
      </c>
      <c r="K23" s="129">
        <f t="shared" si="3"/>
        <v>126.78</v>
      </c>
      <c r="L23" s="127">
        <f t="shared" si="4"/>
        <v>204.25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>
        <f t="shared" si="5"/>
        <v>107.78</v>
      </c>
      <c r="E24" s="127">
        <f t="shared" si="6"/>
        <v>73.930000000000007</v>
      </c>
      <c r="F24" s="127">
        <f t="shared" si="7"/>
        <v>26.94</v>
      </c>
      <c r="G24" s="129">
        <f t="shared" ref="G24:G37" si="8">(D24+E24+F24)/(8.76*$C$63)</f>
        <v>64.287431061289837</v>
      </c>
      <c r="H24" s="127">
        <v>0</v>
      </c>
      <c r="I24" s="127">
        <v>-24.666</v>
      </c>
      <c r="J24" s="129">
        <f t="shared" ref="J24:J37" si="9">(G24+H24+I24)</f>
        <v>39.62143106128984</v>
      </c>
      <c r="K24" s="129">
        <f t="shared" ref="K24:K37" si="10">ROUND(J24*$C$63*8.76,2)</f>
        <v>128.59</v>
      </c>
      <c r="L24" s="127">
        <f t="shared" ref="L24:L37" si="11">(D24+E24+F24)</f>
        <v>208.65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>
        <f t="shared" si="5"/>
        <v>110.1</v>
      </c>
      <c r="E25" s="127">
        <f t="shared" si="6"/>
        <v>75.52</v>
      </c>
      <c r="F25" s="127">
        <f t="shared" si="7"/>
        <v>27.52</v>
      </c>
      <c r="G25" s="129">
        <f t="shared" si="8"/>
        <v>65.67085097725051</v>
      </c>
      <c r="H25" s="127">
        <v>0</v>
      </c>
      <c r="I25" s="127">
        <v>-24.666</v>
      </c>
      <c r="J25" s="129">
        <f t="shared" si="9"/>
        <v>41.004850977250513</v>
      </c>
      <c r="K25" s="129">
        <f t="shared" si="10"/>
        <v>133.08000000000001</v>
      </c>
      <c r="L25" s="127">
        <f t="shared" si="11"/>
        <v>213.14000000000001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127">
        <f t="shared" si="5"/>
        <v>112.47</v>
      </c>
      <c r="E26" s="127">
        <f t="shared" si="6"/>
        <v>77.150000000000006</v>
      </c>
      <c r="F26" s="127">
        <f t="shared" si="7"/>
        <v>28.11</v>
      </c>
      <c r="G26" s="129">
        <f t="shared" si="8"/>
        <v>67.085082027196918</v>
      </c>
      <c r="H26" s="127">
        <v>0</v>
      </c>
      <c r="I26" s="127">
        <v>-25.457999999999998</v>
      </c>
      <c r="J26" s="129">
        <f t="shared" si="9"/>
        <v>41.62708202719692</v>
      </c>
      <c r="K26" s="129">
        <f t="shared" si="10"/>
        <v>135.1</v>
      </c>
      <c r="L26" s="127">
        <f t="shared" si="11"/>
        <v>217.73000000000002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127">
        <f t="shared" si="5"/>
        <v>114.89</v>
      </c>
      <c r="E27" s="127">
        <f t="shared" si="6"/>
        <v>78.81</v>
      </c>
      <c r="F27" s="127">
        <f t="shared" si="7"/>
        <v>28.72</v>
      </c>
      <c r="G27" s="129">
        <f t="shared" si="8"/>
        <v>68.530124211129092</v>
      </c>
      <c r="H27" s="127">
        <v>0</v>
      </c>
      <c r="I27" s="127">
        <v>-26.255999999999997</v>
      </c>
      <c r="J27" s="129">
        <f t="shared" si="9"/>
        <v>42.274124211129092</v>
      </c>
      <c r="K27" s="129">
        <f t="shared" si="10"/>
        <v>137.19999999999999</v>
      </c>
      <c r="L27" s="127">
        <f t="shared" si="11"/>
        <v>222.42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127">
        <f t="shared" si="5"/>
        <v>117.37</v>
      </c>
      <c r="E28" s="127">
        <f t="shared" si="6"/>
        <v>80.510000000000005</v>
      </c>
      <c r="F28" s="127">
        <f t="shared" si="7"/>
        <v>29.34</v>
      </c>
      <c r="G28" s="129">
        <f t="shared" si="8"/>
        <v>70.009058642445609</v>
      </c>
      <c r="H28" s="127">
        <v>0</v>
      </c>
      <c r="I28" s="127">
        <v>-26.255999999999997</v>
      </c>
      <c r="J28" s="129">
        <f t="shared" si="9"/>
        <v>43.753058642445609</v>
      </c>
      <c r="K28" s="129">
        <f t="shared" si="10"/>
        <v>142</v>
      </c>
      <c r="L28" s="127">
        <f t="shared" si="11"/>
        <v>227.22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127">
        <f t="shared" si="5"/>
        <v>119.9</v>
      </c>
      <c r="E29" s="127">
        <f t="shared" si="6"/>
        <v>82.24</v>
      </c>
      <c r="F29" s="127">
        <f t="shared" si="7"/>
        <v>29.97</v>
      </c>
      <c r="G29" s="129">
        <f t="shared" si="8"/>
        <v>71.515723094349312</v>
      </c>
      <c r="H29" s="127">
        <v>0</v>
      </c>
      <c r="I29" s="127">
        <v>-27.054000000000002</v>
      </c>
      <c r="J29" s="129">
        <f t="shared" si="9"/>
        <v>44.46172309434931</v>
      </c>
      <c r="K29" s="129">
        <f t="shared" si="10"/>
        <v>144.30000000000001</v>
      </c>
      <c r="L29" s="127">
        <f t="shared" si="11"/>
        <v>232.10999999999999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127">
        <f t="shared" si="5"/>
        <v>122.48</v>
      </c>
      <c r="E30" s="127">
        <f t="shared" si="6"/>
        <v>84.01</v>
      </c>
      <c r="F30" s="127">
        <f t="shared" si="7"/>
        <v>30.62</v>
      </c>
      <c r="G30" s="129">
        <f t="shared" si="8"/>
        <v>73.056279793637358</v>
      </c>
      <c r="H30" s="127">
        <v>0</v>
      </c>
      <c r="I30" s="127">
        <v>0</v>
      </c>
      <c r="J30" s="129">
        <f t="shared" si="9"/>
        <v>73.056279793637358</v>
      </c>
      <c r="K30" s="129">
        <f t="shared" si="10"/>
        <v>237.11</v>
      </c>
      <c r="L30" s="127">
        <f t="shared" si="11"/>
        <v>237.11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127">
        <f t="shared" si="5"/>
        <v>125.12</v>
      </c>
      <c r="E31" s="127">
        <f t="shared" si="6"/>
        <v>85.82</v>
      </c>
      <c r="F31" s="127">
        <f t="shared" si="7"/>
        <v>31.28</v>
      </c>
      <c r="G31" s="129">
        <f t="shared" si="8"/>
        <v>74.630728740309735</v>
      </c>
      <c r="H31" s="127">
        <v>0</v>
      </c>
      <c r="I31" s="127">
        <v>0</v>
      </c>
      <c r="J31" s="129">
        <f t="shared" si="9"/>
        <v>74.630728740309735</v>
      </c>
      <c r="K31" s="129">
        <f t="shared" si="10"/>
        <v>242.22</v>
      </c>
      <c r="L31" s="127">
        <f t="shared" si="11"/>
        <v>242.22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127">
        <f t="shared" si="5"/>
        <v>127.82</v>
      </c>
      <c r="E32" s="127">
        <f t="shared" si="6"/>
        <v>87.67</v>
      </c>
      <c r="F32" s="127">
        <f t="shared" si="7"/>
        <v>31.95</v>
      </c>
      <c r="G32" s="129">
        <f t="shared" si="8"/>
        <v>76.239069934366441</v>
      </c>
      <c r="H32" s="127">
        <v>0</v>
      </c>
      <c r="I32" s="127">
        <v>0</v>
      </c>
      <c r="J32" s="129">
        <f t="shared" si="9"/>
        <v>76.239069934366441</v>
      </c>
      <c r="K32" s="129">
        <f t="shared" si="10"/>
        <v>247.44</v>
      </c>
      <c r="L32" s="127">
        <f t="shared" si="11"/>
        <v>247.44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127">
        <f t="shared" si="5"/>
        <v>130.57</v>
      </c>
      <c r="E33" s="127">
        <f t="shared" si="6"/>
        <v>89.56</v>
      </c>
      <c r="F33" s="127">
        <f t="shared" si="7"/>
        <v>32.64</v>
      </c>
      <c r="G33" s="129">
        <f t="shared" si="8"/>
        <v>77.881303375807491</v>
      </c>
      <c r="H33" s="127">
        <v>0</v>
      </c>
      <c r="I33" s="127">
        <v>0</v>
      </c>
      <c r="J33" s="129">
        <f t="shared" si="9"/>
        <v>77.881303375807491</v>
      </c>
      <c r="K33" s="129">
        <f t="shared" si="10"/>
        <v>252.77</v>
      </c>
      <c r="L33" s="127">
        <f t="shared" si="11"/>
        <v>252.76999999999998</v>
      </c>
      <c r="M33" s="118"/>
      <c r="O33" s="116"/>
      <c r="Q33" s="129"/>
    </row>
    <row r="34" spans="2:17">
      <c r="B34" s="134">
        <f t="shared" si="0"/>
        <v>2040</v>
      </c>
      <c r="C34" s="135"/>
      <c r="D34" s="127">
        <f t="shared" si="5"/>
        <v>133.38</v>
      </c>
      <c r="E34" s="127">
        <f t="shared" si="6"/>
        <v>91.49</v>
      </c>
      <c r="F34" s="127">
        <f t="shared" si="7"/>
        <v>33.340000000000003</v>
      </c>
      <c r="G34" s="129">
        <f t="shared" si="8"/>
        <v>79.557429064632885</v>
      </c>
      <c r="H34" s="127">
        <v>0</v>
      </c>
      <c r="I34" s="127">
        <v>0</v>
      </c>
      <c r="J34" s="129">
        <f t="shared" si="9"/>
        <v>79.557429064632885</v>
      </c>
      <c r="K34" s="129">
        <f t="shared" si="10"/>
        <v>258.20999999999998</v>
      </c>
      <c r="L34" s="127">
        <f t="shared" si="11"/>
        <v>258.21000000000004</v>
      </c>
      <c r="M34" s="118"/>
      <c r="O34" s="116"/>
      <c r="Q34" s="129"/>
    </row>
    <row r="35" spans="2:17">
      <c r="B35" s="134">
        <f t="shared" si="0"/>
        <v>2041</v>
      </c>
      <c r="C35" s="135"/>
      <c r="D35" s="127">
        <f t="shared" si="5"/>
        <v>136.25</v>
      </c>
      <c r="E35" s="127">
        <f t="shared" si="6"/>
        <v>93.46</v>
      </c>
      <c r="F35" s="127">
        <f t="shared" si="7"/>
        <v>34.06</v>
      </c>
      <c r="G35" s="129">
        <f t="shared" si="8"/>
        <v>81.270528114241174</v>
      </c>
      <c r="H35" s="127">
        <v>0</v>
      </c>
      <c r="I35" s="127">
        <v>0</v>
      </c>
      <c r="J35" s="129">
        <f t="shared" si="9"/>
        <v>81.270528114241174</v>
      </c>
      <c r="K35" s="129">
        <f t="shared" si="10"/>
        <v>263.77</v>
      </c>
      <c r="L35" s="127">
        <f t="shared" si="11"/>
        <v>263.77</v>
      </c>
      <c r="M35" s="118"/>
      <c r="O35" s="116"/>
      <c r="Q35" s="129"/>
    </row>
    <row r="36" spans="2:17">
      <c r="B36" s="134">
        <f t="shared" si="0"/>
        <v>2042</v>
      </c>
      <c r="C36" s="135"/>
      <c r="D36" s="127">
        <f t="shared" si="5"/>
        <v>139.19</v>
      </c>
      <c r="E36" s="127">
        <f t="shared" si="6"/>
        <v>95.47</v>
      </c>
      <c r="F36" s="127">
        <f t="shared" si="7"/>
        <v>34.79</v>
      </c>
      <c r="G36" s="129">
        <f t="shared" si="8"/>
        <v>83.020600524632385</v>
      </c>
      <c r="H36" s="127">
        <v>0</v>
      </c>
      <c r="I36" s="127">
        <v>0</v>
      </c>
      <c r="J36" s="129">
        <f t="shared" si="9"/>
        <v>83.020600524632385</v>
      </c>
      <c r="K36" s="129">
        <f t="shared" si="10"/>
        <v>269.45</v>
      </c>
      <c r="L36" s="127">
        <f t="shared" si="11"/>
        <v>269.45</v>
      </c>
      <c r="M36" s="118"/>
      <c r="O36" s="116"/>
      <c r="Q36" s="129"/>
    </row>
    <row r="37" spans="2:17">
      <c r="B37" s="134">
        <f t="shared" si="0"/>
        <v>2043</v>
      </c>
      <c r="C37" s="135"/>
      <c r="D37" s="127">
        <f t="shared" si="5"/>
        <v>142.19</v>
      </c>
      <c r="E37" s="127">
        <f t="shared" si="6"/>
        <v>97.53</v>
      </c>
      <c r="F37" s="127">
        <f t="shared" si="7"/>
        <v>35.54</v>
      </c>
      <c r="G37" s="129">
        <f t="shared" si="8"/>
        <v>84.810727409205086</v>
      </c>
      <c r="H37" s="127">
        <v>0</v>
      </c>
      <c r="I37" s="127">
        <v>0</v>
      </c>
      <c r="J37" s="129">
        <f t="shared" si="9"/>
        <v>84.810727409205086</v>
      </c>
      <c r="K37" s="129">
        <f t="shared" si="10"/>
        <v>275.26</v>
      </c>
      <c r="L37" s="127">
        <f t="shared" si="11"/>
        <v>275.26</v>
      </c>
      <c r="Q37" s="129"/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6" t="s">
        <v>186</v>
      </c>
      <c r="C55" s="424">
        <f>184339.35/130</f>
        <v>1417.9950000000001</v>
      </c>
      <c r="D55" s="116" t="s">
        <v>65</v>
      </c>
      <c r="P55" s="116">
        <v>130</v>
      </c>
      <c r="Q55" s="116" t="s">
        <v>32</v>
      </c>
    </row>
    <row r="56" spans="2:28">
      <c r="B56" s="346" t="s">
        <v>186</v>
      </c>
      <c r="C56" s="146">
        <f>8825.10788641132/130</f>
        <v>67.885445280087083</v>
      </c>
      <c r="D56" s="116" t="s">
        <v>68</v>
      </c>
    </row>
    <row r="57" spans="2:28" ht="24" customHeight="1">
      <c r="B57" s="85"/>
      <c r="C57" s="151"/>
      <c r="D57" s="116" t="s">
        <v>99</v>
      </c>
      <c r="R57" s="200"/>
    </row>
    <row r="58" spans="2:28">
      <c r="B58" s="346"/>
      <c r="C58" s="146"/>
      <c r="D58" s="116" t="s">
        <v>69</v>
      </c>
      <c r="L58" s="118"/>
      <c r="M58" s="425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426" t="s">
        <v>90</v>
      </c>
      <c r="M59" s="427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24.740174248339812</v>
      </c>
      <c r="D60" s="116" t="s">
        <v>153</v>
      </c>
      <c r="F60" s="116" t="s">
        <v>171</v>
      </c>
      <c r="L60" s="427"/>
      <c r="M60" s="427"/>
      <c r="N60" s="427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427"/>
      <c r="M61" s="427"/>
      <c r="N61" s="427"/>
      <c r="O61" s="161"/>
      <c r="P61" s="427"/>
      <c r="S61" s="118"/>
      <c r="U61" s="118"/>
      <c r="V61" s="118"/>
      <c r="W61" s="118"/>
      <c r="X61" s="118"/>
      <c r="Y61" s="118"/>
      <c r="Z61" s="118"/>
    </row>
    <row r="62" spans="2:28" ht="13.8">
      <c r="C62" s="428">
        <v>6.9792788516382376E-2</v>
      </c>
      <c r="D62" s="116" t="s">
        <v>36</v>
      </c>
      <c r="L62" s="275"/>
      <c r="M62" s="154"/>
      <c r="N62" s="154"/>
      <c r="P62" s="155"/>
    </row>
    <row r="63" spans="2:28">
      <c r="C63" s="429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3" orientation="landscape" r:id="rId1"/>
  <headerFooter alignWithMargins="0"/>
  <rowBreaks count="1" manualBreakCount="1">
    <brk id="5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C123-38C6-4471-B26C-DCFA5BCB7883}">
  <sheetPr>
    <tabColor rgb="FFFFC000"/>
    <pageSetUpPr fitToPage="1"/>
  </sheetPr>
  <dimension ref="B1:AB90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7" ht="15.6">
      <c r="B2" s="114" t="s">
        <v>194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7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8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T5" s="118"/>
      <c r="U5" s="118"/>
      <c r="V5" s="118"/>
      <c r="W5" s="118"/>
      <c r="X5" s="118"/>
      <c r="Y5" s="118"/>
      <c r="Z5" s="11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L8" s="118"/>
    </row>
    <row r="9" spans="2:27" ht="15.6">
      <c r="B9" s="43" t="str">
        <f>C52</f>
        <v>2021 IRP Portland North Coast Wind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7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7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7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7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384" t="s">
        <v>200</v>
      </c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7"/>
      <c r="G19" s="129"/>
      <c r="H19" s="127"/>
      <c r="I19" s="127"/>
      <c r="J19" s="129"/>
      <c r="K19" s="129"/>
      <c r="L19" s="127"/>
      <c r="M19" s="118"/>
      <c r="O19" s="116"/>
      <c r="Q19" s="384" t="s">
        <v>201</v>
      </c>
      <c r="R19" s="366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70">
        <f>$C$60</f>
        <v>24.740174248339812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2">
        <f t="shared" ref="D21:F36" si="1">ROUND(F20*(1+IRP21_Infl_Rate),2)</f>
        <v>25.27</v>
      </c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2">
        <f t="shared" si="1"/>
        <v>25.81</v>
      </c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2">
        <f t="shared" si="1"/>
        <v>26.37</v>
      </c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127"/>
      <c r="E24" s="146"/>
      <c r="F24" s="382">
        <f t="shared" si="1"/>
        <v>26.94</v>
      </c>
      <c r="G24" s="129"/>
      <c r="H24" s="127"/>
      <c r="I24" s="127"/>
      <c r="J24" s="129"/>
      <c r="K24" s="129"/>
      <c r="L24" s="127"/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127"/>
      <c r="E25" s="146"/>
      <c r="F25" s="382">
        <f t="shared" si="1"/>
        <v>27.52</v>
      </c>
      <c r="G25" s="129"/>
      <c r="H25" s="127"/>
      <c r="I25" s="127"/>
      <c r="J25" s="129"/>
      <c r="K25" s="129"/>
      <c r="L25" s="127"/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330">
        <f>696519.9/450</f>
        <v>1547.8220000000001</v>
      </c>
      <c r="D26" s="127">
        <f>C26*$C$62</f>
        <v>108.02681350700401</v>
      </c>
      <c r="E26" s="255">
        <f>C56</f>
        <v>94.728153598621105</v>
      </c>
      <c r="F26" s="382">
        <f t="shared" si="1"/>
        <v>28.11</v>
      </c>
      <c r="G26" s="129">
        <f t="shared" ref="G26:G37" si="2">(D26+E26+F26)/(8.76*$C$63)</f>
        <v>71.132114341096681</v>
      </c>
      <c r="H26" s="127">
        <v>0</v>
      </c>
      <c r="I26" s="127">
        <v>0</v>
      </c>
      <c r="J26" s="129">
        <f t="shared" ref="J26:J37" si="3">(G26+H26+I26)</f>
        <v>71.132114341096681</v>
      </c>
      <c r="K26" s="129">
        <f t="shared" ref="K26:K37" si="4">ROUND(J26*$C$63*8.76,2)</f>
        <v>230.86</v>
      </c>
      <c r="L26" s="127">
        <f t="shared" ref="L26:L37" si="5">(D26+E26+F26)</f>
        <v>230.86496710562511</v>
      </c>
      <c r="M26" s="118"/>
      <c r="O26" s="116"/>
      <c r="Q26" s="129">
        <f>J26-'Table 3 WV Wind_2026'!J26</f>
        <v>35.306768843418524</v>
      </c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2">
        <f t="shared" si="1"/>
        <v>110.35</v>
      </c>
      <c r="E27" s="382">
        <f t="shared" si="1"/>
        <v>96.77</v>
      </c>
      <c r="F27" s="382">
        <f t="shared" si="1"/>
        <v>28.72</v>
      </c>
      <c r="G27" s="129">
        <f t="shared" si="2"/>
        <v>72.664978392018199</v>
      </c>
      <c r="H27" s="127">
        <v>0</v>
      </c>
      <c r="I27" s="127">
        <v>0</v>
      </c>
      <c r="J27" s="129">
        <f t="shared" si="3"/>
        <v>72.664978392018199</v>
      </c>
      <c r="K27" s="129">
        <f t="shared" si="4"/>
        <v>235.84</v>
      </c>
      <c r="L27" s="127">
        <f t="shared" si="5"/>
        <v>235.84</v>
      </c>
      <c r="M27" s="118"/>
      <c r="O27" s="116"/>
      <c r="Q27" s="129">
        <f>J27-'Table 3 WV Wind_2026'!J27</f>
        <v>36.318916359749466</v>
      </c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2">
        <f t="shared" si="1"/>
        <v>112.73</v>
      </c>
      <c r="E28" s="382">
        <f t="shared" si="1"/>
        <v>98.86</v>
      </c>
      <c r="F28" s="382">
        <f t="shared" si="1"/>
        <v>29.34</v>
      </c>
      <c r="G28" s="129">
        <f t="shared" si="2"/>
        <v>74.233265111893417</v>
      </c>
      <c r="H28" s="127">
        <v>0</v>
      </c>
      <c r="I28" s="127">
        <v>0</v>
      </c>
      <c r="J28" s="129">
        <f t="shared" si="3"/>
        <v>74.233265111893417</v>
      </c>
      <c r="K28" s="129">
        <f t="shared" si="4"/>
        <v>240.93</v>
      </c>
      <c r="L28" s="127">
        <f t="shared" si="5"/>
        <v>240.93</v>
      </c>
      <c r="M28" s="118"/>
      <c r="O28" s="116"/>
      <c r="Q28" s="129">
        <f>J28-'Table 3 WV Wind_2026'!J28</f>
        <v>36.537675411048369</v>
      </c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2">
        <f t="shared" si="1"/>
        <v>115.16</v>
      </c>
      <c r="E29" s="382">
        <f t="shared" si="1"/>
        <v>100.99</v>
      </c>
      <c r="F29" s="382">
        <f t="shared" si="1"/>
        <v>29.97</v>
      </c>
      <c r="G29" s="129">
        <f t="shared" si="2"/>
        <v>75.832362965754399</v>
      </c>
      <c r="H29" s="127">
        <v>0</v>
      </c>
      <c r="I29" s="127">
        <v>0</v>
      </c>
      <c r="J29" s="129">
        <f t="shared" si="3"/>
        <v>75.832362965754399</v>
      </c>
      <c r="K29" s="129">
        <f t="shared" si="4"/>
        <v>246.12</v>
      </c>
      <c r="L29" s="127">
        <f t="shared" si="5"/>
        <v>246.11999999999998</v>
      </c>
      <c r="M29" s="118"/>
      <c r="O29" s="116"/>
      <c r="Q29" s="129">
        <f>J29-'Table 3 WV Wind_2026'!J29</f>
        <v>37.560596689144433</v>
      </c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2">
        <f t="shared" si="1"/>
        <v>117.64</v>
      </c>
      <c r="E30" s="382">
        <f t="shared" si="1"/>
        <v>103.17</v>
      </c>
      <c r="F30" s="382">
        <f t="shared" si="1"/>
        <v>30.62</v>
      </c>
      <c r="G30" s="129">
        <f t="shared" si="2"/>
        <v>77.468434180398305</v>
      </c>
      <c r="H30" s="127">
        <v>0</v>
      </c>
      <c r="I30" s="127">
        <v>0</v>
      </c>
      <c r="J30" s="129">
        <f t="shared" si="3"/>
        <v>77.468434180398305</v>
      </c>
      <c r="K30" s="129">
        <f t="shared" si="4"/>
        <v>251.43</v>
      </c>
      <c r="L30" s="127">
        <f t="shared" si="5"/>
        <v>251.43</v>
      </c>
      <c r="M30" s="118"/>
      <c r="O30" s="116"/>
      <c r="Q30" s="129">
        <f>J30-'Table 3 WV Wind_2026'!J30</f>
        <v>10.734599080639072</v>
      </c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2">
        <f t="shared" si="1"/>
        <v>120.18</v>
      </c>
      <c r="E31" s="382">
        <f t="shared" si="1"/>
        <v>105.39</v>
      </c>
      <c r="F31" s="382">
        <f t="shared" si="1"/>
        <v>31.28</v>
      </c>
      <c r="G31" s="129">
        <f t="shared" si="2"/>
        <v>79.13839764242654</v>
      </c>
      <c r="H31" s="127">
        <v>0</v>
      </c>
      <c r="I31" s="127">
        <v>0</v>
      </c>
      <c r="J31" s="129">
        <f t="shared" si="3"/>
        <v>79.13839764242654</v>
      </c>
      <c r="K31" s="129">
        <f t="shared" si="4"/>
        <v>256.85000000000002</v>
      </c>
      <c r="L31" s="127">
        <f t="shared" si="5"/>
        <v>256.85000000000002</v>
      </c>
      <c r="M31" s="118"/>
      <c r="O31" s="116"/>
      <c r="Q31" s="129">
        <f>J31-'Table 3 WV Wind_2026'!J31</f>
        <v>10.965682585532264</v>
      </c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2">
        <f t="shared" si="1"/>
        <v>122.77</v>
      </c>
      <c r="E32" s="382">
        <f t="shared" si="1"/>
        <v>107.66</v>
      </c>
      <c r="F32" s="382">
        <f t="shared" si="1"/>
        <v>31.95</v>
      </c>
      <c r="G32" s="129">
        <f t="shared" si="2"/>
        <v>80.842253351839105</v>
      </c>
      <c r="H32" s="127">
        <v>0</v>
      </c>
      <c r="I32" s="127">
        <v>0</v>
      </c>
      <c r="J32" s="129">
        <f t="shared" si="3"/>
        <v>80.842253351839105</v>
      </c>
      <c r="K32" s="129">
        <f t="shared" si="4"/>
        <v>262.38</v>
      </c>
      <c r="L32" s="127">
        <f t="shared" si="5"/>
        <v>262.38</v>
      </c>
      <c r="M32" s="118"/>
      <c r="O32" s="116"/>
      <c r="Q32" s="129">
        <f>J32-'Table 3 WV Wind_2026'!J32</f>
        <v>11.199847203824049</v>
      </c>
      <c r="S32" s="151"/>
      <c r="U32" s="158"/>
      <c r="V32" s="151"/>
      <c r="W32" s="151"/>
      <c r="X32" s="151"/>
      <c r="Y32" s="151"/>
      <c r="Z32" s="151"/>
    </row>
    <row r="33" spans="2:17">
      <c r="B33" s="134">
        <f t="shared" si="0"/>
        <v>2039</v>
      </c>
      <c r="C33" s="135"/>
      <c r="D33" s="382">
        <f t="shared" si="1"/>
        <v>125.42</v>
      </c>
      <c r="E33" s="382">
        <f t="shared" si="1"/>
        <v>109.98</v>
      </c>
      <c r="F33" s="382">
        <f t="shared" si="1"/>
        <v>32.64</v>
      </c>
      <c r="G33" s="129">
        <f t="shared" si="2"/>
        <v>82.586163535433172</v>
      </c>
      <c r="H33" s="127">
        <v>0</v>
      </c>
      <c r="I33" s="127">
        <v>0</v>
      </c>
      <c r="J33" s="129">
        <f t="shared" si="3"/>
        <v>82.586163535433172</v>
      </c>
      <c r="K33" s="129">
        <f t="shared" si="4"/>
        <v>268.04000000000002</v>
      </c>
      <c r="L33" s="127">
        <f t="shared" si="5"/>
        <v>268.04000000000002</v>
      </c>
      <c r="M33" s="118"/>
      <c r="O33" s="116"/>
      <c r="Q33" s="129">
        <f>J33-'Table 3 WV Wind_2026'!J33</f>
        <v>11.443255162311559</v>
      </c>
    </row>
    <row r="34" spans="2:17">
      <c r="B34" s="134">
        <f t="shared" si="0"/>
        <v>2040</v>
      </c>
      <c r="C34" s="135"/>
      <c r="D34" s="382">
        <f t="shared" si="1"/>
        <v>128.12</v>
      </c>
      <c r="E34" s="382">
        <f t="shared" si="1"/>
        <v>112.35</v>
      </c>
      <c r="F34" s="382">
        <f t="shared" si="1"/>
        <v>33.340000000000003</v>
      </c>
      <c r="G34" s="129">
        <f t="shared" si="2"/>
        <v>84.363965966411556</v>
      </c>
      <c r="H34" s="127">
        <v>0</v>
      </c>
      <c r="I34" s="127">
        <v>0</v>
      </c>
      <c r="J34" s="129">
        <f t="shared" si="3"/>
        <v>84.363965966411556</v>
      </c>
      <c r="K34" s="129">
        <f t="shared" si="4"/>
        <v>273.81</v>
      </c>
      <c r="L34" s="127">
        <f t="shared" si="5"/>
        <v>273.81</v>
      </c>
      <c r="M34" s="118"/>
      <c r="O34" s="116"/>
      <c r="Q34" s="129">
        <f>J34-'Table 3 WV Wind_2026'!J34</f>
        <v>11.689744234197647</v>
      </c>
    </row>
    <row r="35" spans="2:17">
      <c r="B35" s="134">
        <f t="shared" si="0"/>
        <v>2041</v>
      </c>
      <c r="C35" s="135"/>
      <c r="D35" s="382">
        <f t="shared" si="1"/>
        <v>130.88</v>
      </c>
      <c r="E35" s="382">
        <f t="shared" si="1"/>
        <v>114.77</v>
      </c>
      <c r="F35" s="382">
        <f t="shared" si="1"/>
        <v>34.06</v>
      </c>
      <c r="G35" s="129">
        <f t="shared" si="2"/>
        <v>86.181822871571441</v>
      </c>
      <c r="H35" s="127">
        <v>0</v>
      </c>
      <c r="I35" s="127">
        <v>0</v>
      </c>
      <c r="J35" s="129">
        <f t="shared" si="3"/>
        <v>86.181822871571441</v>
      </c>
      <c r="K35" s="129">
        <f t="shared" si="4"/>
        <v>279.70999999999998</v>
      </c>
      <c r="L35" s="127">
        <f t="shared" si="5"/>
        <v>279.70999999999998</v>
      </c>
      <c r="M35" s="118"/>
      <c r="O35" s="116"/>
      <c r="Q35" s="129">
        <f>J35-'Table 3 WV Wind_2026'!J35</f>
        <v>11.94239553288088</v>
      </c>
    </row>
    <row r="36" spans="2:17">
      <c r="B36" s="134">
        <f t="shared" si="0"/>
        <v>2042</v>
      </c>
      <c r="C36" s="135"/>
      <c r="D36" s="382">
        <f t="shared" si="1"/>
        <v>133.69999999999999</v>
      </c>
      <c r="E36" s="382">
        <f t="shared" si="1"/>
        <v>117.24</v>
      </c>
      <c r="F36" s="382">
        <f t="shared" si="1"/>
        <v>34.79</v>
      </c>
      <c r="G36" s="129">
        <f t="shared" si="2"/>
        <v>88.03665313751425</v>
      </c>
      <c r="H36" s="127">
        <v>0</v>
      </c>
      <c r="I36" s="127">
        <v>0</v>
      </c>
      <c r="J36" s="129">
        <f t="shared" si="3"/>
        <v>88.03665313751425</v>
      </c>
      <c r="K36" s="129">
        <f t="shared" si="4"/>
        <v>285.73</v>
      </c>
      <c r="L36" s="127">
        <f t="shared" si="5"/>
        <v>285.73</v>
      </c>
      <c r="M36" s="118"/>
      <c r="O36" s="116"/>
      <c r="Q36" s="129">
        <f>J36-'Table 3 WV Wind_2026'!J36</f>
        <v>12.198127944962707</v>
      </c>
    </row>
    <row r="37" spans="2:17">
      <c r="B37" s="134">
        <f t="shared" si="0"/>
        <v>2043</v>
      </c>
      <c r="C37" s="135"/>
      <c r="D37" s="382">
        <f t="shared" ref="D37:F37" si="6">ROUND(D36*(1+IRP21_Infl_Rate),2)</f>
        <v>136.58000000000001</v>
      </c>
      <c r="E37" s="382">
        <f t="shared" si="6"/>
        <v>119.77</v>
      </c>
      <c r="F37" s="382">
        <f t="shared" si="6"/>
        <v>35.54</v>
      </c>
      <c r="G37" s="129">
        <f t="shared" si="2"/>
        <v>89.934618991037112</v>
      </c>
      <c r="H37" s="127">
        <v>0</v>
      </c>
      <c r="I37" s="127">
        <v>0</v>
      </c>
      <c r="J37" s="129">
        <f t="shared" si="3"/>
        <v>89.934618991037112</v>
      </c>
      <c r="K37" s="129">
        <f t="shared" si="4"/>
        <v>291.89</v>
      </c>
      <c r="L37" s="127">
        <f t="shared" si="5"/>
        <v>291.89000000000004</v>
      </c>
      <c r="Q37" s="129">
        <f>J37-'Table 3 WV Wind_2026'!J37</f>
        <v>12.460022583841663</v>
      </c>
    </row>
    <row r="38" spans="2:17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</row>
    <row r="39" spans="2:17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</row>
    <row r="40" spans="2:17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</row>
    <row r="42" spans="2:17" ht="13.8">
      <c r="B42" s="137" t="s">
        <v>25</v>
      </c>
      <c r="C42" s="138"/>
      <c r="D42" s="138"/>
      <c r="E42" s="138"/>
      <c r="F42" s="138"/>
      <c r="G42" s="138"/>
      <c r="H42" s="138"/>
      <c r="I42" s="138"/>
    </row>
    <row r="44" spans="2:17">
      <c r="B44" s="116" t="s">
        <v>63</v>
      </c>
      <c r="C44" s="139" t="s">
        <v>64</v>
      </c>
      <c r="D44" s="285" t="s">
        <v>159</v>
      </c>
    </row>
    <row r="45" spans="2:17">
      <c r="C45" s="139" t="str">
        <f>C7</f>
        <v>(a)</v>
      </c>
      <c r="D45" s="116" t="s">
        <v>65</v>
      </c>
    </row>
    <row r="46" spans="2:17">
      <c r="C46" s="139" t="str">
        <f>D7</f>
        <v>(b)</v>
      </c>
      <c r="D46" s="129" t="str">
        <f>"= "&amp;C7&amp;" x "&amp;C62</f>
        <v>= (a) x 0.0697927885163824</v>
      </c>
    </row>
    <row r="47" spans="2:17">
      <c r="C47" s="139" t="str">
        <f>G7</f>
        <v>(e)</v>
      </c>
      <c r="D47" s="129" t="str">
        <f>"= ("&amp;$D$7&amp;" + "&amp;$E$7&amp;") /  (8.76 x "&amp;TEXT(C63,"0.0%")&amp;")"</f>
        <v>= ((b) + (c)) /  (8.76 x 37.0%)</v>
      </c>
    </row>
    <row r="48" spans="2:17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Portland North Coast Wind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2032</v>
      </c>
    </row>
    <row r="55" spans="2:28">
      <c r="B55" s="346" t="s">
        <v>215</v>
      </c>
      <c r="C55" s="167">
        <f>696519.9/450</f>
        <v>1547.8220000000001</v>
      </c>
      <c r="D55" s="116" t="s">
        <v>65</v>
      </c>
      <c r="P55" s="116">
        <v>450</v>
      </c>
      <c r="Q55" s="116" t="s">
        <v>32</v>
      </c>
    </row>
    <row r="56" spans="2:28">
      <c r="B56" s="346" t="s">
        <v>215</v>
      </c>
      <c r="C56" s="255">
        <f>42627.6691193795/450</f>
        <v>94.728153598621105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6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24.740174248339812</v>
      </c>
      <c r="D60" s="116" t="s">
        <v>153</v>
      </c>
      <c r="F60" s="261" t="s">
        <v>171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7AAA-2F43-44A6-A6C5-B807D2846D31}">
  <sheetPr>
    <tabColor rgb="FFFFC000"/>
    <pageSetUpPr fitToPage="1"/>
  </sheetPr>
  <dimension ref="B1:AB91"/>
  <sheetViews>
    <sheetView topLeftCell="B1" zoomScale="80" zoomScaleNormal="80" workbookViewId="0">
      <selection activeCell="I19" sqref="I19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8" t="s">
        <v>202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7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330">
        <v>1498.7239999999999</v>
      </c>
      <c r="D20" s="127">
        <f>C20*$C$62</f>
        <v>104.60012717642665</v>
      </c>
      <c r="E20" s="255">
        <f>41749.5488472448/615</f>
        <v>67.885445280072844</v>
      </c>
      <c r="F20" s="370">
        <f>$C$60</f>
        <v>2.5355612781817829</v>
      </c>
      <c r="G20" s="129">
        <f t="shared" ref="G20:G37" si="1">(D20+E20+F20)/(8.76*$C$63)</f>
        <v>53.92599601839018</v>
      </c>
      <c r="H20" s="127">
        <v>0</v>
      </c>
      <c r="I20" s="127">
        <v>-22.278000000000002</v>
      </c>
      <c r="J20" s="129">
        <f t="shared" ref="J20:J37" si="2">(G20+H20+I20)</f>
        <v>31.647996018390177</v>
      </c>
      <c r="K20" s="129">
        <f t="shared" ref="K20:K37" si="3">ROUND(J20*$C$63*8.76,2)</f>
        <v>102.72</v>
      </c>
      <c r="L20" s="127">
        <f t="shared" ref="L20:L37" si="4">(D20+E20+F20)</f>
        <v>175.02113373468126</v>
      </c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382">
        <f t="shared" ref="D21:D37" si="5">ROUND(D20*(1+IRP21_Infl_Rate),2)</f>
        <v>106.85</v>
      </c>
      <c r="E21" s="382">
        <f t="shared" ref="E21:E37" si="6">ROUND(E20*(1+IRP21_Infl_Rate),2)</f>
        <v>69.349999999999994</v>
      </c>
      <c r="F21" s="382">
        <f t="shared" ref="F21:F37" si="7">ROUND(F20*(1+IRP21_Infl_Rate),2)</f>
        <v>2.59</v>
      </c>
      <c r="G21" s="129">
        <f t="shared" si="1"/>
        <v>55.087226453141675</v>
      </c>
      <c r="H21" s="127">
        <v>0</v>
      </c>
      <c r="I21" s="127">
        <v>-23.07</v>
      </c>
      <c r="J21" s="129">
        <f t="shared" si="2"/>
        <v>32.017226453141674</v>
      </c>
      <c r="K21" s="129">
        <f t="shared" si="3"/>
        <v>103.91</v>
      </c>
      <c r="L21" s="127">
        <f t="shared" si="4"/>
        <v>178.79</v>
      </c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382">
        <f t="shared" si="5"/>
        <v>109.15</v>
      </c>
      <c r="E22" s="382">
        <f t="shared" si="6"/>
        <v>70.84</v>
      </c>
      <c r="F22" s="382">
        <f t="shared" si="7"/>
        <v>2.65</v>
      </c>
      <c r="G22" s="129">
        <f t="shared" si="1"/>
        <v>56.273455111593471</v>
      </c>
      <c r="H22" s="127">
        <v>0</v>
      </c>
      <c r="I22" s="127">
        <v>-23.07</v>
      </c>
      <c r="J22" s="129">
        <f t="shared" si="2"/>
        <v>33.20345511159347</v>
      </c>
      <c r="K22" s="129">
        <f t="shared" si="3"/>
        <v>107.76</v>
      </c>
      <c r="L22" s="127">
        <f t="shared" si="4"/>
        <v>182.64000000000001</v>
      </c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382">
        <f t="shared" si="5"/>
        <v>111.5</v>
      </c>
      <c r="E23" s="382">
        <f t="shared" si="6"/>
        <v>72.37</v>
      </c>
      <c r="F23" s="382">
        <f t="shared" si="7"/>
        <v>2.71</v>
      </c>
      <c r="G23" s="129">
        <f t="shared" si="1"/>
        <v>57.487413790632445</v>
      </c>
      <c r="H23" s="127">
        <v>0</v>
      </c>
      <c r="I23" s="127">
        <v>-23.867999999999999</v>
      </c>
      <c r="J23" s="129">
        <f t="shared" si="2"/>
        <v>33.61941379063245</v>
      </c>
      <c r="K23" s="129">
        <f t="shared" si="3"/>
        <v>109.11</v>
      </c>
      <c r="L23" s="127">
        <f t="shared" si="4"/>
        <v>186.58</v>
      </c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135"/>
      <c r="D24" s="382">
        <f t="shared" si="5"/>
        <v>113.9</v>
      </c>
      <c r="E24" s="382">
        <f t="shared" si="6"/>
        <v>73.930000000000007</v>
      </c>
      <c r="F24" s="382">
        <f t="shared" si="7"/>
        <v>2.77</v>
      </c>
      <c r="G24" s="129">
        <f t="shared" si="1"/>
        <v>58.726021376860032</v>
      </c>
      <c r="H24" s="127">
        <v>0</v>
      </c>
      <c r="I24" s="127">
        <v>-24.666</v>
      </c>
      <c r="J24" s="129">
        <f t="shared" si="2"/>
        <v>34.060021376860036</v>
      </c>
      <c r="K24" s="129">
        <f t="shared" si="3"/>
        <v>110.54</v>
      </c>
      <c r="L24" s="127">
        <f t="shared" si="4"/>
        <v>190.60000000000002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2">
        <f t="shared" si="5"/>
        <v>116.35</v>
      </c>
      <c r="E25" s="382">
        <f t="shared" si="6"/>
        <v>75.52</v>
      </c>
      <c r="F25" s="382">
        <f t="shared" si="7"/>
        <v>2.83</v>
      </c>
      <c r="G25" s="129">
        <f t="shared" si="1"/>
        <v>59.989277870276219</v>
      </c>
      <c r="H25" s="127">
        <v>0</v>
      </c>
      <c r="I25" s="127">
        <v>-24.666</v>
      </c>
      <c r="J25" s="129">
        <f t="shared" si="2"/>
        <v>35.323277870276215</v>
      </c>
      <c r="K25" s="129">
        <f t="shared" si="3"/>
        <v>114.64</v>
      </c>
      <c r="L25" s="127">
        <f t="shared" si="4"/>
        <v>194.70000000000002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2">
        <f t="shared" si="5"/>
        <v>118.86</v>
      </c>
      <c r="E26" s="382">
        <f t="shared" si="6"/>
        <v>77.150000000000006</v>
      </c>
      <c r="F26" s="382">
        <f t="shared" si="7"/>
        <v>2.89</v>
      </c>
      <c r="G26" s="129">
        <f t="shared" si="1"/>
        <v>61.283345497678155</v>
      </c>
      <c r="H26" s="127">
        <v>0</v>
      </c>
      <c r="I26" s="127">
        <v>-25.457999999999998</v>
      </c>
      <c r="J26" s="129">
        <f t="shared" si="2"/>
        <v>35.825345497678157</v>
      </c>
      <c r="K26" s="129">
        <f t="shared" si="3"/>
        <v>116.27</v>
      </c>
      <c r="L26" s="127">
        <f t="shared" si="4"/>
        <v>198.89999999999998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2">
        <f t="shared" si="5"/>
        <v>121.42</v>
      </c>
      <c r="E27" s="382">
        <f t="shared" si="6"/>
        <v>78.81</v>
      </c>
      <c r="F27" s="382">
        <f t="shared" si="7"/>
        <v>2.95</v>
      </c>
      <c r="G27" s="129">
        <f t="shared" si="1"/>
        <v>62.602062032268726</v>
      </c>
      <c r="H27" s="127">
        <v>0</v>
      </c>
      <c r="I27" s="127">
        <v>-26.255999999999997</v>
      </c>
      <c r="J27" s="129">
        <f t="shared" si="2"/>
        <v>36.346062032268733</v>
      </c>
      <c r="K27" s="129">
        <f t="shared" si="3"/>
        <v>117.96</v>
      </c>
      <c r="L27" s="127">
        <f t="shared" si="4"/>
        <v>203.18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2">
        <f t="shared" si="5"/>
        <v>124.04</v>
      </c>
      <c r="E28" s="382">
        <f t="shared" si="6"/>
        <v>80.510000000000005</v>
      </c>
      <c r="F28" s="382">
        <f t="shared" si="7"/>
        <v>3.01</v>
      </c>
      <c r="G28" s="129">
        <f t="shared" si="1"/>
        <v>63.951589700845048</v>
      </c>
      <c r="H28" s="127">
        <v>0</v>
      </c>
      <c r="I28" s="127">
        <v>-26.255999999999997</v>
      </c>
      <c r="J28" s="129">
        <f t="shared" si="2"/>
        <v>37.695589700845048</v>
      </c>
      <c r="K28" s="129">
        <f t="shared" si="3"/>
        <v>122.34</v>
      </c>
      <c r="L28" s="127">
        <f t="shared" si="4"/>
        <v>207.56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2">
        <f t="shared" si="5"/>
        <v>126.71</v>
      </c>
      <c r="E29" s="382">
        <f t="shared" si="6"/>
        <v>82.24</v>
      </c>
      <c r="F29" s="382">
        <f t="shared" si="7"/>
        <v>3.07</v>
      </c>
      <c r="G29" s="129">
        <f t="shared" si="1"/>
        <v>65.325766276609968</v>
      </c>
      <c r="H29" s="127">
        <v>0</v>
      </c>
      <c r="I29" s="127">
        <v>-27.054000000000002</v>
      </c>
      <c r="J29" s="129">
        <f t="shared" si="2"/>
        <v>38.271766276609966</v>
      </c>
      <c r="K29" s="129">
        <f t="shared" si="3"/>
        <v>124.21</v>
      </c>
      <c r="L29" s="127">
        <f t="shared" si="4"/>
        <v>212.01999999999998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2">
        <f t="shared" si="5"/>
        <v>129.44</v>
      </c>
      <c r="E30" s="382">
        <f t="shared" si="6"/>
        <v>84.01</v>
      </c>
      <c r="F30" s="382">
        <f t="shared" si="7"/>
        <v>3.14</v>
      </c>
      <c r="G30" s="129">
        <f t="shared" si="1"/>
        <v>66.733835099759233</v>
      </c>
      <c r="H30" s="127">
        <v>0</v>
      </c>
      <c r="I30" s="127">
        <v>0</v>
      </c>
      <c r="J30" s="129">
        <f t="shared" si="2"/>
        <v>66.733835099759233</v>
      </c>
      <c r="K30" s="129">
        <f t="shared" si="3"/>
        <v>216.59</v>
      </c>
      <c r="L30" s="127">
        <f t="shared" si="4"/>
        <v>216.58999999999997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2">
        <f t="shared" si="5"/>
        <v>132.22999999999999</v>
      </c>
      <c r="E31" s="382">
        <f t="shared" si="6"/>
        <v>85.82</v>
      </c>
      <c r="F31" s="382">
        <f t="shared" si="7"/>
        <v>3.21</v>
      </c>
      <c r="G31" s="129">
        <f t="shared" si="1"/>
        <v>68.172715056894276</v>
      </c>
      <c r="H31" s="127">
        <v>0</v>
      </c>
      <c r="I31" s="127">
        <v>0</v>
      </c>
      <c r="J31" s="129">
        <f t="shared" si="2"/>
        <v>68.172715056894276</v>
      </c>
      <c r="K31" s="129">
        <f t="shared" si="3"/>
        <v>221.26</v>
      </c>
      <c r="L31" s="127">
        <f t="shared" si="4"/>
        <v>221.26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2">
        <f t="shared" si="5"/>
        <v>135.08000000000001</v>
      </c>
      <c r="E32" s="382">
        <f t="shared" si="6"/>
        <v>87.67</v>
      </c>
      <c r="F32" s="382">
        <f t="shared" si="7"/>
        <v>3.28</v>
      </c>
      <c r="G32" s="129">
        <f t="shared" si="1"/>
        <v>69.642406148015056</v>
      </c>
      <c r="H32" s="127">
        <v>0</v>
      </c>
      <c r="I32" s="127">
        <v>0</v>
      </c>
      <c r="J32" s="129">
        <f t="shared" si="2"/>
        <v>69.642406148015056</v>
      </c>
      <c r="K32" s="129">
        <f t="shared" si="3"/>
        <v>226.03</v>
      </c>
      <c r="L32" s="127">
        <f t="shared" si="4"/>
        <v>226.03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2">
        <f t="shared" si="5"/>
        <v>137.99</v>
      </c>
      <c r="E33" s="382">
        <f t="shared" si="6"/>
        <v>89.56</v>
      </c>
      <c r="F33" s="382">
        <f t="shared" si="7"/>
        <v>3.35</v>
      </c>
      <c r="G33" s="129">
        <f t="shared" si="1"/>
        <v>71.142908373121614</v>
      </c>
      <c r="H33" s="127">
        <v>0</v>
      </c>
      <c r="I33" s="127">
        <v>0</v>
      </c>
      <c r="J33" s="129">
        <f t="shared" si="2"/>
        <v>71.142908373121614</v>
      </c>
      <c r="K33" s="129">
        <f t="shared" si="3"/>
        <v>230.9</v>
      </c>
      <c r="L33" s="127">
        <f t="shared" si="4"/>
        <v>230.9</v>
      </c>
      <c r="M33" s="118"/>
      <c r="O33" s="116"/>
      <c r="AB33" s="264"/>
    </row>
    <row r="34" spans="2:28">
      <c r="B34" s="134">
        <f t="shared" si="0"/>
        <v>2040</v>
      </c>
      <c r="C34" s="135"/>
      <c r="D34" s="382">
        <f t="shared" si="5"/>
        <v>140.96</v>
      </c>
      <c r="E34" s="382">
        <f t="shared" si="6"/>
        <v>91.49</v>
      </c>
      <c r="F34" s="382">
        <f t="shared" si="7"/>
        <v>3.42</v>
      </c>
      <c r="G34" s="129">
        <f t="shared" si="1"/>
        <v>72.674221732213908</v>
      </c>
      <c r="H34" s="127">
        <v>0</v>
      </c>
      <c r="I34" s="127">
        <v>0</v>
      </c>
      <c r="J34" s="129">
        <f t="shared" si="2"/>
        <v>72.674221732213908</v>
      </c>
      <c r="K34" s="129">
        <f t="shared" si="3"/>
        <v>235.87</v>
      </c>
      <c r="L34" s="127">
        <f t="shared" si="4"/>
        <v>235.86999999999998</v>
      </c>
      <c r="M34" s="118"/>
      <c r="O34" s="116"/>
      <c r="AB34" s="264"/>
    </row>
    <row r="35" spans="2:28">
      <c r="B35" s="134">
        <f t="shared" si="0"/>
        <v>2041</v>
      </c>
      <c r="C35" s="135"/>
      <c r="D35" s="382">
        <f t="shared" si="5"/>
        <v>144</v>
      </c>
      <c r="E35" s="382">
        <f t="shared" si="6"/>
        <v>93.46</v>
      </c>
      <c r="F35" s="382">
        <f t="shared" si="7"/>
        <v>3.49</v>
      </c>
      <c r="G35" s="129">
        <f t="shared" si="1"/>
        <v>74.239427338690561</v>
      </c>
      <c r="H35" s="127">
        <v>0</v>
      </c>
      <c r="I35" s="127">
        <v>0</v>
      </c>
      <c r="J35" s="129">
        <f t="shared" si="2"/>
        <v>74.239427338690561</v>
      </c>
      <c r="K35" s="129">
        <f t="shared" si="3"/>
        <v>240.95</v>
      </c>
      <c r="L35" s="127">
        <f t="shared" si="4"/>
        <v>240.95</v>
      </c>
      <c r="M35" s="118"/>
      <c r="O35" s="116"/>
      <c r="AB35" s="264"/>
    </row>
    <row r="36" spans="2:28">
      <c r="B36" s="134">
        <f t="shared" si="0"/>
        <v>2042</v>
      </c>
      <c r="C36" s="135"/>
      <c r="D36" s="382">
        <f t="shared" si="5"/>
        <v>147.1</v>
      </c>
      <c r="E36" s="382">
        <f t="shared" si="6"/>
        <v>95.47</v>
      </c>
      <c r="F36" s="382">
        <f t="shared" si="7"/>
        <v>3.57</v>
      </c>
      <c r="G36" s="129">
        <f t="shared" si="1"/>
        <v>75.838525192551543</v>
      </c>
      <c r="H36" s="127">
        <v>0</v>
      </c>
      <c r="I36" s="127">
        <v>0</v>
      </c>
      <c r="J36" s="129">
        <f t="shared" si="2"/>
        <v>75.838525192551543</v>
      </c>
      <c r="K36" s="129">
        <f t="shared" si="3"/>
        <v>246.14</v>
      </c>
      <c r="L36" s="127">
        <f t="shared" si="4"/>
        <v>246.14</v>
      </c>
      <c r="M36" s="118"/>
      <c r="O36" s="116"/>
      <c r="AB36" s="264"/>
    </row>
    <row r="37" spans="2:28">
      <c r="B37" s="134">
        <f t="shared" si="0"/>
        <v>2043</v>
      </c>
      <c r="C37" s="135"/>
      <c r="D37" s="382">
        <f t="shared" si="5"/>
        <v>150.27000000000001</v>
      </c>
      <c r="E37" s="382">
        <f t="shared" si="6"/>
        <v>97.53</v>
      </c>
      <c r="F37" s="382">
        <f t="shared" si="7"/>
        <v>3.65</v>
      </c>
      <c r="G37" s="129">
        <f t="shared" si="1"/>
        <v>77.474596407195449</v>
      </c>
      <c r="H37" s="127">
        <v>0</v>
      </c>
      <c r="I37" s="127">
        <v>0</v>
      </c>
      <c r="J37" s="129">
        <f t="shared" si="2"/>
        <v>77.474596407195449</v>
      </c>
      <c r="K37" s="129">
        <f t="shared" si="3"/>
        <v>251.45</v>
      </c>
      <c r="L37" s="127">
        <f t="shared" si="4"/>
        <v>251.45000000000002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2026</v>
      </c>
    </row>
    <row r="55" spans="2:28">
      <c r="B55" s="346" t="s">
        <v>186</v>
      </c>
      <c r="C55" s="167">
        <f>921715.26/615</f>
        <v>1498.7239999999999</v>
      </c>
      <c r="D55" s="116" t="s">
        <v>65</v>
      </c>
      <c r="P55" s="116">
        <v>615</v>
      </c>
      <c r="Q55" s="116" t="s">
        <v>32</v>
      </c>
    </row>
    <row r="56" spans="2:28">
      <c r="B56" s="346" t="s">
        <v>186</v>
      </c>
      <c r="C56" s="255">
        <f>41749.5488472448/615</f>
        <v>67.885445280072844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6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 t="str">
        <f>LEFT(RIGHT(INDEX('Table 3 TransCost'!$39:$39,1,MATCH(F60,'Table 3 TransCost'!$4:$4,0)),6),5)</f>
        <v>2026$</v>
      </c>
      <c r="C60" s="257">
        <f>INDEX('Table 3 TransCost'!$39:$39,1,MATCH(F60,'Table 3 TransCost'!$4:$4,0)+2)</f>
        <v>2.5355612781817829</v>
      </c>
      <c r="D60" s="116" t="s">
        <v>153</v>
      </c>
      <c r="F60" s="261" t="s">
        <v>177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0.37049999910522241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83F6-9553-4E83-8499-186A4FF19796}">
  <sheetPr>
    <tabColor rgb="FFFFC000"/>
    <pageSetUpPr fitToPage="1"/>
  </sheetPr>
  <dimension ref="B1:AB91"/>
  <sheetViews>
    <sheetView topLeftCell="B1" zoomScale="80" zoomScaleNormal="80" workbookViewId="0">
      <selection activeCell="L4" sqref="L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193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37%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8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Wilamette Valley Resource - 37%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7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6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67"/>
      <c r="G21" s="129"/>
      <c r="H21" s="127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67"/>
      <c r="G22" s="129"/>
      <c r="H22" s="127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67"/>
      <c r="G23" s="129"/>
      <c r="H23" s="127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0">
        <v>1498.7239999999999</v>
      </c>
      <c r="D24" s="127">
        <f>C24*$C$62</f>
        <v>104.60012717642665</v>
      </c>
      <c r="E24" s="255">
        <f>41749.5488472448/615</f>
        <v>67.885445280072844</v>
      </c>
      <c r="F24" s="370">
        <f>$C$60</f>
        <v>5.7969932450072994</v>
      </c>
      <c r="G24" s="129">
        <f t="shared" ref="G24" si="1">(D24+E24+F24)/(8.76*$C$63)</f>
        <v>54.93088006186909</v>
      </c>
      <c r="H24" s="127">
        <v>0</v>
      </c>
      <c r="I24" s="127"/>
      <c r="J24" s="129">
        <f t="shared" ref="J24" si="2">(G24+H24+I24)</f>
        <v>54.93088006186909</v>
      </c>
      <c r="K24" s="129">
        <f t="shared" ref="K24" si="3">ROUND(J24*$C$63*8.76,2)</f>
        <v>178.28</v>
      </c>
      <c r="L24" s="127">
        <f t="shared" ref="L24" si="4">(D24+E24+F24)</f>
        <v>178.28256570150677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2">
        <f t="shared" ref="D25:F36" si="5">ROUND(D24*(1+IRP21_Infl_Rate),2)</f>
        <v>106.85</v>
      </c>
      <c r="E25" s="382">
        <f t="shared" si="5"/>
        <v>69.349999999999994</v>
      </c>
      <c r="F25" s="382">
        <f t="shared" si="5"/>
        <v>5.92</v>
      </c>
      <c r="G25" s="129">
        <f t="shared" ref="G25:G37" si="6">(D25+E25+F25)/(8.76*$C$63)</f>
        <v>56.113237082402208</v>
      </c>
      <c r="H25" s="127">
        <v>0</v>
      </c>
      <c r="I25" s="127"/>
      <c r="J25" s="129">
        <f t="shared" ref="J25:J37" si="7">(G25+H25+I25)</f>
        <v>56.113237082402208</v>
      </c>
      <c r="K25" s="129">
        <f t="shared" ref="K25:K37" si="8">ROUND(J25*$C$63*8.76,2)</f>
        <v>182.12</v>
      </c>
      <c r="L25" s="127">
        <f t="shared" ref="L25:L37" si="9">(D25+E25+F25)</f>
        <v>182.11999999999998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2">
        <f t="shared" si="5"/>
        <v>109.15</v>
      </c>
      <c r="E26" s="382">
        <f t="shared" si="5"/>
        <v>70.84</v>
      </c>
      <c r="F26" s="382">
        <f t="shared" si="5"/>
        <v>6.05</v>
      </c>
      <c r="G26" s="129">
        <f t="shared" si="6"/>
        <v>57.321033531792821</v>
      </c>
      <c r="H26" s="127">
        <v>0</v>
      </c>
      <c r="I26" s="127"/>
      <c r="J26" s="129">
        <f t="shared" si="7"/>
        <v>57.321033531792821</v>
      </c>
      <c r="K26" s="129">
        <f t="shared" si="8"/>
        <v>186.04</v>
      </c>
      <c r="L26" s="127">
        <f t="shared" si="9"/>
        <v>186.04000000000002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2">
        <f t="shared" si="5"/>
        <v>111.5</v>
      </c>
      <c r="E27" s="382">
        <f t="shared" si="5"/>
        <v>72.37</v>
      </c>
      <c r="F27" s="382">
        <f t="shared" si="5"/>
        <v>6.18</v>
      </c>
      <c r="G27" s="129">
        <f t="shared" si="6"/>
        <v>58.556560001705151</v>
      </c>
      <c r="H27" s="127">
        <v>0</v>
      </c>
      <c r="I27" s="127"/>
      <c r="J27" s="129">
        <f t="shared" si="7"/>
        <v>58.556560001705151</v>
      </c>
      <c r="K27" s="129">
        <f t="shared" si="8"/>
        <v>190.05</v>
      </c>
      <c r="L27" s="127">
        <f t="shared" si="9"/>
        <v>190.05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2">
        <f t="shared" si="5"/>
        <v>113.9</v>
      </c>
      <c r="E28" s="382">
        <f t="shared" si="5"/>
        <v>73.930000000000007</v>
      </c>
      <c r="F28" s="382">
        <f t="shared" si="5"/>
        <v>6.31</v>
      </c>
      <c r="G28" s="129">
        <f t="shared" si="6"/>
        <v>59.816735378747893</v>
      </c>
      <c r="H28" s="127">
        <v>0</v>
      </c>
      <c r="I28" s="127"/>
      <c r="J28" s="129">
        <f t="shared" si="7"/>
        <v>59.816735378747893</v>
      </c>
      <c r="K28" s="129">
        <f t="shared" si="8"/>
        <v>194.14</v>
      </c>
      <c r="L28" s="127">
        <f t="shared" si="9"/>
        <v>194.14000000000001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2">
        <f t="shared" si="5"/>
        <v>116.35</v>
      </c>
      <c r="E29" s="382">
        <f t="shared" si="5"/>
        <v>75.52</v>
      </c>
      <c r="F29" s="382">
        <f t="shared" si="5"/>
        <v>6.45</v>
      </c>
      <c r="G29" s="129">
        <f t="shared" si="6"/>
        <v>61.104640776312358</v>
      </c>
      <c r="H29" s="127">
        <v>0</v>
      </c>
      <c r="I29" s="127"/>
      <c r="J29" s="129">
        <f t="shared" si="7"/>
        <v>61.104640776312358</v>
      </c>
      <c r="K29" s="129">
        <f t="shared" si="8"/>
        <v>198.32</v>
      </c>
      <c r="L29" s="127">
        <f t="shared" si="9"/>
        <v>198.32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2">
        <f t="shared" si="5"/>
        <v>118.86</v>
      </c>
      <c r="E30" s="382">
        <f t="shared" si="5"/>
        <v>77.150000000000006</v>
      </c>
      <c r="F30" s="382">
        <f t="shared" si="5"/>
        <v>6.59</v>
      </c>
      <c r="G30" s="129">
        <f t="shared" si="6"/>
        <v>62.423357307789857</v>
      </c>
      <c r="H30" s="127">
        <v>0</v>
      </c>
      <c r="I30" s="127"/>
      <c r="J30" s="129">
        <f t="shared" si="7"/>
        <v>62.423357307789857</v>
      </c>
      <c r="K30" s="129">
        <f t="shared" si="8"/>
        <v>202.6</v>
      </c>
      <c r="L30" s="127">
        <f t="shared" si="9"/>
        <v>202.6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2">
        <f t="shared" si="5"/>
        <v>121.42</v>
      </c>
      <c r="E31" s="382">
        <f t="shared" si="5"/>
        <v>78.81</v>
      </c>
      <c r="F31" s="382">
        <f t="shared" si="5"/>
        <v>6.73</v>
      </c>
      <c r="G31" s="129">
        <f t="shared" si="6"/>
        <v>63.766722746397775</v>
      </c>
      <c r="H31" s="127">
        <v>0</v>
      </c>
      <c r="I31" s="127"/>
      <c r="J31" s="129">
        <f t="shared" si="7"/>
        <v>63.766722746397775</v>
      </c>
      <c r="K31" s="129">
        <f t="shared" si="8"/>
        <v>206.96</v>
      </c>
      <c r="L31" s="127">
        <f t="shared" si="9"/>
        <v>206.96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2">
        <f t="shared" si="5"/>
        <v>124.04</v>
      </c>
      <c r="E32" s="382">
        <f t="shared" si="5"/>
        <v>80.510000000000005</v>
      </c>
      <c r="F32" s="382">
        <f t="shared" si="5"/>
        <v>6.88</v>
      </c>
      <c r="G32" s="129">
        <f t="shared" si="6"/>
        <v>65.143980432310016</v>
      </c>
      <c r="H32" s="127">
        <v>0</v>
      </c>
      <c r="I32" s="127"/>
      <c r="J32" s="129">
        <f t="shared" si="7"/>
        <v>65.143980432310016</v>
      </c>
      <c r="K32" s="129">
        <f t="shared" si="8"/>
        <v>211.43</v>
      </c>
      <c r="L32" s="127">
        <f t="shared" si="9"/>
        <v>211.43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2">
        <f t="shared" si="5"/>
        <v>126.71</v>
      </c>
      <c r="E33" s="382">
        <f t="shared" si="5"/>
        <v>82.24</v>
      </c>
      <c r="F33" s="382">
        <f t="shared" si="5"/>
        <v>7.03</v>
      </c>
      <c r="G33" s="129">
        <f t="shared" si="6"/>
        <v>66.545887025352684</v>
      </c>
      <c r="H33" s="127">
        <v>0</v>
      </c>
      <c r="I33" s="127"/>
      <c r="J33" s="129">
        <f t="shared" si="7"/>
        <v>66.545887025352684</v>
      </c>
      <c r="K33" s="129">
        <f t="shared" si="8"/>
        <v>215.98</v>
      </c>
      <c r="L33" s="127">
        <f t="shared" si="9"/>
        <v>215.98</v>
      </c>
      <c r="M33" s="118"/>
      <c r="O33" s="116"/>
      <c r="AB33" s="264"/>
    </row>
    <row r="34" spans="2:28">
      <c r="B34" s="134">
        <f t="shared" si="0"/>
        <v>2040</v>
      </c>
      <c r="C34" s="135"/>
      <c r="D34" s="382">
        <f t="shared" si="5"/>
        <v>129.44</v>
      </c>
      <c r="E34" s="382">
        <f t="shared" si="5"/>
        <v>84.01</v>
      </c>
      <c r="F34" s="382">
        <f t="shared" si="5"/>
        <v>7.18</v>
      </c>
      <c r="G34" s="129">
        <f t="shared" si="6"/>
        <v>67.978604752308371</v>
      </c>
      <c r="H34" s="127">
        <v>0</v>
      </c>
      <c r="I34" s="127"/>
      <c r="J34" s="129">
        <f t="shared" si="7"/>
        <v>67.978604752308371</v>
      </c>
      <c r="K34" s="129">
        <f t="shared" si="8"/>
        <v>220.63</v>
      </c>
      <c r="L34" s="127">
        <f t="shared" si="9"/>
        <v>220.63</v>
      </c>
      <c r="M34" s="118"/>
      <c r="O34" s="116"/>
      <c r="AB34" s="264"/>
    </row>
    <row r="35" spans="2:28">
      <c r="B35" s="134">
        <f t="shared" si="0"/>
        <v>2041</v>
      </c>
      <c r="C35" s="135"/>
      <c r="D35" s="382">
        <f t="shared" si="5"/>
        <v>132.22999999999999</v>
      </c>
      <c r="E35" s="382">
        <f t="shared" si="5"/>
        <v>85.82</v>
      </c>
      <c r="F35" s="382">
        <f t="shared" si="5"/>
        <v>7.33</v>
      </c>
      <c r="G35" s="129">
        <f t="shared" si="6"/>
        <v>69.442133613177091</v>
      </c>
      <c r="H35" s="127">
        <v>0</v>
      </c>
      <c r="I35" s="127"/>
      <c r="J35" s="129">
        <f t="shared" si="7"/>
        <v>69.442133613177091</v>
      </c>
      <c r="K35" s="129">
        <f t="shared" si="8"/>
        <v>225.38</v>
      </c>
      <c r="L35" s="127">
        <f t="shared" si="9"/>
        <v>225.38</v>
      </c>
      <c r="M35" s="118"/>
      <c r="O35" s="116"/>
      <c r="AB35" s="264"/>
    </row>
    <row r="36" spans="2:28">
      <c r="B36" s="134">
        <f t="shared" si="0"/>
        <v>2042</v>
      </c>
      <c r="C36" s="135"/>
      <c r="D36" s="382">
        <f t="shared" si="5"/>
        <v>135.08000000000001</v>
      </c>
      <c r="E36" s="382">
        <f t="shared" si="5"/>
        <v>87.67</v>
      </c>
      <c r="F36" s="382">
        <f t="shared" si="5"/>
        <v>7.49</v>
      </c>
      <c r="G36" s="129">
        <f t="shared" si="6"/>
        <v>70.939554721350135</v>
      </c>
      <c r="H36" s="127">
        <v>0</v>
      </c>
      <c r="I36" s="127"/>
      <c r="J36" s="129">
        <f t="shared" si="7"/>
        <v>70.939554721350135</v>
      </c>
      <c r="K36" s="129">
        <f t="shared" si="8"/>
        <v>230.24</v>
      </c>
      <c r="L36" s="127">
        <f t="shared" si="9"/>
        <v>230.24</v>
      </c>
      <c r="M36" s="118"/>
      <c r="O36" s="116"/>
      <c r="AB36" s="264"/>
    </row>
    <row r="37" spans="2:28">
      <c r="B37" s="134">
        <f t="shared" si="0"/>
        <v>2043</v>
      </c>
      <c r="C37" s="135"/>
      <c r="D37" s="382">
        <f t="shared" ref="D37:F37" si="10">ROUND(D36*(1+IRP21_Infl_Rate),2)</f>
        <v>137.99</v>
      </c>
      <c r="E37" s="382">
        <f t="shared" si="10"/>
        <v>89.56</v>
      </c>
      <c r="F37" s="382">
        <f t="shared" si="10"/>
        <v>7.65</v>
      </c>
      <c r="G37" s="129">
        <f t="shared" si="6"/>
        <v>72.467786963436211</v>
      </c>
      <c r="H37" s="127">
        <v>0</v>
      </c>
      <c r="I37" s="127"/>
      <c r="J37" s="129">
        <f t="shared" si="7"/>
        <v>72.467786963436211</v>
      </c>
      <c r="K37" s="129">
        <f t="shared" si="8"/>
        <v>235.2</v>
      </c>
      <c r="L37" s="127">
        <f t="shared" si="9"/>
        <v>235.20000000000002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37.0%)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Wilamette Valley Resource - 37%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6" t="s">
        <v>221</v>
      </c>
      <c r="C55" s="167">
        <f>254616/160</f>
        <v>1591.35</v>
      </c>
      <c r="D55" s="116" t="s">
        <v>65</v>
      </c>
      <c r="P55" s="116">
        <v>160</v>
      </c>
      <c r="Q55" s="116" t="s">
        <v>32</v>
      </c>
    </row>
    <row r="56" spans="2:28">
      <c r="B56" s="346" t="s">
        <v>221</v>
      </c>
      <c r="C56" s="255">
        <f>11828.6487075816/160</f>
        <v>73.929054422385008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6"/>
      <c r="C58" s="255"/>
      <c r="D58" s="116" t="s">
        <v>69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0.37049999997985367</v>
      </c>
      <c r="D63" s="116" t="s">
        <v>37</v>
      </c>
    </row>
    <row r="64" spans="2:28">
      <c r="D64" s="152"/>
    </row>
    <row r="65" spans="15:15" s="118" customFormat="1">
      <c r="O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  <pageSetUpPr fitToPage="1"/>
  </sheetPr>
  <dimension ref="B1:AB92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161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8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70">
        <f>$C$60</f>
        <v>58.544856686682266</v>
      </c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382">
        <f t="shared" ref="F20:F37" si="1">ROUND(F19*(1+IRP21_Infl_Rate),2)</f>
        <v>59.81</v>
      </c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382">
        <f t="shared" si="1"/>
        <v>61.1</v>
      </c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382">
        <f t="shared" si="1"/>
        <v>62.42</v>
      </c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382">
        <f t="shared" si="1"/>
        <v>63.77</v>
      </c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0">
        <v>1552.7760000000001</v>
      </c>
      <c r="D24" s="127">
        <f>C24*$C$62</f>
        <v>108.37256698131416</v>
      </c>
      <c r="E24" s="255">
        <f>9241.39507495671/289.216</f>
        <v>31.953263564106791</v>
      </c>
      <c r="F24" s="382">
        <f t="shared" si="1"/>
        <v>65.14</v>
      </c>
      <c r="G24" s="129">
        <f t="shared" ref="G24:G37" si="2">(D24+E24+F24)/(8.76*$C$63)</f>
        <v>53.771213862693294</v>
      </c>
      <c r="H24" s="378">
        <v>0.80400000000000005</v>
      </c>
      <c r="I24" s="127"/>
      <c r="J24" s="129">
        <f t="shared" ref="J24:J37" si="3">(G24+H24+I24)</f>
        <v>54.575213862693296</v>
      </c>
      <c r="K24" s="129">
        <f t="shared" ref="K24:K32" si="4">ROUND(J24*$C$63*8.76,2)</f>
        <v>208.54</v>
      </c>
      <c r="L24" s="127">
        <f t="shared" ref="L24:L37" si="5">(D24+E24+F24)</f>
        <v>205.46583054542094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2">
        <f t="shared" ref="D25:D37" si="6">ROUND(D24*(1+IRP21_Infl_Rate),2)</f>
        <v>110.71</v>
      </c>
      <c r="E25" s="382">
        <f t="shared" ref="E25:E37" si="7">ROUND(E24*(1+IRP21_Infl_Rate),2)</f>
        <v>32.64</v>
      </c>
      <c r="F25" s="382">
        <f t="shared" si="1"/>
        <v>66.540000000000006</v>
      </c>
      <c r="G25" s="129">
        <f t="shared" si="2"/>
        <v>54.929036364252141</v>
      </c>
      <c r="H25" s="382">
        <f t="shared" ref="H25:H37" si="8">ROUND(H24*(1+IRP21_Infl_Rate),2)</f>
        <v>0.82</v>
      </c>
      <c r="I25" s="127"/>
      <c r="J25" s="129">
        <f t="shared" si="3"/>
        <v>55.749036364252142</v>
      </c>
      <c r="K25" s="129">
        <f t="shared" si="4"/>
        <v>213.02</v>
      </c>
      <c r="L25" s="127">
        <f t="shared" si="5"/>
        <v>209.89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2">
        <f t="shared" si="6"/>
        <v>113.1</v>
      </c>
      <c r="E26" s="382">
        <f t="shared" si="7"/>
        <v>33.340000000000003</v>
      </c>
      <c r="F26" s="382">
        <f t="shared" si="1"/>
        <v>67.97</v>
      </c>
      <c r="G26" s="129">
        <f t="shared" si="2"/>
        <v>56.11193809547526</v>
      </c>
      <c r="H26" s="382">
        <f t="shared" si="8"/>
        <v>0.84</v>
      </c>
      <c r="I26" s="127"/>
      <c r="J26" s="129">
        <f t="shared" si="3"/>
        <v>56.951938095475263</v>
      </c>
      <c r="K26" s="129">
        <f t="shared" si="4"/>
        <v>217.62</v>
      </c>
      <c r="L26" s="127">
        <f t="shared" si="5"/>
        <v>214.41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2">
        <f t="shared" si="6"/>
        <v>115.54</v>
      </c>
      <c r="E27" s="382">
        <f t="shared" si="7"/>
        <v>34.06</v>
      </c>
      <c r="F27" s="382">
        <f t="shared" si="1"/>
        <v>69.430000000000007</v>
      </c>
      <c r="G27" s="129">
        <f t="shared" si="2"/>
        <v>57.321010218982082</v>
      </c>
      <c r="H27" s="382">
        <f t="shared" si="8"/>
        <v>0.86</v>
      </c>
      <c r="I27" s="127"/>
      <c r="J27" s="129">
        <f t="shared" si="3"/>
        <v>58.181010218982081</v>
      </c>
      <c r="K27" s="129">
        <f t="shared" si="4"/>
        <v>222.32</v>
      </c>
      <c r="L27" s="127">
        <f t="shared" si="5"/>
        <v>219.03000000000003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2">
        <f t="shared" si="6"/>
        <v>118.03</v>
      </c>
      <c r="E28" s="382">
        <f t="shared" si="7"/>
        <v>34.79</v>
      </c>
      <c r="F28" s="382">
        <f t="shared" si="1"/>
        <v>70.930000000000007</v>
      </c>
      <c r="G28" s="129">
        <f t="shared" si="2"/>
        <v>58.556252734772585</v>
      </c>
      <c r="H28" s="382">
        <f t="shared" si="8"/>
        <v>0.88</v>
      </c>
      <c r="I28" s="127"/>
      <c r="J28" s="129">
        <f t="shared" si="3"/>
        <v>59.436252734772587</v>
      </c>
      <c r="K28" s="129">
        <f t="shared" si="4"/>
        <v>227.11</v>
      </c>
      <c r="L28" s="127">
        <f t="shared" si="5"/>
        <v>223.75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2">
        <f t="shared" si="6"/>
        <v>120.57</v>
      </c>
      <c r="E29" s="382">
        <f t="shared" si="7"/>
        <v>35.54</v>
      </c>
      <c r="F29" s="382">
        <f t="shared" si="1"/>
        <v>72.459999999999994</v>
      </c>
      <c r="G29" s="129">
        <f t="shared" si="2"/>
        <v>59.817665642846784</v>
      </c>
      <c r="H29" s="382">
        <f t="shared" si="8"/>
        <v>0.9</v>
      </c>
      <c r="I29" s="127"/>
      <c r="J29" s="129">
        <f t="shared" si="3"/>
        <v>60.717665642846782</v>
      </c>
      <c r="K29" s="129">
        <f t="shared" si="4"/>
        <v>232.01</v>
      </c>
      <c r="L29" s="127">
        <f t="shared" si="5"/>
        <v>228.57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2">
        <f t="shared" si="6"/>
        <v>123.17</v>
      </c>
      <c r="E30" s="382">
        <f t="shared" si="7"/>
        <v>36.31</v>
      </c>
      <c r="F30" s="382">
        <f t="shared" si="1"/>
        <v>74.02</v>
      </c>
      <c r="G30" s="129">
        <f t="shared" si="2"/>
        <v>61.107865982433061</v>
      </c>
      <c r="H30" s="382">
        <f t="shared" si="8"/>
        <v>0.92</v>
      </c>
      <c r="I30" s="127"/>
      <c r="J30" s="129">
        <f t="shared" si="3"/>
        <v>62.027865982433063</v>
      </c>
      <c r="K30" s="129">
        <f t="shared" si="4"/>
        <v>237.02</v>
      </c>
      <c r="L30" s="127">
        <f t="shared" si="5"/>
        <v>233.5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2">
        <f t="shared" si="6"/>
        <v>125.82</v>
      </c>
      <c r="E31" s="382">
        <f t="shared" si="7"/>
        <v>37.090000000000003</v>
      </c>
      <c r="F31" s="382">
        <f t="shared" si="1"/>
        <v>75.62</v>
      </c>
      <c r="G31" s="129">
        <f t="shared" si="2"/>
        <v>62.424236714303035</v>
      </c>
      <c r="H31" s="382">
        <f t="shared" si="8"/>
        <v>0.94</v>
      </c>
      <c r="I31" s="127"/>
      <c r="J31" s="129">
        <f t="shared" si="3"/>
        <v>63.364236714303033</v>
      </c>
      <c r="K31" s="129">
        <f t="shared" si="4"/>
        <v>242.12</v>
      </c>
      <c r="L31" s="127">
        <f t="shared" si="5"/>
        <v>238.53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2">
        <f t="shared" si="6"/>
        <v>128.53</v>
      </c>
      <c r="E32" s="382">
        <f t="shared" si="7"/>
        <v>37.89</v>
      </c>
      <c r="F32" s="382">
        <f t="shared" si="1"/>
        <v>77.25</v>
      </c>
      <c r="G32" s="129">
        <f t="shared" si="2"/>
        <v>63.769394877685073</v>
      </c>
      <c r="H32" s="382">
        <f t="shared" si="8"/>
        <v>0.96</v>
      </c>
      <c r="I32" s="127"/>
      <c r="J32" s="129">
        <f t="shared" si="3"/>
        <v>64.729394877685067</v>
      </c>
      <c r="K32" s="129">
        <f t="shared" si="4"/>
        <v>247.34</v>
      </c>
      <c r="L32" s="127">
        <f t="shared" si="5"/>
        <v>243.67000000000002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2">
        <f t="shared" si="6"/>
        <v>131.30000000000001</v>
      </c>
      <c r="E33" s="382">
        <f t="shared" si="7"/>
        <v>38.71</v>
      </c>
      <c r="F33" s="382">
        <f t="shared" si="1"/>
        <v>78.91</v>
      </c>
      <c r="G33" s="129">
        <f t="shared" si="2"/>
        <v>65.143340472579183</v>
      </c>
      <c r="H33" s="382">
        <f t="shared" si="8"/>
        <v>0.98</v>
      </c>
      <c r="I33" s="127"/>
      <c r="J33" s="129">
        <f t="shared" si="3"/>
        <v>66.123340472579187</v>
      </c>
      <c r="K33" s="129">
        <f t="shared" ref="K33:K37" si="9">ROUND(J33*$C$63*8.76,2)</f>
        <v>252.66</v>
      </c>
      <c r="L33" s="127">
        <f t="shared" si="5"/>
        <v>248.92000000000002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2">
        <f t="shared" si="6"/>
        <v>134.13</v>
      </c>
      <c r="E34" s="382">
        <f t="shared" si="7"/>
        <v>39.54</v>
      </c>
      <c r="F34" s="382">
        <f t="shared" si="1"/>
        <v>80.61</v>
      </c>
      <c r="G34" s="129">
        <f t="shared" si="2"/>
        <v>66.546073498985336</v>
      </c>
      <c r="H34" s="382">
        <f t="shared" si="8"/>
        <v>1</v>
      </c>
      <c r="I34" s="127"/>
      <c r="J34" s="129">
        <f t="shared" si="3"/>
        <v>67.546073498985336</v>
      </c>
      <c r="K34" s="129">
        <f t="shared" si="9"/>
        <v>258.10000000000002</v>
      </c>
      <c r="L34" s="127">
        <f t="shared" si="5"/>
        <v>254.27999999999997</v>
      </c>
      <c r="M34" s="118"/>
      <c r="O34" s="116"/>
      <c r="AB34" s="264"/>
    </row>
    <row r="35" spans="2:28">
      <c r="B35" s="134">
        <f t="shared" si="0"/>
        <v>2041</v>
      </c>
      <c r="C35" s="135"/>
      <c r="D35" s="382">
        <f t="shared" si="6"/>
        <v>137.02000000000001</v>
      </c>
      <c r="E35" s="382">
        <f t="shared" si="7"/>
        <v>40.39</v>
      </c>
      <c r="F35" s="382">
        <f t="shared" si="1"/>
        <v>82.35</v>
      </c>
      <c r="G35" s="129">
        <f t="shared" si="2"/>
        <v>67.980210996131959</v>
      </c>
      <c r="H35" s="382">
        <f t="shared" si="8"/>
        <v>1.02</v>
      </c>
      <c r="I35" s="127"/>
      <c r="J35" s="129">
        <f t="shared" si="3"/>
        <v>69.000210996131955</v>
      </c>
      <c r="K35" s="129">
        <f t="shared" si="9"/>
        <v>263.66000000000003</v>
      </c>
      <c r="L35" s="127">
        <f t="shared" si="5"/>
        <v>259.76</v>
      </c>
      <c r="M35" s="118"/>
      <c r="O35" s="116"/>
      <c r="AB35" s="264"/>
    </row>
    <row r="36" spans="2:28">
      <c r="B36" s="134">
        <f t="shared" si="0"/>
        <v>2042</v>
      </c>
      <c r="C36" s="135"/>
      <c r="D36" s="382">
        <f t="shared" si="6"/>
        <v>139.97</v>
      </c>
      <c r="E36" s="382">
        <f t="shared" si="7"/>
        <v>41.26</v>
      </c>
      <c r="F36" s="382">
        <f t="shared" si="1"/>
        <v>84.12</v>
      </c>
      <c r="G36" s="129">
        <f t="shared" si="2"/>
        <v>69.443135924790639</v>
      </c>
      <c r="H36" s="382">
        <f t="shared" si="8"/>
        <v>1.04</v>
      </c>
      <c r="I36" s="127"/>
      <c r="J36" s="129">
        <f t="shared" si="3"/>
        <v>70.483135924790645</v>
      </c>
      <c r="K36" s="129">
        <f t="shared" si="9"/>
        <v>269.32</v>
      </c>
      <c r="L36" s="127">
        <f t="shared" si="5"/>
        <v>265.35000000000002</v>
      </c>
      <c r="M36" s="118"/>
      <c r="O36" s="116"/>
      <c r="AB36" s="264"/>
    </row>
    <row r="37" spans="2:28">
      <c r="B37" s="134">
        <f t="shared" si="0"/>
        <v>2043</v>
      </c>
      <c r="C37" s="135"/>
      <c r="D37" s="382">
        <f t="shared" si="6"/>
        <v>142.99</v>
      </c>
      <c r="E37" s="382">
        <f t="shared" si="7"/>
        <v>42.15</v>
      </c>
      <c r="F37" s="382">
        <f t="shared" si="1"/>
        <v>85.93</v>
      </c>
      <c r="G37" s="129">
        <f t="shared" si="2"/>
        <v>70.940082363418128</v>
      </c>
      <c r="H37" s="382">
        <f t="shared" si="8"/>
        <v>1.06</v>
      </c>
      <c r="I37" s="127"/>
      <c r="J37" s="129">
        <f t="shared" si="3"/>
        <v>72.00008236341813</v>
      </c>
      <c r="K37" s="129">
        <f t="shared" si="9"/>
        <v>275.12</v>
      </c>
      <c r="L37" s="127">
        <f t="shared" si="5"/>
        <v>271.07000000000005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6" t="s">
        <v>186</v>
      </c>
      <c r="C55" s="167">
        <f>449087.663616/289.216</f>
        <v>1552.7759999999998</v>
      </c>
      <c r="D55" s="116" t="s">
        <v>65</v>
      </c>
      <c r="P55" s="116">
        <v>289.21600000000001</v>
      </c>
      <c r="Q55" s="116" t="s">
        <v>32</v>
      </c>
    </row>
    <row r="56" spans="2:28">
      <c r="B56" s="346" t="s">
        <v>186</v>
      </c>
      <c r="C56" s="255">
        <f>9241.39507495671/289.216</f>
        <v>31.953263564106791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6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/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 t="str">
        <f>LEFT(RIGHT(INDEX('Table 3 TransCost'!$39:$39,1,MATCH(F60,'Table 3 TransCost'!$4:$4,0)),6),5)</f>
        <v>2025$</v>
      </c>
      <c r="C60" s="257">
        <f>INDEX('Table 3 TransCost'!$39:$39,1,MATCH(F60,'Table 3 TransCost'!$4:$4,0)+2)</f>
        <v>58.544856686682266</v>
      </c>
      <c r="D60" s="116" t="s">
        <v>153</v>
      </c>
      <c r="F60" s="261" t="s">
        <v>145</v>
      </c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65" spans="15:15" s="118" customFormat="1">
      <c r="O65" s="161"/>
    </row>
    <row r="66" spans="15:15" s="118" customFormat="1">
      <c r="O66" s="161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  <row r="92" spans="3:4">
      <c r="C92" s="148"/>
      <c r="D92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C66-0A4D-4E3F-AAC5-C56585304D35}">
  <sheetPr>
    <tabColor rgb="FFFFC000"/>
    <pageSetUpPr fitToPage="1"/>
  </sheetPr>
  <dimension ref="B1:AB89"/>
  <sheetViews>
    <sheetView zoomScale="70" zoomScaleNormal="70" workbookViewId="0">
      <selection activeCell="C10" sqref="C10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11.77734375" style="116" customWidth="1"/>
    <col min="6" max="6" width="13.44140625" style="116" customWidth="1"/>
    <col min="7" max="7" width="9.44140625" style="116" bestFit="1" customWidth="1"/>
    <col min="8" max="8" width="13.21875" style="116" customWidth="1"/>
    <col min="9" max="9" width="10.44140625" style="116" customWidth="1"/>
    <col min="10" max="10" width="12.6640625" style="116" customWidth="1"/>
    <col min="11" max="11" width="14" style="116" customWidth="1"/>
    <col min="12" max="12" width="13.21875" style="116" customWidth="1"/>
    <col min="13" max="13" width="3.21875" style="116" customWidth="1"/>
    <col min="14" max="14" width="15" style="116" hidden="1" customWidth="1"/>
    <col min="15" max="15" width="5.6640625" style="158" customWidth="1"/>
    <col min="16" max="16" width="9.33203125" style="116"/>
    <col min="17" max="17" width="10" style="116" customWidth="1"/>
    <col min="18" max="18" width="12.6640625" style="116" customWidth="1"/>
    <col min="19" max="19" width="18.21875" style="116" customWidth="1"/>
    <col min="20" max="22" width="9.33203125" style="116"/>
    <col min="23" max="23" width="9.6640625" style="116" bestFit="1" customWidth="1"/>
    <col min="24" max="16384" width="9.33203125" style="116"/>
  </cols>
  <sheetData>
    <row r="1" spans="2:2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25" ht="15.6">
      <c r="B2" s="114" t="s">
        <v>192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25" ht="15.6">
      <c r="B3" s="114" t="str">
        <f>TEXT($C$63,"0%")&amp;" Capacity Factor"</f>
        <v>44% Capacity Factor</v>
      </c>
      <c r="C3" s="115"/>
      <c r="D3" s="115"/>
      <c r="E3" s="115"/>
      <c r="F3" s="115"/>
      <c r="G3" s="115"/>
      <c r="H3" s="115"/>
      <c r="I3" s="115"/>
      <c r="J3" s="115"/>
      <c r="K3" s="115"/>
    </row>
    <row r="4" spans="2:25">
      <c r="B4" s="117"/>
      <c r="C4" s="117"/>
      <c r="D4" s="117"/>
      <c r="E4" s="117"/>
      <c r="F4" s="117"/>
      <c r="G4" s="117"/>
      <c r="H4" s="117"/>
      <c r="I4" s="117"/>
      <c r="J4" s="118"/>
      <c r="K4" s="118"/>
      <c r="L4" s="118"/>
    </row>
    <row r="5" spans="2:25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368" t="s">
        <v>179</v>
      </c>
      <c r="J5" s="120" t="s">
        <v>73</v>
      </c>
      <c r="K5" s="17" t="s">
        <v>52</v>
      </c>
      <c r="L5" s="120" t="s">
        <v>154</v>
      </c>
      <c r="N5" s="200"/>
      <c r="O5" s="200"/>
      <c r="Q5" s="200"/>
      <c r="S5" s="262"/>
      <c r="U5" s="259"/>
      <c r="V5" s="260"/>
      <c r="W5" s="259"/>
      <c r="X5" s="260"/>
      <c r="Y5" s="118"/>
    </row>
    <row r="6" spans="2:25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8" t="s">
        <v>31</v>
      </c>
      <c r="J6" s="122" t="s">
        <v>31</v>
      </c>
      <c r="K6" s="19" t="s">
        <v>9</v>
      </c>
      <c r="L6" s="123" t="s">
        <v>9</v>
      </c>
      <c r="S6" s="263"/>
    </row>
    <row r="7" spans="2:25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L7" s="124" t="s">
        <v>24</v>
      </c>
    </row>
    <row r="8" spans="2:25" ht="6" customHeight="1">
      <c r="L8" s="118"/>
    </row>
    <row r="9" spans="2:25" ht="15.6">
      <c r="B9" s="43" t="str">
        <f>C52</f>
        <v>2021 IRP Wyoming DJ Wind Resource - 44% Capacity Factor</v>
      </c>
      <c r="C9" s="118"/>
      <c r="E9" s="118"/>
      <c r="F9" s="118"/>
      <c r="G9" s="118"/>
      <c r="H9" s="118"/>
      <c r="I9" s="118"/>
      <c r="J9" s="118"/>
      <c r="K9" s="118"/>
      <c r="L9" s="118"/>
      <c r="O9" s="116"/>
    </row>
    <row r="10" spans="2:25">
      <c r="B10" s="125">
        <v>2016</v>
      </c>
      <c r="C10" s="126"/>
      <c r="D10" s="127"/>
      <c r="E10" s="127"/>
      <c r="F10" s="127"/>
      <c r="G10" s="128"/>
      <c r="H10" s="128"/>
      <c r="I10" s="127"/>
      <c r="J10" s="129"/>
      <c r="K10" s="129"/>
      <c r="L10" s="127"/>
      <c r="O10" s="159"/>
    </row>
    <row r="11" spans="2:25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7"/>
      <c r="J11" s="129"/>
      <c r="K11" s="129"/>
      <c r="L11" s="127"/>
      <c r="O11" s="116"/>
    </row>
    <row r="12" spans="2:25">
      <c r="B12" s="134">
        <f t="shared" si="0"/>
        <v>2018</v>
      </c>
      <c r="C12" s="135"/>
      <c r="D12" s="127"/>
      <c r="E12" s="146"/>
      <c r="F12" s="146"/>
      <c r="G12" s="129"/>
      <c r="H12" s="146"/>
      <c r="I12" s="127"/>
      <c r="J12" s="129"/>
      <c r="K12" s="129"/>
      <c r="L12" s="127"/>
      <c r="M12" s="118"/>
      <c r="O12" s="116"/>
      <c r="S12" s="146"/>
      <c r="U12" s="158"/>
      <c r="V12" s="151"/>
      <c r="W12" s="151"/>
    </row>
    <row r="13" spans="2:25">
      <c r="B13" s="134">
        <f t="shared" si="0"/>
        <v>2019</v>
      </c>
      <c r="C13" s="135"/>
      <c r="D13" s="127"/>
      <c r="E13" s="146"/>
      <c r="F13" s="146"/>
      <c r="G13" s="129"/>
      <c r="H13" s="127"/>
      <c r="I13" s="127"/>
      <c r="J13" s="129"/>
      <c r="K13" s="129"/>
      <c r="L13" s="127"/>
      <c r="M13" s="118"/>
      <c r="O13" s="116"/>
      <c r="W13" s="151"/>
    </row>
    <row r="14" spans="2:25">
      <c r="B14" s="134">
        <f t="shared" si="0"/>
        <v>2020</v>
      </c>
      <c r="C14" s="135"/>
      <c r="D14" s="127"/>
      <c r="E14" s="146"/>
      <c r="F14" s="127"/>
      <c r="G14" s="129"/>
      <c r="H14" s="127"/>
      <c r="I14" s="127"/>
      <c r="J14" s="129"/>
      <c r="K14" s="129"/>
      <c r="L14" s="127"/>
      <c r="M14" s="118"/>
      <c r="O14" s="116"/>
      <c r="P14" s="131"/>
      <c r="Q14" s="132"/>
      <c r="R14" s="133"/>
      <c r="W14" s="151"/>
    </row>
    <row r="15" spans="2:25">
      <c r="B15" s="134">
        <f t="shared" si="0"/>
        <v>2021</v>
      </c>
      <c r="C15" s="135"/>
      <c r="D15" s="127"/>
      <c r="E15" s="146"/>
      <c r="F15" s="127"/>
      <c r="G15" s="129"/>
      <c r="H15" s="127"/>
      <c r="I15" s="127"/>
      <c r="J15" s="129"/>
      <c r="K15" s="129"/>
      <c r="L15" s="127"/>
      <c r="M15" s="118"/>
      <c r="O15" s="116"/>
      <c r="P15" s="258"/>
      <c r="Q15" s="132"/>
      <c r="R15" s="133"/>
      <c r="W15" s="151"/>
    </row>
    <row r="16" spans="2:25">
      <c r="B16" s="134">
        <f t="shared" si="0"/>
        <v>2022</v>
      </c>
      <c r="C16" s="135"/>
      <c r="D16" s="127"/>
      <c r="E16" s="146"/>
      <c r="F16" s="127"/>
      <c r="G16" s="129"/>
      <c r="H16" s="127"/>
      <c r="I16" s="127"/>
      <c r="J16" s="129"/>
      <c r="K16" s="129"/>
      <c r="L16" s="127"/>
      <c r="M16" s="118"/>
      <c r="O16" s="116"/>
      <c r="W16" s="151"/>
    </row>
    <row r="17" spans="2:26">
      <c r="B17" s="134">
        <f t="shared" si="0"/>
        <v>2023</v>
      </c>
      <c r="C17" s="135"/>
      <c r="D17" s="127"/>
      <c r="E17" s="146"/>
      <c r="F17" s="127"/>
      <c r="G17" s="129"/>
      <c r="H17" s="127"/>
      <c r="I17" s="127"/>
      <c r="J17" s="129"/>
      <c r="K17" s="129"/>
      <c r="L17" s="127"/>
      <c r="M17" s="118"/>
      <c r="O17" s="116"/>
      <c r="P17" s="131"/>
      <c r="W17" s="151"/>
    </row>
    <row r="18" spans="2:26">
      <c r="B18" s="134">
        <f t="shared" si="0"/>
        <v>2024</v>
      </c>
      <c r="C18" s="135"/>
      <c r="D18" s="127"/>
      <c r="E18" s="146"/>
      <c r="F18" s="367"/>
      <c r="G18" s="129"/>
      <c r="H18" s="127"/>
      <c r="I18" s="127"/>
      <c r="J18" s="129"/>
      <c r="K18" s="129"/>
      <c r="L18" s="127"/>
      <c r="M18" s="118"/>
      <c r="O18" s="116"/>
      <c r="Q18" s="129"/>
      <c r="U18" s="158"/>
      <c r="V18" s="151"/>
      <c r="W18" s="151"/>
      <c r="X18" s="151"/>
      <c r="Y18" s="151"/>
      <c r="Z18" s="151"/>
    </row>
    <row r="19" spans="2:26">
      <c r="B19" s="134">
        <f t="shared" si="0"/>
        <v>2025</v>
      </c>
      <c r="C19" s="135"/>
      <c r="D19" s="127"/>
      <c r="E19" s="146"/>
      <c r="F19" s="367"/>
      <c r="G19" s="129"/>
      <c r="H19" s="127"/>
      <c r="I19" s="127"/>
      <c r="J19" s="129"/>
      <c r="K19" s="129"/>
      <c r="L19" s="127"/>
      <c r="M19" s="118"/>
      <c r="O19" s="116"/>
      <c r="Q19" s="129"/>
      <c r="U19" s="158"/>
      <c r="V19" s="151"/>
      <c r="W19" s="151"/>
      <c r="X19" s="151"/>
      <c r="Y19" s="151"/>
      <c r="Z19" s="151"/>
    </row>
    <row r="20" spans="2:26">
      <c r="B20" s="134">
        <f t="shared" si="0"/>
        <v>2026</v>
      </c>
      <c r="C20" s="135"/>
      <c r="D20" s="127"/>
      <c r="E20" s="146"/>
      <c r="F20" s="127"/>
      <c r="G20" s="129"/>
      <c r="H20" s="127"/>
      <c r="I20" s="127"/>
      <c r="J20" s="129"/>
      <c r="K20" s="129"/>
      <c r="L20" s="127"/>
      <c r="M20" s="118"/>
      <c r="O20" s="116"/>
      <c r="Q20" s="129"/>
      <c r="S20" s="151"/>
      <c r="U20" s="158"/>
      <c r="V20" s="151"/>
      <c r="W20" s="151"/>
      <c r="X20" s="151"/>
      <c r="Y20" s="151"/>
      <c r="Z20" s="151"/>
    </row>
    <row r="21" spans="2:26">
      <c r="B21" s="134">
        <f t="shared" si="0"/>
        <v>2027</v>
      </c>
      <c r="C21" s="135"/>
      <c r="D21" s="127"/>
      <c r="E21" s="146"/>
      <c r="F21" s="127"/>
      <c r="G21" s="129"/>
      <c r="H21" s="185"/>
      <c r="I21" s="127"/>
      <c r="J21" s="129"/>
      <c r="K21" s="129"/>
      <c r="L21" s="127"/>
      <c r="M21" s="118"/>
      <c r="O21" s="116"/>
      <c r="Q21" s="129"/>
      <c r="S21" s="151"/>
      <c r="U21" s="158"/>
      <c r="V21" s="151"/>
      <c r="W21" s="151"/>
      <c r="X21" s="151"/>
      <c r="Y21" s="151"/>
      <c r="Z21" s="151"/>
    </row>
    <row r="22" spans="2:26">
      <c r="B22" s="134">
        <f t="shared" si="0"/>
        <v>2028</v>
      </c>
      <c r="C22" s="135"/>
      <c r="D22" s="127"/>
      <c r="E22" s="146"/>
      <c r="F22" s="127"/>
      <c r="G22" s="129"/>
      <c r="H22" s="185"/>
      <c r="I22" s="127"/>
      <c r="J22" s="129"/>
      <c r="K22" s="129"/>
      <c r="L22" s="127"/>
      <c r="M22" s="118"/>
      <c r="O22" s="116"/>
      <c r="Q22" s="129"/>
      <c r="S22" s="151"/>
      <c r="U22" s="158"/>
      <c r="V22" s="151"/>
      <c r="W22" s="151"/>
      <c r="X22" s="151"/>
      <c r="Y22" s="151"/>
      <c r="Z22" s="151"/>
    </row>
    <row r="23" spans="2:26">
      <c r="B23" s="134">
        <f t="shared" si="0"/>
        <v>2029</v>
      </c>
      <c r="C23" s="135"/>
      <c r="D23" s="127"/>
      <c r="E23" s="146"/>
      <c r="F23" s="127"/>
      <c r="G23" s="129"/>
      <c r="H23" s="185"/>
      <c r="I23" s="127"/>
      <c r="J23" s="129"/>
      <c r="K23" s="129"/>
      <c r="L23" s="127"/>
      <c r="M23" s="118"/>
      <c r="O23" s="116"/>
      <c r="Q23" s="129"/>
      <c r="S23" s="151"/>
      <c r="U23" s="158"/>
      <c r="V23" s="151"/>
      <c r="W23" s="151"/>
      <c r="X23" s="151"/>
      <c r="Y23" s="151"/>
      <c r="Z23" s="151"/>
    </row>
    <row r="24" spans="2:26">
      <c r="B24" s="134">
        <f t="shared" si="0"/>
        <v>2030</v>
      </c>
      <c r="C24" s="330">
        <v>1552.7760000000001</v>
      </c>
      <c r="D24" s="127">
        <f>C24*$C$62</f>
        <v>108.37256698131416</v>
      </c>
      <c r="E24" s="365">
        <f>6390.65271282369/200</f>
        <v>31.953263564118451</v>
      </c>
      <c r="F24" s="127"/>
      <c r="G24" s="129">
        <f t="shared" ref="G24:G37" si="1">(D24+E24+F24)/(8.76*$C$63)</f>
        <v>36.723820329095965</v>
      </c>
      <c r="H24" s="378">
        <v>0.80400000000000005</v>
      </c>
      <c r="I24" s="127"/>
      <c r="J24" s="129">
        <f t="shared" ref="J24:J37" si="2">(G24+H24+I24)</f>
        <v>37.527820329095967</v>
      </c>
      <c r="K24" s="129">
        <f t="shared" ref="K24:K37" si="3">ROUND(J24*$C$63*8.76,2)</f>
        <v>143.4</v>
      </c>
      <c r="L24" s="127">
        <f t="shared" ref="L24:L37" si="4">(D24+E24+F24)</f>
        <v>140.32583054543261</v>
      </c>
      <c r="M24" s="118"/>
      <c r="O24" s="116"/>
      <c r="Q24" s="129"/>
      <c r="S24" s="151"/>
      <c r="U24" s="158"/>
      <c r="V24" s="151"/>
      <c r="W24" s="151"/>
      <c r="X24" s="151"/>
      <c r="Y24" s="151"/>
      <c r="Z24" s="151"/>
    </row>
    <row r="25" spans="2:26">
      <c r="B25" s="134">
        <f t="shared" si="0"/>
        <v>2031</v>
      </c>
      <c r="C25" s="135"/>
      <c r="D25" s="382">
        <f t="shared" ref="D25:D37" si="5">ROUND(D24*(1+IRP21_Infl_Rate),2)</f>
        <v>110.71</v>
      </c>
      <c r="E25" s="382">
        <f t="shared" ref="E25:E37" si="6">ROUND(E24*(1+IRP21_Infl_Rate),2)</f>
        <v>32.64</v>
      </c>
      <c r="F25" s="127"/>
      <c r="G25" s="129">
        <f t="shared" si="1"/>
        <v>37.515257338679994</v>
      </c>
      <c r="H25" s="382">
        <f t="shared" ref="H25:H37" si="7">ROUND(H24*(1+IRP21_Infl_Rate),2)</f>
        <v>0.82</v>
      </c>
      <c r="I25" s="127"/>
      <c r="J25" s="129">
        <f t="shared" si="2"/>
        <v>38.335257338679995</v>
      </c>
      <c r="K25" s="129">
        <f t="shared" si="3"/>
        <v>146.47999999999999</v>
      </c>
      <c r="L25" s="127">
        <f t="shared" si="4"/>
        <v>143.35</v>
      </c>
      <c r="M25" s="118"/>
      <c r="O25" s="116"/>
      <c r="Q25" s="129"/>
      <c r="S25" s="151"/>
      <c r="U25" s="158"/>
      <c r="V25" s="151"/>
      <c r="W25" s="151"/>
      <c r="X25" s="151"/>
      <c r="Y25" s="151"/>
      <c r="Z25" s="151"/>
    </row>
    <row r="26" spans="2:26">
      <c r="B26" s="134">
        <f t="shared" si="0"/>
        <v>2032</v>
      </c>
      <c r="C26" s="135"/>
      <c r="D26" s="382">
        <f t="shared" si="5"/>
        <v>113.1</v>
      </c>
      <c r="E26" s="382">
        <f t="shared" si="6"/>
        <v>33.340000000000003</v>
      </c>
      <c r="F26" s="127"/>
      <c r="G26" s="129">
        <f t="shared" si="1"/>
        <v>38.323922460246244</v>
      </c>
      <c r="H26" s="382">
        <f t="shared" si="7"/>
        <v>0.84</v>
      </c>
      <c r="I26" s="127"/>
      <c r="J26" s="129">
        <f t="shared" si="2"/>
        <v>39.163922460246248</v>
      </c>
      <c r="K26" s="129">
        <f t="shared" si="3"/>
        <v>149.65</v>
      </c>
      <c r="L26" s="127">
        <f t="shared" si="4"/>
        <v>146.44</v>
      </c>
      <c r="M26" s="118"/>
      <c r="O26" s="116"/>
      <c r="Q26" s="129"/>
      <c r="S26" s="151"/>
      <c r="U26" s="158"/>
      <c r="V26" s="151"/>
      <c r="W26" s="151"/>
      <c r="X26" s="151"/>
      <c r="Y26" s="151"/>
      <c r="Z26" s="151"/>
    </row>
    <row r="27" spans="2:26">
      <c r="B27" s="134">
        <f t="shared" si="0"/>
        <v>2033</v>
      </c>
      <c r="C27" s="135"/>
      <c r="D27" s="382">
        <f t="shared" si="5"/>
        <v>115.54</v>
      </c>
      <c r="E27" s="382">
        <f t="shared" si="6"/>
        <v>34.06</v>
      </c>
      <c r="F27" s="127"/>
      <c r="G27" s="129">
        <f t="shared" si="1"/>
        <v>39.150906856411083</v>
      </c>
      <c r="H27" s="382">
        <f t="shared" si="7"/>
        <v>0.86</v>
      </c>
      <c r="I27" s="127"/>
      <c r="J27" s="129">
        <f t="shared" si="2"/>
        <v>40.010906856411083</v>
      </c>
      <c r="K27" s="129">
        <f t="shared" si="3"/>
        <v>152.88999999999999</v>
      </c>
      <c r="L27" s="127">
        <f t="shared" si="4"/>
        <v>149.60000000000002</v>
      </c>
      <c r="M27" s="118"/>
      <c r="O27" s="116"/>
      <c r="Q27" s="129"/>
      <c r="S27" s="151"/>
      <c r="U27" s="158"/>
      <c r="V27" s="151"/>
      <c r="W27" s="151"/>
      <c r="X27" s="151"/>
      <c r="Y27" s="151"/>
      <c r="Z27" s="151"/>
    </row>
    <row r="28" spans="2:26">
      <c r="B28" s="134">
        <f t="shared" si="0"/>
        <v>2034</v>
      </c>
      <c r="C28" s="135"/>
      <c r="D28" s="382">
        <f t="shared" si="5"/>
        <v>118.03</v>
      </c>
      <c r="E28" s="382">
        <f t="shared" si="6"/>
        <v>34.79</v>
      </c>
      <c r="F28" s="127"/>
      <c r="G28" s="129">
        <f t="shared" si="1"/>
        <v>39.993593487946129</v>
      </c>
      <c r="H28" s="382">
        <f t="shared" si="7"/>
        <v>0.88</v>
      </c>
      <c r="I28" s="127"/>
      <c r="J28" s="129">
        <f t="shared" si="2"/>
        <v>40.873593487946131</v>
      </c>
      <c r="K28" s="129">
        <f t="shared" si="3"/>
        <v>156.18</v>
      </c>
      <c r="L28" s="127">
        <f t="shared" si="4"/>
        <v>152.82</v>
      </c>
      <c r="M28" s="118"/>
      <c r="O28" s="116"/>
      <c r="Q28" s="129"/>
      <c r="S28" s="151"/>
      <c r="U28" s="158"/>
      <c r="V28" s="151"/>
      <c r="W28" s="151"/>
      <c r="X28" s="151"/>
      <c r="Y28" s="151"/>
      <c r="Z28" s="151"/>
    </row>
    <row r="29" spans="2:26">
      <c r="B29" s="134">
        <f t="shared" si="0"/>
        <v>2035</v>
      </c>
      <c r="C29" s="135"/>
      <c r="D29" s="382">
        <f t="shared" si="5"/>
        <v>120.57</v>
      </c>
      <c r="E29" s="382">
        <f t="shared" si="6"/>
        <v>35.54</v>
      </c>
      <c r="F29" s="127"/>
      <c r="G29" s="129">
        <f t="shared" si="1"/>
        <v>40.854599394079763</v>
      </c>
      <c r="H29" s="382">
        <f t="shared" si="7"/>
        <v>0.9</v>
      </c>
      <c r="I29" s="127"/>
      <c r="J29" s="129">
        <f t="shared" si="2"/>
        <v>41.754599394079762</v>
      </c>
      <c r="K29" s="129">
        <f t="shared" si="3"/>
        <v>159.55000000000001</v>
      </c>
      <c r="L29" s="127">
        <f t="shared" si="4"/>
        <v>156.10999999999999</v>
      </c>
      <c r="M29" s="118"/>
      <c r="O29" s="116"/>
      <c r="Q29" s="129"/>
      <c r="S29" s="151"/>
      <c r="U29" s="158"/>
      <c r="V29" s="151"/>
      <c r="W29" s="151"/>
      <c r="X29" s="151"/>
      <c r="Y29" s="151"/>
      <c r="Z29" s="151"/>
    </row>
    <row r="30" spans="2:26">
      <c r="B30" s="134">
        <f t="shared" si="0"/>
        <v>2036</v>
      </c>
      <c r="C30" s="135"/>
      <c r="D30" s="382">
        <f t="shared" si="5"/>
        <v>123.17</v>
      </c>
      <c r="E30" s="382">
        <f t="shared" si="6"/>
        <v>36.31</v>
      </c>
      <c r="F30" s="127"/>
      <c r="G30" s="129">
        <f t="shared" si="1"/>
        <v>41.73654161404037</v>
      </c>
      <c r="H30" s="382">
        <f t="shared" si="7"/>
        <v>0.92</v>
      </c>
      <c r="I30" s="127"/>
      <c r="J30" s="129">
        <f t="shared" si="2"/>
        <v>42.656541614040371</v>
      </c>
      <c r="K30" s="129">
        <f t="shared" si="3"/>
        <v>163</v>
      </c>
      <c r="L30" s="127">
        <f t="shared" si="4"/>
        <v>159.48000000000002</v>
      </c>
      <c r="M30" s="118"/>
      <c r="O30" s="116"/>
      <c r="Q30" s="129"/>
      <c r="S30" s="151"/>
      <c r="U30" s="158"/>
      <c r="V30" s="151"/>
      <c r="W30" s="151"/>
      <c r="X30" s="151"/>
      <c r="Y30" s="151"/>
      <c r="Z30" s="151"/>
    </row>
    <row r="31" spans="2:26">
      <c r="B31" s="134">
        <f t="shared" si="0"/>
        <v>2037</v>
      </c>
      <c r="C31" s="135"/>
      <c r="D31" s="382">
        <f t="shared" si="5"/>
        <v>125.82</v>
      </c>
      <c r="E31" s="382">
        <f t="shared" si="6"/>
        <v>37.090000000000003</v>
      </c>
      <c r="F31" s="127"/>
      <c r="G31" s="129">
        <f t="shared" si="1"/>
        <v>42.634186069371175</v>
      </c>
      <c r="H31" s="382">
        <f t="shared" si="7"/>
        <v>0.94</v>
      </c>
      <c r="I31" s="127"/>
      <c r="J31" s="129">
        <f t="shared" si="2"/>
        <v>43.574186069371173</v>
      </c>
      <c r="K31" s="129">
        <f t="shared" si="3"/>
        <v>166.5</v>
      </c>
      <c r="L31" s="127">
        <f t="shared" si="4"/>
        <v>162.91</v>
      </c>
      <c r="M31" s="118"/>
      <c r="O31" s="116"/>
      <c r="Q31" s="129"/>
      <c r="S31" s="151"/>
      <c r="U31" s="158"/>
      <c r="V31" s="151"/>
      <c r="W31" s="151"/>
      <c r="X31" s="151"/>
      <c r="Y31" s="151"/>
      <c r="Z31" s="151"/>
    </row>
    <row r="32" spans="2:26">
      <c r="B32" s="134">
        <f t="shared" si="0"/>
        <v>2038</v>
      </c>
      <c r="C32" s="135"/>
      <c r="D32" s="382">
        <f t="shared" si="5"/>
        <v>128.53</v>
      </c>
      <c r="E32" s="382">
        <f t="shared" si="6"/>
        <v>37.89</v>
      </c>
      <c r="F32" s="127"/>
      <c r="G32" s="129">
        <f t="shared" si="1"/>
        <v>43.552766838528953</v>
      </c>
      <c r="H32" s="382">
        <f t="shared" si="7"/>
        <v>0.96</v>
      </c>
      <c r="I32" s="127"/>
      <c r="J32" s="129">
        <f t="shared" si="2"/>
        <v>44.512766838528954</v>
      </c>
      <c r="K32" s="129">
        <f t="shared" si="3"/>
        <v>170.09</v>
      </c>
      <c r="L32" s="127">
        <f t="shared" si="4"/>
        <v>166.42000000000002</v>
      </c>
      <c r="M32" s="118"/>
      <c r="O32" s="116"/>
      <c r="Q32" s="129"/>
      <c r="S32" s="151"/>
      <c r="U32" s="158"/>
      <c r="V32" s="151"/>
      <c r="W32" s="151"/>
      <c r="X32" s="151"/>
      <c r="Y32" s="151"/>
      <c r="Z32" s="151"/>
    </row>
    <row r="33" spans="2:28">
      <c r="B33" s="134">
        <f t="shared" si="0"/>
        <v>2039</v>
      </c>
      <c r="C33" s="135"/>
      <c r="D33" s="382">
        <f t="shared" si="5"/>
        <v>131.30000000000001</v>
      </c>
      <c r="E33" s="382">
        <f t="shared" si="6"/>
        <v>38.71</v>
      </c>
      <c r="F33" s="127"/>
      <c r="G33" s="129">
        <f t="shared" si="1"/>
        <v>44.492283921513689</v>
      </c>
      <c r="H33" s="382">
        <f t="shared" si="7"/>
        <v>0.98</v>
      </c>
      <c r="I33" s="127"/>
      <c r="J33" s="129">
        <f t="shared" si="2"/>
        <v>45.472283921513686</v>
      </c>
      <c r="K33" s="129">
        <f t="shared" si="3"/>
        <v>173.75</v>
      </c>
      <c r="L33" s="127">
        <f t="shared" si="4"/>
        <v>170.01000000000002</v>
      </c>
      <c r="M33" s="118"/>
      <c r="O33" s="116"/>
      <c r="AB33" s="264"/>
    </row>
    <row r="34" spans="2:28">
      <c r="B34" s="134">
        <f t="shared" si="0"/>
        <v>2040</v>
      </c>
      <c r="C34" s="135"/>
      <c r="D34" s="382">
        <f t="shared" si="5"/>
        <v>134.13</v>
      </c>
      <c r="E34" s="382">
        <f t="shared" si="6"/>
        <v>39.54</v>
      </c>
      <c r="F34" s="127"/>
      <c r="G34" s="129">
        <f t="shared" si="1"/>
        <v>45.450120279097</v>
      </c>
      <c r="H34" s="382">
        <f t="shared" si="7"/>
        <v>1</v>
      </c>
      <c r="I34" s="127"/>
      <c r="J34" s="129">
        <f t="shared" si="2"/>
        <v>46.450120279097</v>
      </c>
      <c r="K34" s="129">
        <f t="shared" si="3"/>
        <v>177.49</v>
      </c>
      <c r="L34" s="127">
        <f t="shared" si="4"/>
        <v>173.67</v>
      </c>
      <c r="M34" s="118"/>
      <c r="O34" s="116"/>
      <c r="AB34" s="264"/>
    </row>
    <row r="35" spans="2:28">
      <c r="B35" s="134">
        <f t="shared" si="0"/>
        <v>2041</v>
      </c>
      <c r="C35" s="135"/>
      <c r="D35" s="382">
        <f t="shared" si="5"/>
        <v>137.02000000000001</v>
      </c>
      <c r="E35" s="382">
        <f t="shared" si="6"/>
        <v>40.39</v>
      </c>
      <c r="F35" s="127"/>
      <c r="G35" s="129">
        <f t="shared" si="1"/>
        <v>46.428892950507283</v>
      </c>
      <c r="H35" s="382">
        <f t="shared" si="7"/>
        <v>1.02</v>
      </c>
      <c r="I35" s="127"/>
      <c r="J35" s="129">
        <f t="shared" si="2"/>
        <v>47.448892950507286</v>
      </c>
      <c r="K35" s="129">
        <f t="shared" si="3"/>
        <v>181.31</v>
      </c>
      <c r="L35" s="127">
        <f t="shared" si="4"/>
        <v>177.41000000000003</v>
      </c>
      <c r="M35" s="118"/>
      <c r="O35" s="116"/>
      <c r="AB35" s="264"/>
    </row>
    <row r="36" spans="2:28">
      <c r="B36" s="134">
        <f t="shared" si="0"/>
        <v>2042</v>
      </c>
      <c r="C36" s="135"/>
      <c r="D36" s="382">
        <f t="shared" si="5"/>
        <v>139.97</v>
      </c>
      <c r="E36" s="382">
        <f t="shared" si="6"/>
        <v>41.26</v>
      </c>
      <c r="F36" s="127"/>
      <c r="G36" s="129">
        <f t="shared" si="1"/>
        <v>47.42860193574451</v>
      </c>
      <c r="H36" s="382">
        <f t="shared" si="7"/>
        <v>1.04</v>
      </c>
      <c r="I36" s="127"/>
      <c r="J36" s="129">
        <f t="shared" si="2"/>
        <v>48.468601935744509</v>
      </c>
      <c r="K36" s="129">
        <f t="shared" si="3"/>
        <v>185.2</v>
      </c>
      <c r="L36" s="127">
        <f t="shared" si="4"/>
        <v>181.23</v>
      </c>
      <c r="M36" s="118"/>
      <c r="O36" s="116"/>
      <c r="AB36" s="264"/>
    </row>
    <row r="37" spans="2:28">
      <c r="B37" s="134">
        <f t="shared" si="0"/>
        <v>2043</v>
      </c>
      <c r="C37" s="135"/>
      <c r="D37" s="382">
        <f t="shared" si="5"/>
        <v>142.99</v>
      </c>
      <c r="E37" s="382">
        <f t="shared" si="6"/>
        <v>42.15</v>
      </c>
      <c r="F37" s="127"/>
      <c r="G37" s="129">
        <f t="shared" si="1"/>
        <v>48.451864274037078</v>
      </c>
      <c r="H37" s="382">
        <f t="shared" si="7"/>
        <v>1.06</v>
      </c>
      <c r="I37" s="127"/>
      <c r="J37" s="129">
        <f t="shared" si="2"/>
        <v>49.51186427403708</v>
      </c>
      <c r="K37" s="129">
        <f t="shared" si="3"/>
        <v>189.19</v>
      </c>
      <c r="L37" s="127">
        <f t="shared" si="4"/>
        <v>185.14000000000001</v>
      </c>
      <c r="AB37" s="264"/>
    </row>
    <row r="38" spans="2:28">
      <c r="B38" s="125"/>
      <c r="C38" s="130"/>
      <c r="D38" s="127"/>
      <c r="E38" s="127"/>
      <c r="F38" s="128"/>
      <c r="G38" s="127"/>
      <c r="H38" s="127"/>
      <c r="I38" s="127"/>
      <c r="J38" s="129"/>
      <c r="K38" s="129"/>
      <c r="L38" s="136"/>
      <c r="AB38" s="264"/>
    </row>
    <row r="39" spans="2:28">
      <c r="B39" s="125"/>
      <c r="C39" s="130"/>
      <c r="D39" s="127"/>
      <c r="E39" s="127"/>
      <c r="F39" s="128"/>
      <c r="G39" s="127"/>
      <c r="H39" s="127"/>
      <c r="I39" s="127"/>
      <c r="J39" s="129"/>
      <c r="K39" s="129"/>
      <c r="L39" s="136"/>
      <c r="AB39" s="264"/>
    </row>
    <row r="40" spans="2:28">
      <c r="B40" s="125"/>
      <c r="C40" s="130"/>
      <c r="D40" s="127"/>
      <c r="E40" s="127"/>
      <c r="F40" s="128"/>
      <c r="G40" s="127"/>
      <c r="H40" s="127"/>
      <c r="I40" s="127"/>
      <c r="J40" s="129"/>
      <c r="K40" s="129"/>
      <c r="L40" s="136"/>
      <c r="AB40" s="264"/>
    </row>
    <row r="41" spans="2:28">
      <c r="AB41" s="264"/>
    </row>
    <row r="42" spans="2:28" ht="13.8">
      <c r="B42" s="137" t="s">
        <v>25</v>
      </c>
      <c r="C42" s="138"/>
      <c r="D42" s="138"/>
      <c r="E42" s="138"/>
      <c r="F42" s="138"/>
      <c r="G42" s="138"/>
      <c r="H42" s="138"/>
      <c r="I42" s="138"/>
      <c r="AB42" s="264"/>
    </row>
    <row r="43" spans="2:28">
      <c r="AB43" s="264"/>
    </row>
    <row r="44" spans="2:28">
      <c r="B44" s="116" t="s">
        <v>63</v>
      </c>
      <c r="C44" s="139" t="s">
        <v>64</v>
      </c>
      <c r="D44" s="285" t="s">
        <v>159</v>
      </c>
      <c r="AB44" s="264"/>
    </row>
    <row r="45" spans="2:28">
      <c r="C45" s="139" t="str">
        <f>C7</f>
        <v>(a)</v>
      </c>
      <c r="D45" s="116" t="s">
        <v>65</v>
      </c>
      <c r="AB45" s="264"/>
    </row>
    <row r="46" spans="2:28">
      <c r="C46" s="139" t="str">
        <f>D7</f>
        <v>(b)</v>
      </c>
      <c r="D46" s="129" t="str">
        <f>"= "&amp;C7&amp;" x "&amp;C62</f>
        <v>= (a) x 0.0697927885163824</v>
      </c>
      <c r="AB46" s="264"/>
    </row>
    <row r="47" spans="2:28">
      <c r="C47" s="139" t="str">
        <f>G7</f>
        <v>(e)</v>
      </c>
      <c r="D47" s="129" t="str">
        <f>"= ("&amp;$D$7&amp;" + "&amp;$E$7&amp;") /  (8.76 x "&amp;TEXT(C63,"0.0%")&amp;")"</f>
        <v>= ((b) + (c)) /  (8.76 x 43.6%)</v>
      </c>
      <c r="AB47" s="264"/>
    </row>
    <row r="48" spans="2:28">
      <c r="C48" s="139" t="str">
        <f>J7</f>
        <v>(h)</v>
      </c>
      <c r="D48" s="129" t="str">
        <f>"= "&amp;$G$7&amp;" + "&amp;$H$7&amp;" + "&amp;$I$7</f>
        <v>= (e) + (f) + (g)</v>
      </c>
    </row>
    <row r="49" spans="2:28">
      <c r="C49" s="139" t="str">
        <f>L7</f>
        <v>(i)</v>
      </c>
      <c r="D49" s="85" t="str">
        <f>D44</f>
        <v>Plant Costs  - 2021 IRP Update - Table 7.1 &amp; 7.2</v>
      </c>
      <c r="AB49" s="265"/>
    </row>
    <row r="50" spans="2:28">
      <c r="C50" s="139"/>
      <c r="D50" s="129"/>
    </row>
    <row r="51" spans="2:28" ht="13.8" thickBot="1"/>
    <row r="52" spans="2:28" ht="13.8" thickBot="1">
      <c r="C52" s="42" t="str">
        <f>B2&amp;" - "&amp;B3</f>
        <v>2021 IRP Wyoming DJ Wind Resource - 44% Capacity Factor</v>
      </c>
      <c r="D52" s="140"/>
      <c r="E52" s="140"/>
      <c r="F52" s="140"/>
      <c r="G52" s="140"/>
      <c r="H52" s="140"/>
      <c r="I52" s="140"/>
      <c r="J52" s="141"/>
      <c r="K52" s="141"/>
      <c r="L52" s="142"/>
    </row>
    <row r="53" spans="2:28" ht="13.8" thickBot="1">
      <c r="C53" s="143" t="s">
        <v>66</v>
      </c>
      <c r="D53" s="144" t="s">
        <v>67</v>
      </c>
      <c r="E53" s="144"/>
      <c r="F53" s="144"/>
      <c r="G53" s="144"/>
      <c r="H53" s="144"/>
      <c r="I53" s="145"/>
      <c r="J53" s="141"/>
      <c r="K53" s="141"/>
      <c r="L53" s="142"/>
    </row>
    <row r="54" spans="2:28">
      <c r="Q54" s="116" t="s">
        <v>98</v>
      </c>
      <c r="R54" s="116">
        <v>2030</v>
      </c>
    </row>
    <row r="55" spans="2:28">
      <c r="B55" s="346" t="s">
        <v>186</v>
      </c>
      <c r="C55" s="167">
        <f>310555.2/200</f>
        <v>1552.7760000000001</v>
      </c>
      <c r="D55" s="116" t="s">
        <v>65</v>
      </c>
      <c r="P55" s="116">
        <v>200</v>
      </c>
      <c r="Q55" s="116" t="s">
        <v>32</v>
      </c>
    </row>
    <row r="56" spans="2:28">
      <c r="B56" s="346" t="s">
        <v>186</v>
      </c>
      <c r="C56" s="255">
        <f>6390.65271282369/200</f>
        <v>31.953263564118451</v>
      </c>
      <c r="D56" s="116" t="s">
        <v>68</v>
      </c>
    </row>
    <row r="57" spans="2:28" ht="24" customHeight="1">
      <c r="B57" s="85"/>
      <c r="C57" s="257"/>
      <c r="D57" s="116" t="s">
        <v>99</v>
      </c>
      <c r="R57" s="200"/>
    </row>
    <row r="58" spans="2:28">
      <c r="B58" s="346" t="s">
        <v>186</v>
      </c>
      <c r="C58" s="255">
        <v>0.80400000000000005</v>
      </c>
      <c r="D58" s="116" t="s">
        <v>69</v>
      </c>
      <c r="F58" s="116" t="s">
        <v>128</v>
      </c>
      <c r="L58" s="118"/>
      <c r="M58" s="147"/>
      <c r="N58" s="52"/>
      <c r="O58" s="160"/>
      <c r="P58" s="52"/>
      <c r="Q58" s="52"/>
      <c r="R58" s="118"/>
      <c r="S58" s="118"/>
      <c r="U58" s="118"/>
      <c r="V58" s="118"/>
      <c r="W58" s="118"/>
      <c r="X58" s="118"/>
      <c r="Y58" s="118"/>
      <c r="Z58" s="118"/>
    </row>
    <row r="59" spans="2:28">
      <c r="B59" s="85"/>
      <c r="C59" s="156"/>
      <c r="D59" s="116" t="s">
        <v>70</v>
      </c>
      <c r="J59" s="184" t="s">
        <v>90</v>
      </c>
      <c r="M59" s="149"/>
      <c r="N59" s="150"/>
      <c r="P59" s="148"/>
      <c r="Q59" s="118"/>
      <c r="R59" s="118"/>
      <c r="S59" s="118"/>
      <c r="U59" s="118"/>
      <c r="V59" s="118"/>
      <c r="W59" s="118"/>
      <c r="X59" s="118"/>
      <c r="Y59" s="118"/>
      <c r="Z59" s="118"/>
    </row>
    <row r="60" spans="2:28">
      <c r="B60" s="346"/>
      <c r="C60" s="257">
        <v>0</v>
      </c>
      <c r="D60" s="116" t="s">
        <v>153</v>
      </c>
      <c r="F60" s="261"/>
      <c r="L60" s="149"/>
      <c r="M60" s="149"/>
      <c r="N60" s="149"/>
      <c r="O60" s="161"/>
      <c r="P60" s="148"/>
      <c r="Q60" s="118"/>
      <c r="R60" s="118"/>
      <c r="S60" s="118"/>
      <c r="U60" s="118"/>
      <c r="V60" s="118"/>
      <c r="W60" s="118"/>
      <c r="X60" s="118"/>
      <c r="Y60" s="118"/>
      <c r="Z60" s="118"/>
    </row>
    <row r="61" spans="2:28">
      <c r="B61" s="85"/>
      <c r="C61" s="186"/>
      <c r="L61" s="149"/>
      <c r="M61" s="149"/>
      <c r="N61" s="149"/>
      <c r="O61" s="161"/>
      <c r="P61" s="149"/>
      <c r="S61" s="118"/>
      <c r="U61" s="118"/>
      <c r="V61" s="118"/>
      <c r="W61" s="118"/>
      <c r="X61" s="118"/>
      <c r="Y61" s="118"/>
      <c r="Z61" s="118"/>
    </row>
    <row r="62" spans="2:28" ht="13.8">
      <c r="C62" s="256">
        <v>6.9792788516382376E-2</v>
      </c>
      <c r="D62" s="116" t="s">
        <v>36</v>
      </c>
      <c r="L62" s="153"/>
      <c r="M62" s="154"/>
      <c r="N62" s="154"/>
      <c r="P62" s="155"/>
    </row>
    <row r="63" spans="2:28">
      <c r="C63" s="194">
        <v>0.43620000000024889</v>
      </c>
      <c r="D63" s="116" t="s">
        <v>37</v>
      </c>
    </row>
    <row r="64" spans="2:28">
      <c r="D64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5C45-E661-4375-B0B1-086B6D4C020E}">
  <sheetPr>
    <tabColor rgb="FFFFC000"/>
    <pageSetUpPr fitToPage="1"/>
  </sheetPr>
  <dimension ref="B1:AD102"/>
  <sheetViews>
    <sheetView topLeftCell="A3" zoomScale="70" zoomScaleNormal="70" workbookViewId="0">
      <selection activeCell="C24" sqref="C24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330">
        <f>221123.288/83</f>
        <v>2664.136</v>
      </c>
      <c r="D22" s="127">
        <f>C22*$C$62</f>
        <v>144.36368381336902</v>
      </c>
      <c r="E22" s="365">
        <f>5722.71583561707/83</f>
        <v>68.948383561651454</v>
      </c>
      <c r="F22" s="370">
        <f>$C$60</f>
        <v>9.0939944302083777</v>
      </c>
      <c r="G22" s="129">
        <f t="shared" ref="G22:G37" si="1">(D22+E22+F22)/(8.76*$C$63)</f>
        <v>86.651262255220317</v>
      </c>
      <c r="H22" s="127"/>
      <c r="I22" s="129">
        <f t="shared" ref="I22:I37" si="2">(G22+H22)</f>
        <v>86.651262255220317</v>
      </c>
      <c r="J22" s="129">
        <f t="shared" ref="J22:J37" si="3">ROUND(I22*$C$63*8.76,2)</f>
        <v>222.41</v>
      </c>
      <c r="K22" s="127">
        <f t="shared" ref="K22:K37" si="4">(D22+E22+F22)</f>
        <v>222.40606180522886</v>
      </c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382">
        <f t="shared" ref="D23:F37" si="5">ROUND(D22*(1+IRP21_Infl_Rate),2)</f>
        <v>147.47</v>
      </c>
      <c r="E23" s="382">
        <f t="shared" si="5"/>
        <v>70.430000000000007</v>
      </c>
      <c r="F23" s="382">
        <f t="shared" si="5"/>
        <v>9.2899999999999991</v>
      </c>
      <c r="G23" s="129">
        <f t="shared" si="1"/>
        <v>88.515124596755342</v>
      </c>
      <c r="H23" s="127"/>
      <c r="I23" s="129">
        <f t="shared" si="2"/>
        <v>88.515124596755342</v>
      </c>
      <c r="J23" s="129">
        <f t="shared" si="3"/>
        <v>227.19</v>
      </c>
      <c r="K23" s="127">
        <f t="shared" si="4"/>
        <v>227.19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382">
        <f t="shared" si="5"/>
        <v>150.65</v>
      </c>
      <c r="E24" s="382">
        <f t="shared" si="5"/>
        <v>71.95</v>
      </c>
      <c r="F24" s="382">
        <f t="shared" si="5"/>
        <v>9.49</v>
      </c>
      <c r="G24" s="129">
        <f t="shared" si="1"/>
        <v>90.424205588542421</v>
      </c>
      <c r="H24" s="127"/>
      <c r="I24" s="129">
        <f t="shared" si="2"/>
        <v>90.424205588542421</v>
      </c>
      <c r="J24" s="129">
        <f t="shared" si="3"/>
        <v>232.09</v>
      </c>
      <c r="K24" s="127">
        <f t="shared" si="4"/>
        <v>232.09000000000003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2">
        <f t="shared" si="5"/>
        <v>153.9</v>
      </c>
      <c r="E25" s="382">
        <f t="shared" si="5"/>
        <v>73.5</v>
      </c>
      <c r="F25" s="382">
        <f t="shared" si="5"/>
        <v>9.69</v>
      </c>
      <c r="G25" s="129">
        <f t="shared" si="1"/>
        <v>92.372247416896542</v>
      </c>
      <c r="H25" s="127"/>
      <c r="I25" s="129">
        <f t="shared" si="2"/>
        <v>92.372247416896542</v>
      </c>
      <c r="J25" s="129">
        <f t="shared" si="3"/>
        <v>237.09</v>
      </c>
      <c r="K25" s="127">
        <f t="shared" si="4"/>
        <v>237.09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2">
        <f t="shared" si="5"/>
        <v>157.22</v>
      </c>
      <c r="E26" s="382">
        <f t="shared" si="5"/>
        <v>75.08</v>
      </c>
      <c r="F26" s="382">
        <f t="shared" si="5"/>
        <v>9.9</v>
      </c>
      <c r="G26" s="129">
        <f t="shared" si="1"/>
        <v>94.363146165474475</v>
      </c>
      <c r="H26" s="127"/>
      <c r="I26" s="129">
        <f t="shared" si="2"/>
        <v>94.363146165474475</v>
      </c>
      <c r="J26" s="129">
        <f t="shared" si="3"/>
        <v>242.2</v>
      </c>
      <c r="K26" s="127">
        <f t="shared" si="4"/>
        <v>242.20000000000002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2">
        <f t="shared" si="5"/>
        <v>160.61000000000001</v>
      </c>
      <c r="E27" s="382">
        <f t="shared" si="5"/>
        <v>76.7</v>
      </c>
      <c r="F27" s="382">
        <f t="shared" si="5"/>
        <v>10.11</v>
      </c>
      <c r="G27" s="129">
        <f t="shared" si="1"/>
        <v>96.396901834276193</v>
      </c>
      <c r="H27" s="127"/>
      <c r="I27" s="129">
        <f t="shared" si="2"/>
        <v>96.396901834276193</v>
      </c>
      <c r="J27" s="129">
        <f t="shared" si="3"/>
        <v>247.42</v>
      </c>
      <c r="K27" s="127">
        <f t="shared" si="4"/>
        <v>247.42000000000002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2">
        <f t="shared" si="5"/>
        <v>164.07</v>
      </c>
      <c r="E28" s="382">
        <f t="shared" si="5"/>
        <v>78.349999999999994</v>
      </c>
      <c r="F28" s="382">
        <f t="shared" si="5"/>
        <v>10.33</v>
      </c>
      <c r="G28" s="129">
        <f t="shared" si="1"/>
        <v>98.473514423301708</v>
      </c>
      <c r="H28" s="127"/>
      <c r="I28" s="129">
        <f t="shared" si="2"/>
        <v>98.473514423301708</v>
      </c>
      <c r="J28" s="129">
        <f t="shared" si="3"/>
        <v>252.75</v>
      </c>
      <c r="K28" s="127">
        <f t="shared" si="4"/>
        <v>252.75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2">
        <f t="shared" si="5"/>
        <v>167.61</v>
      </c>
      <c r="E29" s="382">
        <f t="shared" si="5"/>
        <v>80.040000000000006</v>
      </c>
      <c r="F29" s="382">
        <f t="shared" si="5"/>
        <v>10.55</v>
      </c>
      <c r="G29" s="129">
        <f t="shared" si="1"/>
        <v>100.59688001620773</v>
      </c>
      <c r="H29" s="127"/>
      <c r="I29" s="129">
        <f t="shared" si="2"/>
        <v>100.59688001620773</v>
      </c>
      <c r="J29" s="129">
        <f t="shared" si="3"/>
        <v>258.2</v>
      </c>
      <c r="K29" s="127">
        <f t="shared" si="4"/>
        <v>258.20000000000005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2">
        <f t="shared" si="5"/>
        <v>171.22</v>
      </c>
      <c r="E30" s="382">
        <f t="shared" si="5"/>
        <v>81.760000000000005</v>
      </c>
      <c r="F30" s="382">
        <f t="shared" si="5"/>
        <v>10.78</v>
      </c>
      <c r="G30" s="129">
        <f t="shared" si="1"/>
        <v>102.76310252933752</v>
      </c>
      <c r="H30" s="127"/>
      <c r="I30" s="129">
        <f t="shared" si="2"/>
        <v>102.76310252933752</v>
      </c>
      <c r="J30" s="129">
        <f t="shared" si="3"/>
        <v>263.76</v>
      </c>
      <c r="K30" s="127">
        <f t="shared" si="4"/>
        <v>263.76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2">
        <f t="shared" si="5"/>
        <v>174.91</v>
      </c>
      <c r="E31" s="382">
        <f t="shared" si="5"/>
        <v>83.52</v>
      </c>
      <c r="F31" s="382">
        <f t="shared" si="5"/>
        <v>11.01</v>
      </c>
      <c r="G31" s="129">
        <f t="shared" si="1"/>
        <v>104.97607804634782</v>
      </c>
      <c r="H31" s="127"/>
      <c r="I31" s="129">
        <f t="shared" si="2"/>
        <v>104.97607804634782</v>
      </c>
      <c r="J31" s="129">
        <f t="shared" si="3"/>
        <v>269.44</v>
      </c>
      <c r="K31" s="127">
        <f t="shared" si="4"/>
        <v>269.44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2">
        <f t="shared" si="5"/>
        <v>178.68</v>
      </c>
      <c r="E32" s="382">
        <f t="shared" si="5"/>
        <v>85.32</v>
      </c>
      <c r="F32" s="382">
        <f t="shared" si="5"/>
        <v>11.25</v>
      </c>
      <c r="G32" s="129">
        <f t="shared" si="1"/>
        <v>107.23970265089532</v>
      </c>
      <c r="H32" s="127"/>
      <c r="I32" s="129">
        <f t="shared" si="2"/>
        <v>107.23970265089532</v>
      </c>
      <c r="J32" s="129">
        <f t="shared" si="3"/>
        <v>275.25</v>
      </c>
      <c r="K32" s="127">
        <f t="shared" si="4"/>
        <v>275.25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2">
        <f t="shared" si="5"/>
        <v>182.53</v>
      </c>
      <c r="E33" s="382">
        <f t="shared" si="5"/>
        <v>87.16</v>
      </c>
      <c r="F33" s="382">
        <f t="shared" si="5"/>
        <v>11.49</v>
      </c>
      <c r="G33" s="129">
        <f t="shared" si="1"/>
        <v>109.55008025932334</v>
      </c>
      <c r="H33" s="127"/>
      <c r="I33" s="129">
        <f t="shared" si="2"/>
        <v>109.55008025932334</v>
      </c>
      <c r="J33" s="129">
        <f t="shared" si="3"/>
        <v>281.18</v>
      </c>
      <c r="K33" s="127">
        <f t="shared" si="4"/>
        <v>281.18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2">
        <f t="shared" si="5"/>
        <v>186.46</v>
      </c>
      <c r="E34" s="382">
        <f t="shared" si="5"/>
        <v>89.04</v>
      </c>
      <c r="F34" s="382">
        <f t="shared" si="5"/>
        <v>11.74</v>
      </c>
      <c r="G34" s="129">
        <f t="shared" si="1"/>
        <v>111.91110695528856</v>
      </c>
      <c r="H34" s="127"/>
      <c r="I34" s="129">
        <f t="shared" si="2"/>
        <v>111.91110695528856</v>
      </c>
      <c r="J34" s="129">
        <f t="shared" si="3"/>
        <v>287.24</v>
      </c>
      <c r="K34" s="127">
        <f t="shared" si="4"/>
        <v>287.24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2">
        <f t="shared" si="5"/>
        <v>190.48</v>
      </c>
      <c r="E35" s="382">
        <f t="shared" si="5"/>
        <v>90.96</v>
      </c>
      <c r="F35" s="382">
        <f t="shared" si="5"/>
        <v>11.99</v>
      </c>
      <c r="G35" s="129">
        <f t="shared" si="1"/>
        <v>114.32278273879098</v>
      </c>
      <c r="H35" s="127"/>
      <c r="I35" s="129">
        <f t="shared" si="2"/>
        <v>114.32278273879098</v>
      </c>
      <c r="J35" s="129">
        <f t="shared" si="3"/>
        <v>293.43</v>
      </c>
      <c r="K35" s="127">
        <f t="shared" si="4"/>
        <v>293.43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2">
        <f t="shared" si="5"/>
        <v>194.58</v>
      </c>
      <c r="E36" s="382">
        <f t="shared" si="5"/>
        <v>92.92</v>
      </c>
      <c r="F36" s="382">
        <f t="shared" si="5"/>
        <v>12.25</v>
      </c>
      <c r="G36" s="129">
        <f t="shared" si="1"/>
        <v>116.7851076098306</v>
      </c>
      <c r="H36" s="127"/>
      <c r="I36" s="129">
        <f t="shared" si="2"/>
        <v>116.7851076098306</v>
      </c>
      <c r="J36" s="129">
        <f t="shared" si="3"/>
        <v>299.75</v>
      </c>
      <c r="K36" s="127">
        <f t="shared" si="4"/>
        <v>299.75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2">
        <f t="shared" si="5"/>
        <v>198.77</v>
      </c>
      <c r="E37" s="382">
        <f t="shared" si="5"/>
        <v>94.92</v>
      </c>
      <c r="F37" s="382">
        <f t="shared" si="5"/>
        <v>12.51</v>
      </c>
      <c r="G37" s="129">
        <f t="shared" si="1"/>
        <v>119.29808156840744</v>
      </c>
      <c r="H37" s="127"/>
      <c r="I37" s="129">
        <f t="shared" si="2"/>
        <v>119.29808156840744</v>
      </c>
      <c r="J37" s="129">
        <f t="shared" si="3"/>
        <v>306.2</v>
      </c>
      <c r="K37" s="127">
        <f t="shared" si="4"/>
        <v>306.2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2028</v>
      </c>
    </row>
    <row r="55" spans="2:25">
      <c r="B55" s="85" t="s">
        <v>160</v>
      </c>
      <c r="C55" s="167"/>
      <c r="D55" s="116" t="s">
        <v>65</v>
      </c>
      <c r="O55" s="265">
        <v>83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6"/>
      <c r="K62" s="153"/>
      <c r="L62" s="154"/>
      <c r="M62" s="154"/>
      <c r="O62" s="155"/>
    </row>
    <row r="63" spans="2:25">
      <c r="C63" s="194">
        <v>0.29299999999999998</v>
      </c>
      <c r="D63" s="116" t="s">
        <v>37</v>
      </c>
    </row>
    <row r="64" spans="2:25" ht="13.8" thickBot="1">
      <c r="D64" s="152"/>
    </row>
    <row r="65" spans="3:14" ht="13.8" thickBot="1">
      <c r="C65" s="40" t="str">
        <f>"Company Official Inflation Forecast Dated "&amp;TEXT('Table 4'!$H$5,"mmmm dd, yyyy")</f>
        <v>Company Official Inflation Forecast Dated December 31, 2021</v>
      </c>
      <c r="D65" s="140"/>
      <c r="E65" s="140"/>
      <c r="F65" s="140"/>
      <c r="G65" s="140"/>
      <c r="H65" s="140"/>
      <c r="I65" s="140"/>
      <c r="J65" s="140"/>
      <c r="K65" s="142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6">C66+1</f>
        <v>2018</v>
      </c>
      <c r="D67" s="41">
        <v>2.4E-2</v>
      </c>
      <c r="E67" s="85"/>
      <c r="F67" s="87">
        <f t="shared" ref="F67:F74" si="7">F66+1</f>
        <v>2027</v>
      </c>
      <c r="G67" s="41">
        <v>2.4E-2</v>
      </c>
      <c r="H67" s="41"/>
      <c r="I67" s="87">
        <f>I66+1</f>
        <v>2036</v>
      </c>
      <c r="J67" s="41">
        <v>2.3E-2</v>
      </c>
    </row>
    <row r="68" spans="3:14">
      <c r="C68" s="87">
        <f t="shared" si="6"/>
        <v>2019</v>
      </c>
      <c r="D68" s="41">
        <v>1.7999999999999999E-2</v>
      </c>
      <c r="E68" s="85"/>
      <c r="F68" s="87">
        <f t="shared" si="7"/>
        <v>2028</v>
      </c>
      <c r="G68" s="41">
        <v>2.4E-2</v>
      </c>
      <c r="H68" s="41"/>
      <c r="I68" s="87">
        <f t="shared" ref="I68:I74" si="8">I67+1</f>
        <v>2037</v>
      </c>
      <c r="J68" s="41">
        <v>2.3E-2</v>
      </c>
    </row>
    <row r="69" spans="3:14">
      <c r="C69" s="87">
        <f t="shared" si="6"/>
        <v>2020</v>
      </c>
      <c r="D69" s="41">
        <v>1.2999999999999999E-2</v>
      </c>
      <c r="E69" s="85"/>
      <c r="F69" s="87">
        <f t="shared" si="7"/>
        <v>2029</v>
      </c>
      <c r="G69" s="41">
        <v>2.4E-2</v>
      </c>
      <c r="H69" s="41"/>
      <c r="I69" s="87">
        <f t="shared" si="8"/>
        <v>2038</v>
      </c>
      <c r="J69" s="41">
        <v>2.3E-2</v>
      </c>
    </row>
    <row r="70" spans="3:14">
      <c r="C70" s="87">
        <f t="shared" si="6"/>
        <v>2021</v>
      </c>
      <c r="D70" s="41">
        <v>4.2999999999999997E-2</v>
      </c>
      <c r="E70" s="85"/>
      <c r="F70" s="87">
        <f t="shared" si="7"/>
        <v>2030</v>
      </c>
      <c r="G70" s="41">
        <v>2.3E-2</v>
      </c>
      <c r="H70" s="41"/>
      <c r="I70" s="87">
        <f t="shared" si="8"/>
        <v>2039</v>
      </c>
      <c r="J70" s="41">
        <v>2.3E-2</v>
      </c>
    </row>
    <row r="71" spans="3:14">
      <c r="C71" s="87">
        <f t="shared" si="6"/>
        <v>2022</v>
      </c>
      <c r="D71" s="41">
        <v>3.6999999999999998E-2</v>
      </c>
      <c r="E71" s="85"/>
      <c r="F71" s="87">
        <f t="shared" si="7"/>
        <v>2031</v>
      </c>
      <c r="G71" s="41">
        <v>2.3E-2</v>
      </c>
      <c r="H71" s="41"/>
      <c r="I71" s="87">
        <f t="shared" si="8"/>
        <v>2040</v>
      </c>
      <c r="J71" s="41">
        <v>2.3E-2</v>
      </c>
    </row>
    <row r="72" spans="3:14" s="118" customFormat="1">
      <c r="C72" s="87">
        <f t="shared" si="6"/>
        <v>2023</v>
      </c>
      <c r="D72" s="41">
        <v>2.3E-2</v>
      </c>
      <c r="E72" s="86"/>
      <c r="F72" s="87">
        <f t="shared" si="7"/>
        <v>2032</v>
      </c>
      <c r="G72" s="41">
        <v>2.3E-2</v>
      </c>
      <c r="H72" s="41"/>
      <c r="I72" s="87">
        <f t="shared" si="8"/>
        <v>2041</v>
      </c>
      <c r="J72" s="41">
        <v>2.3E-2</v>
      </c>
      <c r="N72" s="161"/>
    </row>
    <row r="73" spans="3:14" s="118" customFormat="1">
      <c r="C73" s="87">
        <f t="shared" si="6"/>
        <v>2024</v>
      </c>
      <c r="D73" s="41">
        <v>2.3E-2</v>
      </c>
      <c r="E73" s="86"/>
      <c r="F73" s="87">
        <f t="shared" si="7"/>
        <v>2033</v>
      </c>
      <c r="G73" s="41">
        <v>2.3E-2</v>
      </c>
      <c r="H73" s="41"/>
      <c r="I73" s="87">
        <f t="shared" si="8"/>
        <v>2042</v>
      </c>
      <c r="J73" s="41">
        <v>2.3E-2</v>
      </c>
      <c r="N73" s="161"/>
    </row>
    <row r="74" spans="3:14" s="118" customFormat="1">
      <c r="C74" s="87">
        <f t="shared" si="6"/>
        <v>2025</v>
      </c>
      <c r="D74" s="41">
        <v>2.3E-2</v>
      </c>
      <c r="E74" s="86"/>
      <c r="F74" s="87">
        <f t="shared" si="7"/>
        <v>2034</v>
      </c>
      <c r="G74" s="41">
        <v>2.3E-2</v>
      </c>
      <c r="H74" s="41"/>
      <c r="I74" s="87">
        <f t="shared" si="8"/>
        <v>2043</v>
      </c>
      <c r="J74" s="41">
        <v>2.3E-2</v>
      </c>
      <c r="N74" s="161"/>
    </row>
    <row r="75" spans="3:14" s="118" customFormat="1">
      <c r="N75" s="161"/>
    </row>
    <row r="76" spans="3:14" s="118" customFormat="1">
      <c r="N76" s="161"/>
    </row>
    <row r="93" spans="3:4">
      <c r="C93" s="148"/>
      <c r="D93" s="152"/>
    </row>
    <row r="94" spans="3:4">
      <c r="C94" s="148"/>
      <c r="D94" s="152"/>
    </row>
    <row r="95" spans="3:4">
      <c r="C95" s="148"/>
      <c r="D95" s="152"/>
    </row>
    <row r="96" spans="3:4">
      <c r="C96" s="148"/>
      <c r="D96" s="152"/>
    </row>
    <row r="97" spans="3:4">
      <c r="C97" s="148"/>
      <c r="D97" s="152"/>
    </row>
    <row r="98" spans="3:4">
      <c r="C98" s="148"/>
      <c r="D98" s="152"/>
    </row>
    <row r="99" spans="3:4">
      <c r="C99" s="148"/>
      <c r="D99" s="152"/>
    </row>
    <row r="100" spans="3:4">
      <c r="C100" s="148"/>
      <c r="D100" s="152"/>
    </row>
    <row r="101" spans="3:4">
      <c r="C101" s="148"/>
      <c r="D101" s="152"/>
    </row>
    <row r="102" spans="3:4">
      <c r="C102" s="148"/>
      <c r="D102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4129-E994-425E-8382-E139FFC21514}">
  <sheetPr>
    <tabColor rgb="FFFFC000"/>
    <pageSetUpPr fitToPage="1"/>
  </sheetPr>
  <dimension ref="B1:AD91"/>
  <sheetViews>
    <sheetView zoomScale="70" zoomScaleNormal="70" workbookViewId="0">
      <selection activeCell="C11" sqref="C1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197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29%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Southern Oregon Solar with Storage - 29%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370">
        <f>$C$60</f>
        <v>9.0939944302083777</v>
      </c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382">
        <f t="shared" ref="D23:F37" si="1">ROUND(F22*(1+IRP21_Infl_Rate),2)</f>
        <v>9.2899999999999991</v>
      </c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0">
        <f>967346.939/377</f>
        <v>2565.9070000000002</v>
      </c>
      <c r="D24" s="127">
        <f>C24*$C$62</f>
        <v>139.04086985143036</v>
      </c>
      <c r="E24" s="365">
        <f>26737.970999999/377</f>
        <v>70.922999999997344</v>
      </c>
      <c r="F24" s="382">
        <f t="shared" si="1"/>
        <v>9.49</v>
      </c>
      <c r="G24" s="129">
        <f t="shared" ref="G24:G37" si="2">(D24+E24+F24)/(8.76*$C$63)</f>
        <v>85.516752036034163</v>
      </c>
      <c r="H24" s="127"/>
      <c r="I24" s="129">
        <f t="shared" ref="I24:I37" si="3">(G24+H24)</f>
        <v>85.516752036034163</v>
      </c>
      <c r="J24" s="129">
        <f t="shared" ref="J24:J37" si="4">ROUND(I24*$C$63*8.76,2)</f>
        <v>219.45</v>
      </c>
      <c r="K24" s="127">
        <f t="shared" ref="K24:K37" si="5">(D24+E24+F24)</f>
        <v>219.45386985142773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2">
        <f t="shared" si="1"/>
        <v>142.04</v>
      </c>
      <c r="E25" s="382">
        <f t="shared" si="1"/>
        <v>72.45</v>
      </c>
      <c r="F25" s="382">
        <f t="shared" si="1"/>
        <v>9.69</v>
      </c>
      <c r="G25" s="129">
        <f t="shared" si="2"/>
        <v>87.358429743878204</v>
      </c>
      <c r="H25" s="127"/>
      <c r="I25" s="129">
        <f t="shared" si="3"/>
        <v>87.358429743878204</v>
      </c>
      <c r="J25" s="129">
        <f t="shared" si="4"/>
        <v>224.18</v>
      </c>
      <c r="K25" s="127">
        <f t="shared" si="5"/>
        <v>224.18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2">
        <f t="shared" si="1"/>
        <v>145.1</v>
      </c>
      <c r="E26" s="382">
        <f t="shared" si="1"/>
        <v>74.010000000000005</v>
      </c>
      <c r="F26" s="382">
        <f t="shared" si="1"/>
        <v>9.9</v>
      </c>
      <c r="G26" s="129">
        <f t="shared" si="2"/>
        <v>89.240583440295964</v>
      </c>
      <c r="H26" s="127"/>
      <c r="I26" s="129">
        <f t="shared" si="3"/>
        <v>89.240583440295964</v>
      </c>
      <c r="J26" s="129">
        <f t="shared" si="4"/>
        <v>229.01</v>
      </c>
      <c r="K26" s="127">
        <f t="shared" si="5"/>
        <v>229.01000000000002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2">
        <f t="shared" si="1"/>
        <v>148.22999999999999</v>
      </c>
      <c r="E27" s="382">
        <f t="shared" si="1"/>
        <v>75.599999999999994</v>
      </c>
      <c r="F27" s="382">
        <f t="shared" si="1"/>
        <v>10.11</v>
      </c>
      <c r="G27" s="129">
        <f t="shared" si="2"/>
        <v>91.161705122146785</v>
      </c>
      <c r="H27" s="127"/>
      <c r="I27" s="129">
        <f t="shared" si="3"/>
        <v>91.161705122146785</v>
      </c>
      <c r="J27" s="129">
        <f t="shared" si="4"/>
        <v>233.94</v>
      </c>
      <c r="K27" s="127">
        <f t="shared" si="5"/>
        <v>233.94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2">
        <f t="shared" si="1"/>
        <v>151.41999999999999</v>
      </c>
      <c r="E28" s="382">
        <f t="shared" si="1"/>
        <v>77.23</v>
      </c>
      <c r="F28" s="382">
        <f t="shared" si="1"/>
        <v>10.33</v>
      </c>
      <c r="G28" s="129">
        <f t="shared" si="2"/>
        <v>93.125691587974003</v>
      </c>
      <c r="H28" s="127"/>
      <c r="I28" s="129">
        <f t="shared" si="3"/>
        <v>93.125691587974003</v>
      </c>
      <c r="J28" s="129">
        <f t="shared" si="4"/>
        <v>238.98</v>
      </c>
      <c r="K28" s="127">
        <f t="shared" si="5"/>
        <v>238.98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2">
        <f t="shared" si="1"/>
        <v>154.68</v>
      </c>
      <c r="E29" s="382">
        <f t="shared" si="1"/>
        <v>78.89</v>
      </c>
      <c r="F29" s="382">
        <f t="shared" si="1"/>
        <v>10.55</v>
      </c>
      <c r="G29" s="129">
        <f t="shared" si="2"/>
        <v>95.128646039234312</v>
      </c>
      <c r="H29" s="127"/>
      <c r="I29" s="129">
        <f t="shared" si="3"/>
        <v>95.128646039234312</v>
      </c>
      <c r="J29" s="129">
        <f t="shared" si="4"/>
        <v>244.12</v>
      </c>
      <c r="K29" s="127">
        <f t="shared" si="5"/>
        <v>244.12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2">
        <f t="shared" si="1"/>
        <v>158.01</v>
      </c>
      <c r="E30" s="382">
        <f t="shared" si="1"/>
        <v>80.59</v>
      </c>
      <c r="F30" s="382">
        <f t="shared" si="1"/>
        <v>10.78</v>
      </c>
      <c r="G30" s="129">
        <f t="shared" si="2"/>
        <v>97.178362073014299</v>
      </c>
      <c r="H30" s="127"/>
      <c r="I30" s="129">
        <f t="shared" si="3"/>
        <v>97.178362073014299</v>
      </c>
      <c r="J30" s="129">
        <f t="shared" si="4"/>
        <v>249.38</v>
      </c>
      <c r="K30" s="127">
        <f t="shared" si="5"/>
        <v>249.38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2">
        <f t="shared" si="1"/>
        <v>161.41999999999999</v>
      </c>
      <c r="E31" s="382">
        <f t="shared" si="1"/>
        <v>82.33</v>
      </c>
      <c r="F31" s="382">
        <f t="shared" si="1"/>
        <v>11.01</v>
      </c>
      <c r="G31" s="129">
        <f t="shared" si="2"/>
        <v>99.274839689313993</v>
      </c>
      <c r="H31" s="127"/>
      <c r="I31" s="129">
        <f t="shared" si="3"/>
        <v>99.274839689313993</v>
      </c>
      <c r="J31" s="129">
        <f t="shared" si="4"/>
        <v>254.76</v>
      </c>
      <c r="K31" s="127">
        <f t="shared" si="5"/>
        <v>254.76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2">
        <f t="shared" si="1"/>
        <v>164.9</v>
      </c>
      <c r="E32" s="382">
        <f t="shared" si="1"/>
        <v>84.1</v>
      </c>
      <c r="F32" s="382">
        <f t="shared" si="1"/>
        <v>11.25</v>
      </c>
      <c r="G32" s="129">
        <f t="shared" si="2"/>
        <v>101.41418208959007</v>
      </c>
      <c r="H32" s="127"/>
      <c r="I32" s="129">
        <f t="shared" si="3"/>
        <v>101.41418208959007</v>
      </c>
      <c r="J32" s="129">
        <f t="shared" si="4"/>
        <v>260.25</v>
      </c>
      <c r="K32" s="127">
        <f t="shared" si="5"/>
        <v>260.25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2">
        <f t="shared" si="1"/>
        <v>168.45</v>
      </c>
      <c r="E33" s="382">
        <f t="shared" si="1"/>
        <v>85.91</v>
      </c>
      <c r="F33" s="382">
        <f t="shared" si="1"/>
        <v>11.49</v>
      </c>
      <c r="G33" s="129">
        <f t="shared" si="2"/>
        <v>103.59638927384252</v>
      </c>
      <c r="H33" s="127"/>
      <c r="I33" s="129">
        <f t="shared" si="3"/>
        <v>103.59638927384252</v>
      </c>
      <c r="J33" s="129">
        <f t="shared" si="4"/>
        <v>265.85000000000002</v>
      </c>
      <c r="K33" s="127">
        <f t="shared" si="5"/>
        <v>265.84999999999997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2">
        <f t="shared" si="1"/>
        <v>172.08</v>
      </c>
      <c r="E34" s="382">
        <f t="shared" si="1"/>
        <v>87.76</v>
      </c>
      <c r="F34" s="382">
        <f t="shared" si="1"/>
        <v>11.74</v>
      </c>
      <c r="G34" s="129">
        <f t="shared" si="2"/>
        <v>105.82925483915803</v>
      </c>
      <c r="H34" s="127"/>
      <c r="I34" s="129">
        <f t="shared" si="3"/>
        <v>105.82925483915803</v>
      </c>
      <c r="J34" s="129">
        <f t="shared" si="4"/>
        <v>271.58</v>
      </c>
      <c r="K34" s="127">
        <f t="shared" si="5"/>
        <v>271.58000000000004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2">
        <f t="shared" si="1"/>
        <v>175.79</v>
      </c>
      <c r="E35" s="382">
        <f t="shared" si="1"/>
        <v>89.65</v>
      </c>
      <c r="F35" s="382">
        <f t="shared" si="1"/>
        <v>11.99</v>
      </c>
      <c r="G35" s="129">
        <f t="shared" si="2"/>
        <v>108.10888198699318</v>
      </c>
      <c r="H35" s="127"/>
      <c r="I35" s="129">
        <f t="shared" si="3"/>
        <v>108.10888198699318</v>
      </c>
      <c r="J35" s="129">
        <f t="shared" si="4"/>
        <v>277.43</v>
      </c>
      <c r="K35" s="127">
        <f t="shared" si="5"/>
        <v>277.43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2">
        <f t="shared" si="1"/>
        <v>179.58</v>
      </c>
      <c r="E36" s="382">
        <f t="shared" si="1"/>
        <v>91.58</v>
      </c>
      <c r="F36" s="382">
        <f t="shared" si="1"/>
        <v>12.25</v>
      </c>
      <c r="G36" s="129">
        <f t="shared" si="2"/>
        <v>110.43916751589136</v>
      </c>
      <c r="H36" s="127"/>
      <c r="I36" s="129">
        <f t="shared" si="3"/>
        <v>110.43916751589136</v>
      </c>
      <c r="J36" s="129">
        <f t="shared" si="4"/>
        <v>283.41000000000003</v>
      </c>
      <c r="K36" s="127">
        <f t="shared" si="5"/>
        <v>283.41000000000003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2">
        <f t="shared" si="1"/>
        <v>183.45</v>
      </c>
      <c r="E37" s="382">
        <f t="shared" si="1"/>
        <v>93.55</v>
      </c>
      <c r="F37" s="382">
        <f t="shared" si="1"/>
        <v>12.51</v>
      </c>
      <c r="G37" s="129">
        <f t="shared" si="2"/>
        <v>112.81621462730921</v>
      </c>
      <c r="H37" s="127"/>
      <c r="I37" s="129">
        <f t="shared" si="3"/>
        <v>112.81621462730921</v>
      </c>
      <c r="J37" s="129">
        <f t="shared" si="4"/>
        <v>289.51</v>
      </c>
      <c r="K37" s="127">
        <f t="shared" si="5"/>
        <v>289.51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29.3%)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Southern Oregon Solar with Storage - 29%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216</v>
      </c>
      <c r="C55" s="167">
        <f>967346.939/377</f>
        <v>2565.9070000000002</v>
      </c>
      <c r="D55" s="116" t="s">
        <v>65</v>
      </c>
      <c r="O55" s="265">
        <v>377</v>
      </c>
      <c r="P55" s="116" t="s">
        <v>32</v>
      </c>
    </row>
    <row r="56" spans="2:25">
      <c r="B56" s="85" t="s">
        <v>216</v>
      </c>
      <c r="C56" s="255">
        <f>26737.970999999/377</f>
        <v>70.922999999997344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216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2028$</v>
      </c>
      <c r="C60" s="257">
        <f>INDEX('Table 3 TransCost'!$39:$39,1,MATCH(F60,'Table 3 TransCost'!$4:$4,0)+2)</f>
        <v>9.0939944302083777</v>
      </c>
      <c r="D60" s="116" t="s">
        <v>153</v>
      </c>
      <c r="F60" s="261" t="s">
        <v>173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6"/>
      <c r="K62" s="153"/>
      <c r="L62" s="154"/>
      <c r="M62" s="154"/>
      <c r="O62" s="155"/>
    </row>
    <row r="63" spans="2:25">
      <c r="C63" s="194">
        <v>0.2929462477283894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AA92-D729-43CD-B095-8D15B68C7EEE}">
  <sheetPr>
    <tabColor rgb="FFFFC000"/>
    <pageSetUpPr fitToPage="1"/>
  </sheetPr>
  <dimension ref="B1:AD88"/>
  <sheetViews>
    <sheetView zoomScale="70" zoomScaleNormal="70" workbookViewId="0">
      <selection activeCell="P25" sqref="P25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25%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Yakima Solar with Storage - 25%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330">
        <f>(53031.14/20)*(20/180)+(424249.12/160)*(160/180)</f>
        <v>2651.5569999999998</v>
      </c>
      <c r="D24" s="127">
        <f>C24*$C$62</f>
        <v>143.68205540600226</v>
      </c>
      <c r="E24" s="365">
        <f>(1382.4400000018/20)*(20/180)+(5979.48800000013/160)*(160/180)</f>
        <v>40.899600000010729</v>
      </c>
      <c r="F24" s="370">
        <f>$C$60</f>
        <v>5.7969932450072994</v>
      </c>
      <c r="G24" s="129">
        <f t="shared" ref="G24:G37" si="1">(D24+E24+F24)/(8.76*$C$63)</f>
        <v>87.745507433733451</v>
      </c>
      <c r="H24" s="127"/>
      <c r="I24" s="129">
        <f t="shared" ref="I24:I37" si="2">(G24+H24)</f>
        <v>87.745507433733451</v>
      </c>
      <c r="J24" s="129">
        <f t="shared" ref="J24:J37" si="3">ROUND(I24*$C$63*8.76,2)</f>
        <v>190.38</v>
      </c>
      <c r="K24" s="127">
        <f t="shared" ref="K24:K37" si="4">(D24+E24+F24)</f>
        <v>190.37864865102028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382">
        <f t="shared" ref="D25:F37" si="5">ROUND(D24*(1+IRP21_Infl_Rate),2)</f>
        <v>146.78</v>
      </c>
      <c r="E25" s="382">
        <f t="shared" si="5"/>
        <v>41.78</v>
      </c>
      <c r="F25" s="382">
        <f t="shared" si="5"/>
        <v>5.92</v>
      </c>
      <c r="G25" s="129">
        <f t="shared" si="1"/>
        <v>89.635820017787623</v>
      </c>
      <c r="H25" s="127"/>
      <c r="I25" s="129">
        <f t="shared" si="2"/>
        <v>89.635820017787623</v>
      </c>
      <c r="J25" s="129">
        <f t="shared" si="3"/>
        <v>194.48</v>
      </c>
      <c r="K25" s="127">
        <f t="shared" si="4"/>
        <v>194.48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2">
        <f t="shared" si="5"/>
        <v>149.94</v>
      </c>
      <c r="E26" s="382">
        <f t="shared" si="5"/>
        <v>42.68</v>
      </c>
      <c r="F26" s="382">
        <f t="shared" si="5"/>
        <v>6.05</v>
      </c>
      <c r="G26" s="129">
        <f t="shared" si="1"/>
        <v>91.566990759635274</v>
      </c>
      <c r="H26" s="127"/>
      <c r="I26" s="129">
        <f t="shared" si="2"/>
        <v>91.566990759635274</v>
      </c>
      <c r="J26" s="129">
        <f t="shared" si="3"/>
        <v>198.67</v>
      </c>
      <c r="K26" s="127">
        <f t="shared" si="4"/>
        <v>198.67000000000002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2">
        <f t="shared" si="5"/>
        <v>153.16999999999999</v>
      </c>
      <c r="E27" s="382">
        <f t="shared" si="5"/>
        <v>43.6</v>
      </c>
      <c r="F27" s="382">
        <f t="shared" si="5"/>
        <v>6.18</v>
      </c>
      <c r="G27" s="129">
        <f t="shared" si="1"/>
        <v>93.539642495937869</v>
      </c>
      <c r="H27" s="127"/>
      <c r="I27" s="129">
        <f t="shared" si="2"/>
        <v>93.539642495937869</v>
      </c>
      <c r="J27" s="129">
        <f t="shared" si="3"/>
        <v>202.95</v>
      </c>
      <c r="K27" s="127">
        <f t="shared" si="4"/>
        <v>202.95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2">
        <f t="shared" si="5"/>
        <v>156.47</v>
      </c>
      <c r="E28" s="382">
        <f t="shared" si="5"/>
        <v>44.54</v>
      </c>
      <c r="F28" s="382">
        <f t="shared" si="5"/>
        <v>6.31</v>
      </c>
      <c r="G28" s="129">
        <f t="shared" si="1"/>
        <v>95.55377522669545</v>
      </c>
      <c r="H28" s="127"/>
      <c r="I28" s="129">
        <f t="shared" si="2"/>
        <v>95.55377522669545</v>
      </c>
      <c r="J28" s="129">
        <f t="shared" si="3"/>
        <v>207.32</v>
      </c>
      <c r="K28" s="127">
        <f t="shared" si="4"/>
        <v>207.32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2">
        <f t="shared" si="5"/>
        <v>159.84</v>
      </c>
      <c r="E29" s="382">
        <f t="shared" si="5"/>
        <v>45.5</v>
      </c>
      <c r="F29" s="382">
        <f t="shared" si="5"/>
        <v>6.45</v>
      </c>
      <c r="G29" s="129">
        <f t="shared" si="1"/>
        <v>97.613997951291864</v>
      </c>
      <c r="H29" s="127"/>
      <c r="I29" s="129">
        <f t="shared" si="2"/>
        <v>97.613997951291864</v>
      </c>
      <c r="J29" s="129">
        <f t="shared" si="3"/>
        <v>211.79</v>
      </c>
      <c r="K29" s="127">
        <f t="shared" si="4"/>
        <v>211.79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2">
        <f t="shared" si="5"/>
        <v>163.28</v>
      </c>
      <c r="E30" s="382">
        <f t="shared" si="5"/>
        <v>46.48</v>
      </c>
      <c r="F30" s="382">
        <f t="shared" si="5"/>
        <v>6.59</v>
      </c>
      <c r="G30" s="129">
        <f t="shared" si="1"/>
        <v>99.715701670343236</v>
      </c>
      <c r="H30" s="127"/>
      <c r="I30" s="129">
        <f t="shared" si="2"/>
        <v>99.715701670343236</v>
      </c>
      <c r="J30" s="129">
        <f t="shared" si="3"/>
        <v>216.35</v>
      </c>
      <c r="K30" s="127">
        <f t="shared" si="4"/>
        <v>216.35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2">
        <f t="shared" si="5"/>
        <v>166.8</v>
      </c>
      <c r="E31" s="382">
        <f t="shared" si="5"/>
        <v>47.48</v>
      </c>
      <c r="F31" s="382">
        <f t="shared" si="5"/>
        <v>6.73</v>
      </c>
      <c r="G31" s="129">
        <f t="shared" si="1"/>
        <v>101.86349538323346</v>
      </c>
      <c r="H31" s="127"/>
      <c r="I31" s="129">
        <f t="shared" si="2"/>
        <v>101.86349538323346</v>
      </c>
      <c r="J31" s="129">
        <f t="shared" si="3"/>
        <v>221.01</v>
      </c>
      <c r="K31" s="127">
        <f t="shared" si="4"/>
        <v>221.01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2">
        <f t="shared" si="5"/>
        <v>170.39</v>
      </c>
      <c r="E32" s="382">
        <f t="shared" si="5"/>
        <v>48.5</v>
      </c>
      <c r="F32" s="382">
        <f t="shared" si="5"/>
        <v>6.88</v>
      </c>
      <c r="G32" s="129">
        <f t="shared" si="1"/>
        <v>104.05737908996252</v>
      </c>
      <c r="H32" s="127"/>
      <c r="I32" s="129">
        <f t="shared" si="2"/>
        <v>104.05737908996252</v>
      </c>
      <c r="J32" s="129">
        <f t="shared" si="3"/>
        <v>225.77</v>
      </c>
      <c r="K32" s="127">
        <f t="shared" si="4"/>
        <v>225.76999999999998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2">
        <f t="shared" si="5"/>
        <v>174.06</v>
      </c>
      <c r="E33" s="382">
        <f t="shared" si="5"/>
        <v>49.55</v>
      </c>
      <c r="F33" s="382">
        <f t="shared" si="5"/>
        <v>7.03</v>
      </c>
      <c r="G33" s="129">
        <f t="shared" si="1"/>
        <v>106.30196178991433</v>
      </c>
      <c r="H33" s="127"/>
      <c r="I33" s="129">
        <f t="shared" si="2"/>
        <v>106.30196178991433</v>
      </c>
      <c r="J33" s="129">
        <f t="shared" si="3"/>
        <v>230.64</v>
      </c>
      <c r="K33" s="127">
        <f t="shared" si="4"/>
        <v>230.64000000000001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2">
        <f t="shared" si="5"/>
        <v>177.81</v>
      </c>
      <c r="E34" s="382">
        <f t="shared" si="5"/>
        <v>50.62</v>
      </c>
      <c r="F34" s="382">
        <f t="shared" si="5"/>
        <v>7.18</v>
      </c>
      <c r="G34" s="129">
        <f t="shared" si="1"/>
        <v>108.59263448370497</v>
      </c>
      <c r="H34" s="127"/>
      <c r="I34" s="129">
        <f t="shared" si="2"/>
        <v>108.59263448370497</v>
      </c>
      <c r="J34" s="129">
        <f t="shared" si="3"/>
        <v>235.61</v>
      </c>
      <c r="K34" s="127">
        <f t="shared" si="4"/>
        <v>235.61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2">
        <f t="shared" si="5"/>
        <v>181.64</v>
      </c>
      <c r="E35" s="382">
        <f t="shared" si="5"/>
        <v>51.71</v>
      </c>
      <c r="F35" s="382">
        <f t="shared" si="5"/>
        <v>7.33</v>
      </c>
      <c r="G35" s="129">
        <f t="shared" si="1"/>
        <v>110.92939717133446</v>
      </c>
      <c r="H35" s="127"/>
      <c r="I35" s="129">
        <f t="shared" si="2"/>
        <v>110.92939717133446</v>
      </c>
      <c r="J35" s="129">
        <f t="shared" si="3"/>
        <v>240.68</v>
      </c>
      <c r="K35" s="127">
        <f t="shared" si="4"/>
        <v>240.68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2">
        <f t="shared" si="5"/>
        <v>185.55</v>
      </c>
      <c r="E36" s="382">
        <f t="shared" si="5"/>
        <v>52.82</v>
      </c>
      <c r="F36" s="382">
        <f t="shared" si="5"/>
        <v>7.49</v>
      </c>
      <c r="G36" s="129">
        <f t="shared" si="1"/>
        <v>113.31685885218668</v>
      </c>
      <c r="H36" s="127"/>
      <c r="I36" s="129">
        <f t="shared" si="2"/>
        <v>113.31685885218668</v>
      </c>
      <c r="J36" s="129">
        <f t="shared" si="3"/>
        <v>245.86</v>
      </c>
      <c r="K36" s="127">
        <f t="shared" si="4"/>
        <v>245.86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2">
        <f t="shared" si="5"/>
        <v>189.55</v>
      </c>
      <c r="E37" s="382">
        <f t="shared" si="5"/>
        <v>53.96</v>
      </c>
      <c r="F37" s="382">
        <f t="shared" si="5"/>
        <v>7.65</v>
      </c>
      <c r="G37" s="129">
        <f t="shared" si="1"/>
        <v>115.75962852564552</v>
      </c>
      <c r="H37" s="127"/>
      <c r="I37" s="129">
        <f t="shared" si="2"/>
        <v>115.75962852564552</v>
      </c>
      <c r="J37" s="129">
        <f t="shared" si="3"/>
        <v>251.16</v>
      </c>
      <c r="K37" s="127">
        <f t="shared" si="4"/>
        <v>251.16000000000003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24.8%)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Yakima Solar with Storage - 25%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2030</v>
      </c>
    </row>
    <row r="55" spans="2:25">
      <c r="B55" s="85" t="s">
        <v>216</v>
      </c>
      <c r="C55" s="167">
        <f>(53031.14/20)*(20/180)+(424249.12/160)*(160/180)</f>
        <v>2651.5569999999998</v>
      </c>
      <c r="D55" s="116" t="s">
        <v>65</v>
      </c>
      <c r="O55" s="265">
        <f>20+160</f>
        <v>180</v>
      </c>
      <c r="P55" s="116" t="s">
        <v>32</v>
      </c>
    </row>
    <row r="56" spans="2:25">
      <c r="B56" s="85" t="s">
        <v>216</v>
      </c>
      <c r="C56" s="255">
        <f>(1382.4400000018/20)*(20/180)+(5979.48800000013/160)*(160/180)</f>
        <v>40.899600000010729</v>
      </c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2030$</v>
      </c>
      <c r="C60" s="257">
        <f>INDEX('Table 3 TransCost'!$39:$39,1,MATCH(F60,'Table 3 TransCost'!$4:$4,0)+2)</f>
        <v>5.7969932450072994</v>
      </c>
      <c r="D60" s="116" t="s">
        <v>153</v>
      </c>
      <c r="F60" s="261" t="s">
        <v>147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6"/>
      <c r="K62" s="153"/>
      <c r="L62" s="154"/>
      <c r="M62" s="154"/>
      <c r="O62" s="155"/>
    </row>
    <row r="63" spans="2:25">
      <c r="C63" s="194">
        <v>0.24767903319904377</v>
      </c>
      <c r="D63" s="116" t="s">
        <v>37</v>
      </c>
    </row>
    <row r="64" spans="2:25">
      <c r="D64" s="152"/>
    </row>
    <row r="79" spans="3:4">
      <c r="C79" s="148"/>
      <c r="D79" s="152"/>
    </row>
    <row r="80" spans="3:4">
      <c r="C80" s="148"/>
      <c r="D80" s="152"/>
    </row>
    <row r="81" spans="3:4">
      <c r="C81" s="148"/>
      <c r="D81" s="152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60A2-70A6-47F7-B74E-3DABE4DEA985}">
  <sheetPr>
    <tabColor rgb="FFFFC000"/>
    <pageSetUpPr fitToPage="1"/>
  </sheetPr>
  <dimension ref="B1:AD91"/>
  <sheetViews>
    <sheetView zoomScale="70" zoomScaleNormal="70" workbookViewId="0">
      <selection activeCell="C6" sqref="C6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199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UTN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330">
        <f>2032007.56/820</f>
        <v>2478.058</v>
      </c>
      <c r="D25" s="127">
        <f>C25*$C$62</f>
        <v>134.28052531221738</v>
      </c>
      <c r="E25" s="365">
        <f>35760.1999999995/820</f>
        <v>43.609999999999395</v>
      </c>
      <c r="F25" s="370">
        <f>$C$60</f>
        <v>12.45513744317196</v>
      </c>
      <c r="G25" s="129">
        <f t="shared" ref="G25:G37" si="1">(D25+E25+F25)/(8.76*$C$63)</f>
        <v>67.383805384409328</v>
      </c>
      <c r="H25" s="127"/>
      <c r="I25" s="129">
        <f t="shared" ref="I25:I37" si="2">(G25+H25)</f>
        <v>67.383805384409328</v>
      </c>
      <c r="J25" s="129">
        <f t="shared" ref="J25:J37" si="3">ROUND(I25*$C$63*8.76,2)</f>
        <v>190.35</v>
      </c>
      <c r="K25" s="127">
        <f t="shared" ref="K25:K37" si="4">(D25+E25+F25)</f>
        <v>190.34566275538873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382">
        <f t="shared" ref="D26:F37" si="5">ROUND(D25*(1+IRP21_Infl_Rate),2)</f>
        <v>137.16999999999999</v>
      </c>
      <c r="E26" s="382">
        <f t="shared" si="5"/>
        <v>44.55</v>
      </c>
      <c r="F26" s="382">
        <f t="shared" si="5"/>
        <v>12.72</v>
      </c>
      <c r="G26" s="129">
        <f t="shared" si="1"/>
        <v>68.833231759958366</v>
      </c>
      <c r="H26" s="127"/>
      <c r="I26" s="129">
        <f t="shared" si="2"/>
        <v>68.833231759958366</v>
      </c>
      <c r="J26" s="129">
        <f t="shared" si="3"/>
        <v>194.44</v>
      </c>
      <c r="K26" s="127">
        <f t="shared" si="4"/>
        <v>194.43999999999997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382">
        <f t="shared" si="5"/>
        <v>140.13</v>
      </c>
      <c r="E27" s="382">
        <f t="shared" si="5"/>
        <v>45.51</v>
      </c>
      <c r="F27" s="382">
        <f t="shared" si="5"/>
        <v>12.99</v>
      </c>
      <c r="G27" s="129">
        <f t="shared" si="1"/>
        <v>70.316523475007884</v>
      </c>
      <c r="H27" s="127"/>
      <c r="I27" s="129">
        <f t="shared" si="2"/>
        <v>70.316523475007884</v>
      </c>
      <c r="J27" s="129">
        <f t="shared" si="3"/>
        <v>198.63</v>
      </c>
      <c r="K27" s="127">
        <f t="shared" si="4"/>
        <v>198.63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2">
        <f t="shared" si="5"/>
        <v>143.15</v>
      </c>
      <c r="E28" s="382">
        <f t="shared" si="5"/>
        <v>46.49</v>
      </c>
      <c r="F28" s="382">
        <f t="shared" si="5"/>
        <v>13.27</v>
      </c>
      <c r="G28" s="129">
        <f t="shared" si="1"/>
        <v>71.831675871287587</v>
      </c>
      <c r="H28" s="127"/>
      <c r="I28" s="129">
        <f t="shared" si="2"/>
        <v>71.831675871287587</v>
      </c>
      <c r="J28" s="129">
        <f t="shared" si="3"/>
        <v>202.91</v>
      </c>
      <c r="K28" s="127">
        <f t="shared" si="4"/>
        <v>202.91000000000003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2">
        <f t="shared" si="5"/>
        <v>146.22999999999999</v>
      </c>
      <c r="E29" s="382">
        <f t="shared" si="5"/>
        <v>47.49</v>
      </c>
      <c r="F29" s="382">
        <f t="shared" si="5"/>
        <v>13.56</v>
      </c>
      <c r="G29" s="129">
        <f t="shared" si="1"/>
        <v>73.378688948797432</v>
      </c>
      <c r="H29" s="127"/>
      <c r="I29" s="129">
        <f t="shared" si="2"/>
        <v>73.378688948797432</v>
      </c>
      <c r="J29" s="129">
        <f t="shared" si="3"/>
        <v>207.28</v>
      </c>
      <c r="K29" s="127">
        <f t="shared" si="4"/>
        <v>207.28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2">
        <f t="shared" si="5"/>
        <v>149.38</v>
      </c>
      <c r="E30" s="382">
        <f t="shared" si="5"/>
        <v>48.51</v>
      </c>
      <c r="F30" s="382">
        <f t="shared" si="5"/>
        <v>13.85</v>
      </c>
      <c r="G30" s="129">
        <f t="shared" si="1"/>
        <v>74.957562707537477</v>
      </c>
      <c r="H30" s="127"/>
      <c r="I30" s="129">
        <f t="shared" si="2"/>
        <v>74.957562707537477</v>
      </c>
      <c r="J30" s="129">
        <f t="shared" si="3"/>
        <v>211.74</v>
      </c>
      <c r="K30" s="127">
        <f t="shared" si="4"/>
        <v>211.73999999999998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2">
        <f t="shared" si="5"/>
        <v>152.6</v>
      </c>
      <c r="E31" s="382">
        <f t="shared" si="5"/>
        <v>49.56</v>
      </c>
      <c r="F31" s="382">
        <f t="shared" si="5"/>
        <v>14.15</v>
      </c>
      <c r="G31" s="129">
        <f t="shared" si="1"/>
        <v>76.575377298892192</v>
      </c>
      <c r="H31" s="127"/>
      <c r="I31" s="129">
        <f t="shared" si="2"/>
        <v>76.575377298892192</v>
      </c>
      <c r="J31" s="129">
        <f t="shared" si="3"/>
        <v>216.31</v>
      </c>
      <c r="K31" s="127">
        <f t="shared" si="4"/>
        <v>216.31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2">
        <f t="shared" si="5"/>
        <v>155.88999999999999</v>
      </c>
      <c r="E32" s="382">
        <f t="shared" si="5"/>
        <v>50.63</v>
      </c>
      <c r="F32" s="382">
        <f t="shared" si="5"/>
        <v>14.45</v>
      </c>
      <c r="G32" s="129">
        <f t="shared" si="1"/>
        <v>78.225052571477079</v>
      </c>
      <c r="H32" s="127"/>
      <c r="I32" s="129">
        <f t="shared" si="2"/>
        <v>78.225052571477079</v>
      </c>
      <c r="J32" s="129">
        <f t="shared" si="3"/>
        <v>220.97</v>
      </c>
      <c r="K32" s="127">
        <f t="shared" si="4"/>
        <v>220.96999999999997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2">
        <f t="shared" si="5"/>
        <v>159.25</v>
      </c>
      <c r="E33" s="382">
        <f t="shared" si="5"/>
        <v>51.72</v>
      </c>
      <c r="F33" s="382">
        <f t="shared" si="5"/>
        <v>14.76</v>
      </c>
      <c r="G33" s="129">
        <f t="shared" si="1"/>
        <v>79.910128600984393</v>
      </c>
      <c r="H33" s="127"/>
      <c r="I33" s="129">
        <f t="shared" si="2"/>
        <v>79.910128600984393</v>
      </c>
      <c r="J33" s="129">
        <f t="shared" si="3"/>
        <v>225.73</v>
      </c>
      <c r="K33" s="127">
        <f t="shared" si="4"/>
        <v>225.73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2">
        <f t="shared" si="5"/>
        <v>162.68</v>
      </c>
      <c r="E34" s="382">
        <f t="shared" si="5"/>
        <v>52.83</v>
      </c>
      <c r="F34" s="382">
        <f t="shared" si="5"/>
        <v>15.08</v>
      </c>
      <c r="G34" s="129">
        <f t="shared" si="1"/>
        <v>81.630605387414136</v>
      </c>
      <c r="H34" s="127"/>
      <c r="I34" s="129">
        <f t="shared" si="2"/>
        <v>81.630605387414136</v>
      </c>
      <c r="J34" s="129">
        <f t="shared" si="3"/>
        <v>230.59</v>
      </c>
      <c r="K34" s="127">
        <f t="shared" si="4"/>
        <v>230.59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2">
        <f t="shared" si="5"/>
        <v>166.19</v>
      </c>
      <c r="E35" s="382">
        <f t="shared" si="5"/>
        <v>53.97</v>
      </c>
      <c r="F35" s="382">
        <f t="shared" si="5"/>
        <v>15.4</v>
      </c>
      <c r="G35" s="129">
        <f t="shared" si="1"/>
        <v>83.390023006458534</v>
      </c>
      <c r="H35" s="127"/>
      <c r="I35" s="129">
        <f t="shared" si="2"/>
        <v>83.390023006458534</v>
      </c>
      <c r="J35" s="129">
        <f t="shared" si="3"/>
        <v>235.56</v>
      </c>
      <c r="K35" s="127">
        <f t="shared" si="4"/>
        <v>235.56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2">
        <f t="shared" si="5"/>
        <v>169.77</v>
      </c>
      <c r="E36" s="382">
        <f t="shared" si="5"/>
        <v>55.13</v>
      </c>
      <c r="F36" s="382">
        <f t="shared" si="5"/>
        <v>15.73</v>
      </c>
      <c r="G36" s="129">
        <f t="shared" si="1"/>
        <v>85.184841382425347</v>
      </c>
      <c r="H36" s="127"/>
      <c r="I36" s="129">
        <f t="shared" si="2"/>
        <v>85.184841382425347</v>
      </c>
      <c r="J36" s="129">
        <f t="shared" si="3"/>
        <v>240.63</v>
      </c>
      <c r="K36" s="127">
        <f t="shared" si="4"/>
        <v>240.63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2">
        <f t="shared" si="5"/>
        <v>173.43</v>
      </c>
      <c r="E37" s="382">
        <f t="shared" si="5"/>
        <v>56.32</v>
      </c>
      <c r="F37" s="382">
        <f t="shared" si="5"/>
        <v>16.07</v>
      </c>
      <c r="G37" s="129">
        <f t="shared" si="1"/>
        <v>87.022140666699087</v>
      </c>
      <c r="H37" s="127"/>
      <c r="I37" s="129">
        <f t="shared" si="2"/>
        <v>87.022140666699087</v>
      </c>
      <c r="J37" s="129">
        <f t="shared" si="3"/>
        <v>245.82</v>
      </c>
      <c r="K37" s="127">
        <f t="shared" si="4"/>
        <v>245.82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UTN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2031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2031$</v>
      </c>
      <c r="C60" s="257">
        <f>INDEX('Table 3 TransCost'!$39:$39,1,MATCH(F60,'Table 3 TransCost'!$4:$4,0)+2)</f>
        <v>12.45513744317196</v>
      </c>
      <c r="D60" s="116" t="s">
        <v>153</v>
      </c>
      <c r="F60" s="261" t="s">
        <v>146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6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C82"/>
  <sheetViews>
    <sheetView tabSelected="1" view="pageBreakPreview" topLeftCell="A9" zoomScale="70" zoomScaleNormal="70" zoomScaleSheetLayoutView="70" workbookViewId="0">
      <selection activeCell="F20" sqref="F20"/>
    </sheetView>
  </sheetViews>
  <sheetFormatPr defaultRowHeight="13.2"/>
  <cols>
    <col min="1" max="1" width="12.44140625" style="3" customWidth="1"/>
    <col min="2" max="2" width="10.77734375" style="3" customWidth="1"/>
    <col min="3" max="3" width="14.21875" style="3" customWidth="1"/>
    <col min="4" max="4" width="6.44140625" style="3" customWidth="1"/>
    <col min="5" max="5" width="18.77734375" style="3" customWidth="1"/>
    <col min="6" max="6" width="3.4414062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12.77734375" customWidth="1"/>
    <col min="11" max="11" width="16.6640625" customWidth="1"/>
    <col min="12" max="12" width="19.21875" customWidth="1"/>
    <col min="16" max="16" width="16.77734375" customWidth="1"/>
    <col min="17" max="17" width="17.6640625" customWidth="1"/>
    <col min="18" max="18" width="16" customWidth="1"/>
    <col min="19" max="19" width="12.44140625" customWidth="1"/>
    <col min="20" max="20" width="12.77734375" customWidth="1"/>
    <col min="21" max="21" width="14.6640625" customWidth="1"/>
    <col min="22" max="22" width="12.77734375" customWidth="1"/>
    <col min="23" max="23" width="13.21875" customWidth="1"/>
    <col min="24" max="24" width="12.6640625" customWidth="1"/>
    <col min="25" max="25" width="13.33203125" customWidth="1"/>
    <col min="26" max="26" width="14.21875" customWidth="1"/>
    <col min="27" max="27" width="14.6640625" customWidth="1"/>
    <col min="28" max="28" width="14.77734375" customWidth="1"/>
    <col min="29" max="29" width="15.21875" customWidth="1"/>
    <col min="30" max="30" width="15" customWidth="1"/>
    <col min="31" max="31" width="14.6640625" customWidth="1"/>
    <col min="32" max="32" width="17.6640625" customWidth="1"/>
    <col min="33" max="33" width="15.44140625" customWidth="1"/>
    <col min="34" max="34" width="10.77734375" customWidth="1"/>
    <col min="35" max="35" width="14" customWidth="1"/>
    <col min="36" max="36" width="12.44140625" customWidth="1"/>
    <col min="38" max="39" width="10" customWidth="1"/>
    <col min="40" max="54" width="15.33203125" customWidth="1"/>
    <col min="55" max="55" width="14.21875" customWidth="1"/>
    <col min="56" max="58" width="9" customWidth="1"/>
    <col min="59" max="59" width="10.6640625" customWidth="1"/>
    <col min="60" max="62" width="16.21875" customWidth="1"/>
    <col min="63" max="63" width="14.77734375" customWidth="1"/>
    <col min="64" max="64" width="17.77734375" customWidth="1"/>
    <col min="65" max="65" width="17.21875" customWidth="1"/>
    <col min="66" max="66" width="16.6640625" customWidth="1"/>
    <col min="67" max="67" width="16" customWidth="1"/>
    <col min="68" max="68" width="17" customWidth="1"/>
    <col min="69" max="69" width="17.44140625" customWidth="1"/>
    <col min="70" max="73" width="16" customWidth="1"/>
    <col min="74" max="74" width="16.6640625" customWidth="1"/>
    <col min="75" max="76" width="16" customWidth="1"/>
    <col min="77" max="77" width="20.6640625" customWidth="1"/>
    <col min="78" max="78" width="11.6640625" customWidth="1"/>
    <col min="79" max="79" width="13.33203125" customWidth="1"/>
    <col min="80" max="80" width="12.2187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6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6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5'!$B$12:$B$252,FALSE)+ROW('Table 5'!B11)</f>
        <v>13</v>
      </c>
      <c r="DB3" s="181">
        <v>0</v>
      </c>
      <c r="DC3" t="s">
        <v>87</v>
      </c>
    </row>
    <row r="4" spans="2:107" customFormat="1" ht="15.6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5" t="s">
        <v>58</v>
      </c>
      <c r="Q4" s="165"/>
      <c r="R4" s="165"/>
      <c r="DB4">
        <v>600</v>
      </c>
      <c r="DC4" t="s">
        <v>88</v>
      </c>
    </row>
    <row r="5" spans="2:107" customFormat="1" ht="15.6">
      <c r="B5" s="4" t="str">
        <f ca="1">'Table 5'!M4&amp; " - "&amp;TEXT(Study_MW,"#.0")&amp;" MW and "&amp;TEXT(Study_CF,"#.0%")&amp;" CF"</f>
        <v>Utah 2021.Q4 - 100.0 MW and 100.0% CF</v>
      </c>
      <c r="C5" s="4"/>
      <c r="D5" s="4"/>
      <c r="E5" s="4"/>
      <c r="F5" s="4"/>
      <c r="G5" s="1"/>
      <c r="H5" s="36"/>
      <c r="I5" s="5"/>
      <c r="P5" s="166">
        <v>0.41156195349570163</v>
      </c>
      <c r="Q5" s="166">
        <v>0.41156195349570163</v>
      </c>
      <c r="R5" s="166">
        <v>0.41156195349570163</v>
      </c>
      <c r="S5" s="166">
        <v>0.30601336826237258</v>
      </c>
      <c r="T5" s="166">
        <v>0.30601336826237258</v>
      </c>
      <c r="U5" s="166">
        <v>0.42792879720636467</v>
      </c>
      <c r="V5" s="166">
        <v>0.82755792378807014</v>
      </c>
      <c r="W5" s="166">
        <v>0.83616598140283749</v>
      </c>
      <c r="X5" s="166">
        <v>0.83616598140283749</v>
      </c>
      <c r="Y5" s="166">
        <v>0.80898596435506986</v>
      </c>
      <c r="Z5" s="166">
        <v>0.82752951363946159</v>
      </c>
      <c r="AA5" s="166">
        <v>0.82752951363946159</v>
      </c>
      <c r="AB5" s="166">
        <v>0.80898596435506986</v>
      </c>
      <c r="AC5" s="166">
        <v>0.80898596435506986</v>
      </c>
      <c r="AD5" s="166">
        <v>0.76684191964285697</v>
      </c>
      <c r="AE5" s="166">
        <v>0.93399999999999994</v>
      </c>
      <c r="AF5" s="166">
        <v>0.9345</v>
      </c>
      <c r="AG5" s="166">
        <v>0.80898596435506986</v>
      </c>
      <c r="AH5" s="166"/>
      <c r="AI5" s="166"/>
      <c r="AJ5" s="166"/>
      <c r="AK5" s="166"/>
      <c r="DB5" s="171">
        <f>$DB$3*$DB$4</f>
        <v>0</v>
      </c>
      <c r="DC5" t="s">
        <v>85</v>
      </c>
    </row>
    <row r="6" spans="2:107" customFormat="1" ht="13.8" hidden="1">
      <c r="B6" s="20"/>
      <c r="C6" s="4"/>
      <c r="D6" s="4"/>
      <c r="E6" s="4"/>
      <c r="F6" s="4"/>
      <c r="G6" s="11"/>
      <c r="H6" s="36"/>
      <c r="I6" s="5"/>
    </row>
    <row r="7" spans="2:107" customFormat="1" ht="39.6">
      <c r="B7" s="3"/>
      <c r="C7" s="7"/>
      <c r="D7" s="7"/>
      <c r="E7" s="3"/>
      <c r="F7" s="3"/>
      <c r="G7" s="3"/>
      <c r="H7" s="36"/>
      <c r="I7" s="49"/>
      <c r="AL7" s="199" t="s">
        <v>74</v>
      </c>
      <c r="AM7" s="199"/>
    </row>
    <row r="8" spans="2:107" s="196" customFormat="1" ht="40.799999999999997" customHeight="1">
      <c r="B8" s="187"/>
      <c r="C8" s="187"/>
      <c r="D8" s="187"/>
      <c r="E8" s="189"/>
      <c r="F8" s="190"/>
      <c r="G8" s="188" t="s">
        <v>14</v>
      </c>
      <c r="H8" s="192"/>
      <c r="I8" s="198"/>
      <c r="K8"/>
      <c r="L8"/>
      <c r="M8"/>
      <c r="P8" s="204"/>
      <c r="Q8" s="204"/>
      <c r="R8" s="204"/>
      <c r="T8" s="204"/>
      <c r="U8" s="201"/>
      <c r="V8" s="204"/>
      <c r="W8" s="204"/>
      <c r="X8" s="204"/>
      <c r="Y8" s="204"/>
      <c r="Z8" s="201"/>
      <c r="AB8" s="204"/>
      <c r="AC8" s="204"/>
      <c r="AE8" s="204"/>
      <c r="AF8" s="204"/>
      <c r="AG8" s="204"/>
      <c r="AL8" s="204">
        <f>P8</f>
        <v>0</v>
      </c>
      <c r="AM8" s="204"/>
      <c r="AN8" s="204">
        <f t="shared" ref="AN8" si="0">R8</f>
        <v>0</v>
      </c>
      <c r="AO8" s="204">
        <f t="shared" ref="AO8" si="1">S8</f>
        <v>0</v>
      </c>
      <c r="AP8" s="204">
        <f t="shared" ref="AP8" si="2">T8</f>
        <v>0</v>
      </c>
      <c r="AQ8" s="204">
        <f t="shared" ref="AQ8" si="3">U8</f>
        <v>0</v>
      </c>
      <c r="AR8" s="204">
        <f t="shared" ref="AR8" si="4">V8</f>
        <v>0</v>
      </c>
      <c r="AS8" s="204">
        <f t="shared" ref="AS8" si="5">W8</f>
        <v>0</v>
      </c>
      <c r="AT8" s="204">
        <f t="shared" ref="AT8" si="6">X8</f>
        <v>0</v>
      </c>
      <c r="AU8" s="204">
        <f t="shared" ref="AU8" si="7">Y8</f>
        <v>0</v>
      </c>
      <c r="AV8" s="204">
        <f t="shared" ref="AV8" si="8">Z8</f>
        <v>0</v>
      </c>
      <c r="AW8" s="204">
        <f t="shared" ref="AW8" si="9">AA8</f>
        <v>0</v>
      </c>
      <c r="AX8" s="204">
        <f t="shared" ref="AX8" si="10">AB8</f>
        <v>0</v>
      </c>
      <c r="AY8" s="204">
        <f t="shared" ref="AY8" si="11">AC8</f>
        <v>0</v>
      </c>
      <c r="AZ8" s="204">
        <f t="shared" ref="AZ8" si="12">AD8</f>
        <v>0</v>
      </c>
      <c r="BA8" s="204">
        <f t="shared" ref="BA8" si="13">AE8</f>
        <v>0</v>
      </c>
      <c r="BB8" s="204">
        <f>AF8</f>
        <v>0</v>
      </c>
      <c r="BC8" s="204">
        <f>AG8</f>
        <v>0</v>
      </c>
      <c r="BD8" s="204"/>
      <c r="BE8" s="204"/>
      <c r="BF8" s="204"/>
      <c r="BH8" s="199" t="s">
        <v>75</v>
      </c>
      <c r="BI8" s="199"/>
      <c r="BJ8" s="199"/>
      <c r="BK8" s="204"/>
      <c r="BL8" s="204"/>
      <c r="BM8" s="204">
        <f t="shared" ref="BL8:BY9" si="14">U8</f>
        <v>0</v>
      </c>
      <c r="BN8" s="204">
        <f t="shared" si="14"/>
        <v>0</v>
      </c>
      <c r="BO8" s="204">
        <f t="shared" si="14"/>
        <v>0</v>
      </c>
      <c r="BP8" s="204">
        <f t="shared" si="14"/>
        <v>0</v>
      </c>
      <c r="BQ8" s="204">
        <f t="shared" si="14"/>
        <v>0</v>
      </c>
      <c r="BR8" s="204">
        <f t="shared" si="14"/>
        <v>0</v>
      </c>
      <c r="BS8" s="204">
        <f t="shared" si="14"/>
        <v>0</v>
      </c>
      <c r="BT8" s="204">
        <f t="shared" si="14"/>
        <v>0</v>
      </c>
      <c r="BU8" s="204">
        <f t="shared" si="14"/>
        <v>0</v>
      </c>
      <c r="BV8" s="204">
        <f t="shared" si="14"/>
        <v>0</v>
      </c>
      <c r="BW8" s="204">
        <f t="shared" si="14"/>
        <v>0</v>
      </c>
      <c r="BX8" s="204">
        <f t="shared" si="14"/>
        <v>0</v>
      </c>
      <c r="BY8" s="204">
        <f t="shared" si="14"/>
        <v>0</v>
      </c>
      <c r="BZ8" s="204"/>
      <c r="CA8" s="204"/>
      <c r="CB8" s="204"/>
      <c r="CD8" s="199" t="s">
        <v>76</v>
      </c>
      <c r="CE8" s="199"/>
      <c r="CF8" s="199"/>
      <c r="CI8" s="204"/>
      <c r="CN8" s="204"/>
      <c r="DB8" s="174" t="s">
        <v>75</v>
      </c>
      <c r="DC8" s="175" t="s">
        <v>76</v>
      </c>
    </row>
    <row r="9" spans="2:107" s="183" customFormat="1" ht="76.8" customHeight="1">
      <c r="B9" s="187"/>
      <c r="C9" s="188" t="s">
        <v>6</v>
      </c>
      <c r="D9" s="188"/>
      <c r="E9" s="189" t="s">
        <v>18</v>
      </c>
      <c r="F9" s="190"/>
      <c r="G9" s="191">
        <f ca="1">Study_CF</f>
        <v>1</v>
      </c>
      <c r="H9" s="192"/>
      <c r="I9" s="193"/>
      <c r="K9"/>
      <c r="L9"/>
      <c r="M9"/>
      <c r="P9" s="183" t="s">
        <v>203</v>
      </c>
      <c r="Q9" s="204" t="s">
        <v>204</v>
      </c>
      <c r="R9" s="183" t="s">
        <v>205</v>
      </c>
      <c r="S9" s="204" t="s">
        <v>206</v>
      </c>
      <c r="T9" s="204" t="s">
        <v>207</v>
      </c>
      <c r="U9" s="201" t="s">
        <v>208</v>
      </c>
      <c r="V9" s="183" t="s">
        <v>209</v>
      </c>
      <c r="W9" s="204" t="s">
        <v>210</v>
      </c>
      <c r="X9" s="183" t="s">
        <v>211</v>
      </c>
      <c r="Y9" s="204" t="s">
        <v>212</v>
      </c>
      <c r="Z9" s="201" t="s">
        <v>213</v>
      </c>
      <c r="AA9" s="183" t="s">
        <v>214</v>
      </c>
      <c r="AB9" s="204"/>
      <c r="AC9" s="204"/>
      <c r="AD9" s="204" t="s">
        <v>218</v>
      </c>
      <c r="AE9" s="204" t="s">
        <v>217</v>
      </c>
      <c r="AF9" s="204" t="s">
        <v>219</v>
      </c>
      <c r="AG9" s="196"/>
      <c r="AH9" s="196"/>
      <c r="AI9" s="196"/>
      <c r="AK9" s="195"/>
      <c r="AL9" s="183" t="str">
        <f>P9</f>
        <v>IRP21_WD_PX_PNC_006_WD_T</v>
      </c>
      <c r="AM9" s="204" t="str">
        <f t="shared" ref="AM9:BA9" si="15">Q9</f>
        <v>IRP21_WD_PX_PNC_WD_T</v>
      </c>
      <c r="AN9" s="183" t="str">
        <f t="shared" si="15"/>
        <v>IRP21_WD_PX_WMV_006_WD_T</v>
      </c>
      <c r="AO9" s="183" t="str">
        <f t="shared" si="15"/>
        <v>IRP21_WD_PX_WYE_WD_T</v>
      </c>
      <c r="AP9" s="183" t="str">
        <f t="shared" si="15"/>
        <v>IRP21_WD_PX_WYE_Djohns_WD_T</v>
      </c>
      <c r="AQ9" s="201" t="str">
        <f t="shared" si="15"/>
        <v>IRP21_PWS_PX_YAK_WD_T</v>
      </c>
      <c r="AR9" s="183" t="str">
        <f t="shared" si="15"/>
        <v>IRP21_PVS_PX_BOR_002_PV_T</v>
      </c>
      <c r="AS9" s="183" t="str">
        <f t="shared" si="15"/>
        <v>IRP21_PVS_PX_SOR_C_PV_ 2028_T</v>
      </c>
      <c r="AT9" s="183" t="str">
        <f t="shared" si="15"/>
        <v>IRP21_PVS_PX_SOR_PV_T</v>
      </c>
      <c r="AU9" s="183" t="str">
        <f t="shared" si="15"/>
        <v>IRP21_PVS_PX_YAK_PV_T</v>
      </c>
      <c r="AV9" s="201" t="str">
        <f t="shared" si="15"/>
        <v>IRP21_PVS_PX_UTN_PV_T</v>
      </c>
      <c r="AW9" s="183" t="str">
        <f t="shared" si="15"/>
        <v>IRP21_PVS_PX_UTS_PV_T</v>
      </c>
      <c r="AX9" s="196">
        <f t="shared" si="15"/>
        <v>0</v>
      </c>
      <c r="AY9" s="196">
        <f t="shared" si="15"/>
        <v>0</v>
      </c>
      <c r="AZ9" s="196" t="str">
        <f t="shared" si="15"/>
        <v>IRP21_BAT_WYE_DJ_Wyodak</v>
      </c>
      <c r="BA9" s="196" t="str">
        <f t="shared" si="15"/>
        <v>IRP21_UTN_Non_Emitting_2033_T</v>
      </c>
      <c r="BB9" s="196" t="str">
        <f>AF9</f>
        <v>IRP21_NTN_Non_Emitting_2033_T</v>
      </c>
      <c r="BC9" s="204">
        <f>AG9</f>
        <v>0</v>
      </c>
      <c r="BD9" s="196"/>
      <c r="BE9" s="196"/>
      <c r="BF9" s="196"/>
      <c r="BH9" s="204" t="str">
        <f t="shared" ref="BH9" si="16">P9</f>
        <v>IRP21_WD_PX_PNC_006_WD_T</v>
      </c>
      <c r="BI9" s="204" t="str">
        <f t="shared" ref="BI9" si="17">Q9</f>
        <v>IRP21_WD_PX_PNC_WD_T</v>
      </c>
      <c r="BJ9" s="204" t="str">
        <f t="shared" ref="BJ9" si="18">R9</f>
        <v>IRP21_WD_PX_WMV_006_WD_T</v>
      </c>
      <c r="BK9" s="204" t="str">
        <f t="shared" ref="BK9" si="19">S9</f>
        <v>IRP21_WD_PX_WYE_WD_T</v>
      </c>
      <c r="BL9" s="204" t="str">
        <f t="shared" si="14"/>
        <v>IRP21_WD_PX_WYE_Djohns_WD_T</v>
      </c>
      <c r="BM9" s="204" t="str">
        <f t="shared" si="14"/>
        <v>IRP21_PWS_PX_YAK_WD_T</v>
      </c>
      <c r="BN9" s="204" t="str">
        <f t="shared" si="14"/>
        <v>IRP21_PVS_PX_BOR_002_PV_T</v>
      </c>
      <c r="BO9" s="204" t="str">
        <f t="shared" si="14"/>
        <v>IRP21_PVS_PX_SOR_C_PV_ 2028_T</v>
      </c>
      <c r="BP9" s="204" t="str">
        <f t="shared" si="14"/>
        <v>IRP21_PVS_PX_SOR_PV_T</v>
      </c>
      <c r="BQ9" s="204" t="str">
        <f t="shared" si="14"/>
        <v>IRP21_PVS_PX_YAK_PV_T</v>
      </c>
      <c r="BR9" s="204" t="str">
        <f t="shared" si="14"/>
        <v>IRP21_PVS_PX_UTN_PV_T</v>
      </c>
      <c r="BS9" s="204" t="str">
        <f t="shared" si="14"/>
        <v>IRP21_PVS_PX_UTS_PV_T</v>
      </c>
      <c r="BT9" s="204">
        <f t="shared" si="14"/>
        <v>0</v>
      </c>
      <c r="BU9" s="204">
        <f t="shared" si="14"/>
        <v>0</v>
      </c>
      <c r="BV9" s="204" t="str">
        <f t="shared" si="14"/>
        <v>IRP21_BAT_WYE_DJ_Wyodak</v>
      </c>
      <c r="BW9" s="204" t="str">
        <f t="shared" si="14"/>
        <v>IRP21_UTN_Non_Emitting_2033_T</v>
      </c>
      <c r="BX9" s="204" t="str">
        <f t="shared" si="14"/>
        <v>IRP21_NTN_Non_Emitting_2033_T</v>
      </c>
      <c r="BY9" s="204">
        <f t="shared" si="14"/>
        <v>0</v>
      </c>
      <c r="BZ9" s="204"/>
      <c r="CA9" s="204"/>
      <c r="CB9" s="204"/>
      <c r="CD9" s="183" t="str">
        <f t="shared" ref="CD9:CX9" si="20">BH9</f>
        <v>IRP21_WD_PX_PNC_006_WD_T</v>
      </c>
      <c r="CE9" s="204" t="str">
        <f t="shared" si="20"/>
        <v>IRP21_WD_PX_PNC_WD_T</v>
      </c>
      <c r="CF9" s="196" t="str">
        <f t="shared" si="20"/>
        <v>IRP21_WD_PX_WMV_006_WD_T</v>
      </c>
      <c r="CG9" s="196" t="str">
        <f t="shared" si="20"/>
        <v>IRP21_WD_PX_WYE_WD_T</v>
      </c>
      <c r="CH9" s="196" t="str">
        <f t="shared" si="20"/>
        <v>IRP21_WD_PX_WYE_Djohns_WD_T</v>
      </c>
      <c r="CI9" s="202" t="str">
        <f t="shared" si="20"/>
        <v>IRP21_PWS_PX_YAK_WD_T</v>
      </c>
      <c r="CJ9" s="196" t="str">
        <f t="shared" si="20"/>
        <v>IRP21_PVS_PX_BOR_002_PV_T</v>
      </c>
      <c r="CK9" s="196" t="str">
        <f t="shared" si="20"/>
        <v>IRP21_PVS_PX_SOR_C_PV_ 2028_T</v>
      </c>
      <c r="CL9" s="196" t="str">
        <f t="shared" si="20"/>
        <v>IRP21_PVS_PX_SOR_PV_T</v>
      </c>
      <c r="CM9" s="196" t="str">
        <f t="shared" si="20"/>
        <v>IRP21_PVS_PX_YAK_PV_T</v>
      </c>
      <c r="CN9" s="202" t="str">
        <f t="shared" si="20"/>
        <v>IRP21_PVS_PX_UTN_PV_T</v>
      </c>
      <c r="CO9" s="196" t="str">
        <f t="shared" si="20"/>
        <v>IRP21_PVS_PX_UTS_PV_T</v>
      </c>
      <c r="CP9" s="196">
        <f t="shared" si="20"/>
        <v>0</v>
      </c>
      <c r="CQ9" s="196">
        <f t="shared" si="20"/>
        <v>0</v>
      </c>
      <c r="CR9" s="196" t="str">
        <f t="shared" si="20"/>
        <v>IRP21_BAT_WYE_DJ_Wyodak</v>
      </c>
      <c r="CS9" s="196" t="str">
        <f t="shared" si="20"/>
        <v>IRP21_UTN_Non_Emitting_2033_T</v>
      </c>
      <c r="CT9" s="196" t="str">
        <f t="shared" si="20"/>
        <v>IRP21_NTN_Non_Emitting_2033_T</v>
      </c>
      <c r="CU9" s="196">
        <f t="shared" si="20"/>
        <v>0</v>
      </c>
      <c r="CV9" s="196">
        <f t="shared" si="20"/>
        <v>0</v>
      </c>
      <c r="CW9" s="196">
        <f t="shared" si="20"/>
        <v>0</v>
      </c>
      <c r="CX9" s="196">
        <f t="shared" si="20"/>
        <v>0</v>
      </c>
      <c r="CY9" s="183" t="s">
        <v>77</v>
      </c>
      <c r="DB9" s="183" t="s">
        <v>168</v>
      </c>
      <c r="DC9" s="204" t="s">
        <v>168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4.4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68"/>
      <c r="C12" s="169"/>
      <c r="D12" s="168"/>
      <c r="E12" s="12"/>
      <c r="F12" s="12"/>
      <c r="G12" s="3"/>
      <c r="H12" s="36"/>
      <c r="I12" s="89"/>
      <c r="BU12" s="344"/>
    </row>
    <row r="13" spans="2:107" customFormat="1">
      <c r="B13" s="15">
        <f>'Table 5'!J13</f>
        <v>2022</v>
      </c>
      <c r="C13" s="9">
        <f t="shared" ref="C13:C34" si="21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34.176884685777488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34.176884685777488</v>
      </c>
      <c r="H13" s="36"/>
      <c r="I13" s="171"/>
      <c r="J13" s="171"/>
      <c r="O13">
        <f t="shared" ref="O13:O32" si="22">B13</f>
        <v>2022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L13">
        <f t="shared" ref="AL13:AM33" si="23">P13/P$5</f>
        <v>0</v>
      </c>
      <c r="AM13">
        <f t="shared" si="23"/>
        <v>0</v>
      </c>
      <c r="AN13">
        <f t="shared" ref="AN13:AN30" si="24">R13/R$5</f>
        <v>0</v>
      </c>
      <c r="AO13">
        <f t="shared" ref="AO13:AO30" si="25">S13/S$5</f>
        <v>0</v>
      </c>
      <c r="AP13">
        <f t="shared" ref="AP13:AP30" si="26">T13/T$5</f>
        <v>0</v>
      </c>
      <c r="AQ13">
        <f t="shared" ref="AQ13:AQ30" si="27">U13/U$5</f>
        <v>0</v>
      </c>
      <c r="AR13">
        <f t="shared" ref="AR13:AR30" si="28">V13/V$5</f>
        <v>0</v>
      </c>
      <c r="AS13">
        <f t="shared" ref="AS13:AS30" si="29">W13/W$5</f>
        <v>0</v>
      </c>
      <c r="AT13">
        <f t="shared" ref="AT13:AT30" si="30">X13/X$5</f>
        <v>0</v>
      </c>
      <c r="AU13">
        <f t="shared" ref="AU13:AU30" si="31">Y13/Y$5</f>
        <v>0</v>
      </c>
      <c r="AV13">
        <f t="shared" ref="AV13:AV30" si="32">Z13/Z$5</f>
        <v>0</v>
      </c>
      <c r="AW13">
        <f t="shared" ref="AW13:AW30" si="33">AA13/AA$5</f>
        <v>0</v>
      </c>
      <c r="AX13">
        <f t="shared" ref="AX13:AX30" si="34">AB13/AB$5</f>
        <v>0</v>
      </c>
      <c r="AY13">
        <f t="shared" ref="AY13:AY30" si="35">AC13/AC$5</f>
        <v>0</v>
      </c>
      <c r="AZ13">
        <f t="shared" ref="AZ13:AZ30" si="36">AD13/AD$5</f>
        <v>0</v>
      </c>
      <c r="BA13">
        <f t="shared" ref="BA13:BA30" si="37">AE13/AE$5</f>
        <v>0</v>
      </c>
      <c r="BB13">
        <f t="shared" ref="BB13:BB30" si="38">AF13/AF$5</f>
        <v>0</v>
      </c>
      <c r="BC13">
        <f t="shared" ref="BC13:BC30" si="39">AG13/AG$5</f>
        <v>0</v>
      </c>
      <c r="BG13">
        <f>O13</f>
        <v>2022</v>
      </c>
      <c r="BH13" s="129">
        <f>IFERROR(VLOOKUP($O13,'Table 3 PNC Wind_2026'!$B$10:$L$37,11,FALSE),0)</f>
        <v>0</v>
      </c>
      <c r="BI13" s="129">
        <f>IFERROR(VLOOKUP($O13,'Table 3 PNC Wind_2032'!$B$10:$L$37,11,FALSE),0)</f>
        <v>0</v>
      </c>
      <c r="BJ13" s="129">
        <f>IFERROR(VLOOKUP($O13,'Table 3 WV Wind_2026'!$B$10:$L$37,11,FALSE),0)</f>
        <v>0</v>
      </c>
      <c r="BK13" s="129">
        <f>IFERROR(VLOOKUP($O13,'Table 3 WYE Wind_2030'!$B$10:$L$37,11,FALSE),0)</f>
        <v>0</v>
      </c>
      <c r="BL13" s="129">
        <f>IFERROR(VLOOKUP($O13,'Table 3 WYE_DJ Wind_2030'!$B$10:$L$37,11,FALSE),0)</f>
        <v>0</v>
      </c>
      <c r="BM13" s="129">
        <f>IFERROR(VLOOKUP($O13,'Table 3 YK WindwS_2030'!$B$10:$L$37,11,FALSE),0)</f>
        <v>0</v>
      </c>
      <c r="BN13" s="129">
        <f>IFERROR(VLOOKUP($O13,'Table 3 PV wS Borah_2026'!$B$10:$K$37,10,FALSE),0)</f>
        <v>0</v>
      </c>
      <c r="BO13" s="386"/>
      <c r="BP13" s="129">
        <f>IFERROR(VLOOKUP($O13,'Table 3 PV wS SOR_2030'!$B$10:$K$37,10,FALSE),0)</f>
        <v>0</v>
      </c>
      <c r="BQ13" s="129">
        <f>IFERROR(VLOOKUP($O13,'Table 3 PV wS YK_2030'!$B$10:$K$37,10,FALSE),0)</f>
        <v>0</v>
      </c>
      <c r="BR13" s="129">
        <f>IFERROR(VLOOKUP($O13,'Table 3 PV wS UTN_2031'!$B$15:$K$37,10,FALSE),0)</f>
        <v>0</v>
      </c>
      <c r="BS13" s="129">
        <f>IFERROR(VLOOKUP($O13,'Table 3 PV wS UTS_2033'!B15:K37,10,FALSE),0)</f>
        <v>0</v>
      </c>
      <c r="BT13" s="129"/>
      <c r="BU13" s="386"/>
      <c r="BV13" s="129">
        <f>IFERROR(VLOOKUP($O13,'Table 3 StdBat  DJ_2029'!$B$15:$K$37,10,FALSE),0)</f>
        <v>0</v>
      </c>
      <c r="BW13" s="129">
        <f>IFERROR(VLOOKUP($O13,'Table 3 NonE 206MW (UTN) 2033'!$B$14:$M$36,12,FALSE),0)</f>
        <v>0</v>
      </c>
      <c r="BX13" s="129">
        <f>IFERROR(VLOOKUP($O13,'Table 3 NonE 196MW (NTN)'!$B$14:$M$36,12,FALSE),0)</f>
        <v>0</v>
      </c>
      <c r="BY13" s="385"/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40">SUM(CD13:CX13)</f>
        <v>0</v>
      </c>
      <c r="DA13">
        <f t="shared" ref="DA13:DA30" si="41">O13</f>
        <v>2022</v>
      </c>
      <c r="DB13" s="89">
        <f>IFERROR(VLOOKUP($DA13,'Table 3 TransCost'!$AA$10:$AD$32,4,FALSE),0)</f>
        <v>0</v>
      </c>
      <c r="DC13" s="171">
        <f>$DB$5*DB13/1000</f>
        <v>0</v>
      </c>
    </row>
    <row r="14" spans="2:107" customFormat="1">
      <c r="B14" s="15">
        <f t="shared" ref="B14:B34" si="42">B13+1</f>
        <v>2023</v>
      </c>
      <c r="C14" s="9">
        <f t="shared" si="21"/>
        <v>0</v>
      </c>
      <c r="D14" s="45"/>
      <c r="E14" s="9">
        <f t="shared" ref="E14:E32" ca="1" si="43">SUMIF(INDIRECT("'Table 5'!$J$"&amp;$K$3&amp;":$J$"&amp;$K$4),B14,INDIRECT("'Table 5'!$c$"&amp;$K$3&amp;":$c$"&amp;$K$4))/SUMIF(INDIRECT("'Table 5'!$J$"&amp;$K$3&amp;":$J$"&amp;$K$4),B14,INDIRECT("'Table 5'!$f$"&amp;$K$3&amp;":$f$"&amp;$K$4))</f>
        <v>30.228965736097177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30.228965736097177</v>
      </c>
      <c r="H14" s="36"/>
      <c r="I14" s="171"/>
      <c r="J14" s="171"/>
      <c r="O14">
        <f t="shared" si="22"/>
        <v>2023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L14">
        <f t="shared" si="23"/>
        <v>0</v>
      </c>
      <c r="AM14">
        <f t="shared" si="23"/>
        <v>0</v>
      </c>
      <c r="AN14">
        <f t="shared" si="24"/>
        <v>0</v>
      </c>
      <c r="AO14">
        <f t="shared" si="25"/>
        <v>0</v>
      </c>
      <c r="AP14">
        <f t="shared" si="26"/>
        <v>0</v>
      </c>
      <c r="AQ14">
        <f t="shared" si="27"/>
        <v>0</v>
      </c>
      <c r="AR14">
        <f t="shared" si="28"/>
        <v>0</v>
      </c>
      <c r="AS14">
        <f t="shared" si="29"/>
        <v>0</v>
      </c>
      <c r="AT14">
        <f t="shared" si="30"/>
        <v>0</v>
      </c>
      <c r="AU14">
        <f t="shared" si="31"/>
        <v>0</v>
      </c>
      <c r="AV14">
        <f t="shared" si="32"/>
        <v>0</v>
      </c>
      <c r="AW14">
        <f t="shared" si="33"/>
        <v>0</v>
      </c>
      <c r="AX14">
        <f t="shared" si="34"/>
        <v>0</v>
      </c>
      <c r="AY14">
        <f t="shared" si="35"/>
        <v>0</v>
      </c>
      <c r="AZ14">
        <f t="shared" si="36"/>
        <v>0</v>
      </c>
      <c r="BA14">
        <f t="shared" si="37"/>
        <v>0</v>
      </c>
      <c r="BB14">
        <f t="shared" si="38"/>
        <v>0</v>
      </c>
      <c r="BC14">
        <f t="shared" si="39"/>
        <v>0</v>
      </c>
      <c r="BG14">
        <f t="shared" ref="BG14:BG30" si="44">O14</f>
        <v>2023</v>
      </c>
      <c r="BH14" s="129">
        <f>IFERROR(VLOOKUP($O14,'Table 3 PNC Wind_2026'!$B$10:$L$37,11,FALSE),0)</f>
        <v>0</v>
      </c>
      <c r="BI14" s="129">
        <f>IFERROR(VLOOKUP($O14,'Table 3 PNC Wind_2032'!$B$10:$L$37,11,FALSE),0)</f>
        <v>0</v>
      </c>
      <c r="BJ14" s="129">
        <f>IFERROR(VLOOKUP($O14,'Table 3 WV Wind_2026'!$B$10:$L$37,11,FALSE),0)</f>
        <v>0</v>
      </c>
      <c r="BK14" s="129">
        <f>IFERROR(VLOOKUP($O14,'Table 3 WYE Wind_2030'!$B$10:$L$37,11,FALSE),0)</f>
        <v>0</v>
      </c>
      <c r="BL14" s="129">
        <f>IFERROR(VLOOKUP($O14,'Table 3 WYE_DJ Wind_2030'!$B$10:$L$37,11,FALSE),0)</f>
        <v>0</v>
      </c>
      <c r="BM14" s="129">
        <f>IFERROR(VLOOKUP($O14,'Table 3 YK WindwS_2030'!$B$10:$L$37,11,FALSE),0)</f>
        <v>0</v>
      </c>
      <c r="BN14" s="129">
        <f>IFERROR(VLOOKUP($O14,'Table 3 PV wS Borah_2026'!$B$10:$K$37,10,FALSE),0)</f>
        <v>0</v>
      </c>
      <c r="BO14" s="386"/>
      <c r="BP14" s="129">
        <f>IFERROR(VLOOKUP($O14,'Table 3 PV wS SOR_2030'!$B$10:$K$37,10,FALSE),0)</f>
        <v>0</v>
      </c>
      <c r="BQ14" s="129">
        <f>IFERROR(VLOOKUP($O14,'Table 3 PV wS YK_2030'!$B$10:$K$37,10,FALSE),0)</f>
        <v>0</v>
      </c>
      <c r="BR14" s="129">
        <f>IFERROR(VLOOKUP($O14,'Table 3 PV wS UTN_2031'!$B$15:$K$37,10,FALSE),0)</f>
        <v>0</v>
      </c>
      <c r="BS14" s="129">
        <f>IFERROR(VLOOKUP($O14,'Table 3 PV wS UTS_2033'!B16:K38,10,FALSE),0)</f>
        <v>0</v>
      </c>
      <c r="BT14" s="385"/>
      <c r="BU14" s="386"/>
      <c r="BV14" s="129">
        <f>IFERROR(VLOOKUP($O14,'Table 3 StdBat  DJ_2029'!$B$15:$K$37,10,FALSE),0)</f>
        <v>0</v>
      </c>
      <c r="BW14" s="129">
        <f>IFERROR(VLOOKUP($O14,'Table 3 NonE 206MW (UTN) 2033'!$B$14:$M$36,12,FALSE),0)</f>
        <v>0</v>
      </c>
      <c r="BX14" s="129">
        <f>IFERROR(VLOOKUP($O14,'Table 3 NonE 196MW (NTN)'!$B$14:$M$36,12,FALSE),0)</f>
        <v>0</v>
      </c>
      <c r="BY14" s="385"/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40"/>
        <v>0</v>
      </c>
      <c r="DA14">
        <f t="shared" si="41"/>
        <v>2023</v>
      </c>
      <c r="DB14" s="89">
        <f>IFERROR(VLOOKUP($DA14,'Table 3 TransCost'!$AA$10:$AD$32,4,FALSE),0)</f>
        <v>0</v>
      </c>
      <c r="DC14" s="171">
        <f t="shared" ref="DC14:DC30" si="45">$DB$5*DB14/1000</f>
        <v>0</v>
      </c>
    </row>
    <row r="15" spans="2:107" customFormat="1">
      <c r="B15" s="15">
        <f t="shared" si="42"/>
        <v>2024</v>
      </c>
      <c r="C15" s="9">
        <f t="shared" si="21"/>
        <v>0</v>
      </c>
      <c r="D15" s="45"/>
      <c r="E15" s="9">
        <f t="shared" ca="1" si="43"/>
        <v>32.164512348755068</v>
      </c>
      <c r="F15" s="37"/>
      <c r="G15" s="14">
        <f t="shared" ref="G15:G34" ca="1" si="46">SUMIF(INDIRECT("'Table 5'!$J$"&amp;$K$3&amp;":$J$"&amp;$K$4),B15,INDIRECT("'Table 5'!$e$"&amp;$K$3&amp;":$e$"&amp;$K$4))/SUMIF(INDIRECT("'Table 5'!$J$"&amp;$K$3&amp;":$J$"&amp;$K$4),B15,INDIRECT("'Table 5'!$f$"&amp;$K$3&amp;":$f$"&amp;$K$4))</f>
        <v>32.164512348755068</v>
      </c>
      <c r="H15" s="36"/>
      <c r="I15" s="171"/>
      <c r="J15" s="171"/>
      <c r="N15" s="89"/>
      <c r="O15">
        <f t="shared" si="22"/>
        <v>2024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L15">
        <f t="shared" si="23"/>
        <v>0</v>
      </c>
      <c r="AM15">
        <f t="shared" si="23"/>
        <v>0</v>
      </c>
      <c r="AN15">
        <f t="shared" si="24"/>
        <v>0</v>
      </c>
      <c r="AO15">
        <f t="shared" si="25"/>
        <v>0</v>
      </c>
      <c r="AP15">
        <f t="shared" si="26"/>
        <v>0</v>
      </c>
      <c r="AQ15">
        <f t="shared" si="27"/>
        <v>0</v>
      </c>
      <c r="AR15" s="89">
        <f t="shared" si="28"/>
        <v>0</v>
      </c>
      <c r="AS15">
        <f t="shared" si="29"/>
        <v>0</v>
      </c>
      <c r="AT15">
        <f t="shared" si="30"/>
        <v>0</v>
      </c>
      <c r="AU15">
        <f t="shared" si="31"/>
        <v>0</v>
      </c>
      <c r="AV15">
        <f t="shared" si="32"/>
        <v>0</v>
      </c>
      <c r="AW15">
        <f t="shared" si="33"/>
        <v>0</v>
      </c>
      <c r="AX15">
        <f t="shared" si="34"/>
        <v>0</v>
      </c>
      <c r="AY15">
        <f t="shared" si="35"/>
        <v>0</v>
      </c>
      <c r="AZ15">
        <f t="shared" si="36"/>
        <v>0</v>
      </c>
      <c r="BA15">
        <f t="shared" si="37"/>
        <v>0</v>
      </c>
      <c r="BB15">
        <f t="shared" si="38"/>
        <v>0</v>
      </c>
      <c r="BC15">
        <f t="shared" si="39"/>
        <v>0</v>
      </c>
      <c r="BG15">
        <f t="shared" si="44"/>
        <v>2024</v>
      </c>
      <c r="BH15" s="129">
        <f>IFERROR(VLOOKUP($O15,'Table 3 PNC Wind_2026'!$B$10:$L$37,11,FALSE),0)</f>
        <v>0</v>
      </c>
      <c r="BI15" s="129">
        <f>IFERROR(VLOOKUP($O15,'Table 3 PNC Wind_2032'!$B$10:$L$37,11,FALSE),0)</f>
        <v>0</v>
      </c>
      <c r="BJ15" s="129">
        <f>IFERROR(VLOOKUP($O15,'Table 3 WV Wind_2026'!$B$10:$L$37,11,FALSE),0)</f>
        <v>0</v>
      </c>
      <c r="BK15" s="129">
        <f>IFERROR(VLOOKUP($O15,'Table 3 WYE Wind_2030'!$B$10:$L$37,11,FALSE),0)</f>
        <v>0</v>
      </c>
      <c r="BL15" s="129">
        <f>IFERROR(VLOOKUP($O15,'Table 3 WYE_DJ Wind_2030'!$B$10:$L$37,11,FALSE),0)</f>
        <v>0</v>
      </c>
      <c r="BM15" s="129">
        <f>IFERROR(VLOOKUP($O15,'Table 3 YK WindwS_2030'!$B$10:$L$37,11,FALSE),0)</f>
        <v>0</v>
      </c>
      <c r="BN15" s="129">
        <f>IFERROR(VLOOKUP($O15,'Table 3 PV wS Borah_2026'!$B$10:$K$37,10,FALSE),0)</f>
        <v>0</v>
      </c>
      <c r="BO15" s="386"/>
      <c r="BP15" s="129">
        <f>IFERROR(VLOOKUP($O15,'Table 3 PV wS SOR_2030'!$B$10:$K$37,10,FALSE),0)</f>
        <v>0</v>
      </c>
      <c r="BQ15" s="129">
        <f>IFERROR(VLOOKUP($O15,'Table 3 PV wS YK_2030'!$B$10:$K$37,10,FALSE),0)</f>
        <v>0</v>
      </c>
      <c r="BR15" s="129">
        <f>IFERROR(VLOOKUP($O15,'Table 3 PV wS UTN_2031'!$B$15:$K$37,10,FALSE),0)</f>
        <v>0</v>
      </c>
      <c r="BS15" s="129">
        <f>IFERROR(VLOOKUP($O15,'Table 3 PV wS UTS_2033'!B17:K39,10,FALSE),0)</f>
        <v>0</v>
      </c>
      <c r="BT15" s="385"/>
      <c r="BU15" s="386"/>
      <c r="BV15" s="129">
        <f>IFERROR(VLOOKUP($O15,'Table 3 StdBat  DJ_2029'!$B$15:$K$37,10,FALSE),0)</f>
        <v>0</v>
      </c>
      <c r="BW15" s="129">
        <f>IFERROR(VLOOKUP($O15,'Table 3 NonE 206MW (UTN) 2033'!$B$14:$M$36,12,FALSE),0)</f>
        <v>0</v>
      </c>
      <c r="BX15" s="129">
        <f>IFERROR(VLOOKUP($O15,'Table 3 NonE 196MW (NTN)'!$B$14:$M$36,12,FALSE),0)</f>
        <v>0</v>
      </c>
      <c r="BY15" s="385"/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41"/>
        <v>2024</v>
      </c>
      <c r="DB15" s="89">
        <f>IFERROR(VLOOKUP($DA15,'Table 3 TransCost'!$AA$10:$AD$32,4,FALSE),0)</f>
        <v>0</v>
      </c>
      <c r="DC15" s="171">
        <f t="shared" si="45"/>
        <v>0</v>
      </c>
    </row>
    <row r="16" spans="2:107" customFormat="1">
      <c r="B16" s="15">
        <f t="shared" si="42"/>
        <v>2025</v>
      </c>
      <c r="C16" s="9">
        <f t="shared" si="21"/>
        <v>0</v>
      </c>
      <c r="D16" s="45"/>
      <c r="E16" s="9">
        <f t="shared" ca="1" si="43"/>
        <v>27.852830281407748</v>
      </c>
      <c r="F16" s="37"/>
      <c r="G16" s="14">
        <f t="shared" ca="1" si="46"/>
        <v>27.852830281407748</v>
      </c>
      <c r="H16" s="36"/>
      <c r="I16" s="171"/>
      <c r="J16" s="89"/>
      <c r="O16">
        <f t="shared" si="22"/>
        <v>2025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L16">
        <f t="shared" si="23"/>
        <v>0</v>
      </c>
      <c r="AM16">
        <f t="shared" si="23"/>
        <v>0</v>
      </c>
      <c r="AN16">
        <f t="shared" si="24"/>
        <v>0</v>
      </c>
      <c r="AO16">
        <f t="shared" si="25"/>
        <v>0</v>
      </c>
      <c r="AP16">
        <f t="shared" si="26"/>
        <v>0</v>
      </c>
      <c r="AQ16">
        <f t="shared" si="27"/>
        <v>0</v>
      </c>
      <c r="AR16">
        <f t="shared" si="28"/>
        <v>0</v>
      </c>
      <c r="AS16">
        <f t="shared" si="29"/>
        <v>0</v>
      </c>
      <c r="AT16">
        <f t="shared" si="30"/>
        <v>0</v>
      </c>
      <c r="AU16">
        <f t="shared" si="31"/>
        <v>0</v>
      </c>
      <c r="AV16">
        <f t="shared" si="32"/>
        <v>0</v>
      </c>
      <c r="AW16">
        <f t="shared" si="33"/>
        <v>0</v>
      </c>
      <c r="AX16">
        <f t="shared" si="34"/>
        <v>0</v>
      </c>
      <c r="AY16">
        <f t="shared" si="35"/>
        <v>0</v>
      </c>
      <c r="AZ16">
        <f t="shared" si="36"/>
        <v>0</v>
      </c>
      <c r="BA16">
        <f t="shared" si="37"/>
        <v>0</v>
      </c>
      <c r="BB16">
        <f t="shared" si="38"/>
        <v>0</v>
      </c>
      <c r="BC16">
        <f t="shared" si="39"/>
        <v>0</v>
      </c>
      <c r="BG16">
        <f t="shared" si="44"/>
        <v>2025</v>
      </c>
      <c r="BH16" s="129">
        <f>IFERROR(VLOOKUP($O16,'Table 3 PNC Wind_2026'!$B$10:$L$37,11,FALSE),0)</f>
        <v>0</v>
      </c>
      <c r="BI16" s="129">
        <f>IFERROR(VLOOKUP($O16,'Table 3 PNC Wind_2032'!$B$10:$L$37,11,FALSE),0)</f>
        <v>0</v>
      </c>
      <c r="BJ16" s="129">
        <f>IFERROR(VLOOKUP($O16,'Table 3 WV Wind_2026'!$B$10:$L$37,11,FALSE),0)</f>
        <v>0</v>
      </c>
      <c r="BK16" s="129">
        <f>IFERROR(VLOOKUP($O16,'Table 3 WYE Wind_2030'!$B$10:$L$37,11,FALSE),0)</f>
        <v>0</v>
      </c>
      <c r="BL16" s="129">
        <f>IFERROR(VLOOKUP($O16,'Table 3 WYE_DJ Wind_2030'!$B$10:$L$37,11,FALSE),0)</f>
        <v>0</v>
      </c>
      <c r="BM16" s="129">
        <f>IFERROR(VLOOKUP($O16,'Table 3 YK WindwS_2030'!$B$10:$L$37,11,FALSE),0)</f>
        <v>0</v>
      </c>
      <c r="BN16" s="129">
        <f>IFERROR(VLOOKUP($O16,'Table 3 PV wS Borah_2026'!$B$10:$K$37,10,FALSE),0)</f>
        <v>0</v>
      </c>
      <c r="BO16" s="386"/>
      <c r="BP16" s="129">
        <f>IFERROR(VLOOKUP($O16,'Table 3 PV wS SOR_2030'!$B$10:$K$37,10,FALSE),0)</f>
        <v>0</v>
      </c>
      <c r="BQ16" s="129">
        <f>IFERROR(VLOOKUP($O16,'Table 3 PV wS YK_2030'!$B$10:$K$37,10,FALSE),0)</f>
        <v>0</v>
      </c>
      <c r="BR16" s="129">
        <f>IFERROR(VLOOKUP($O16,'Table 3 PV wS UTN_2031'!$B$15:$K$37,10,FALSE),0)</f>
        <v>0</v>
      </c>
      <c r="BS16" s="129">
        <f>IFERROR(VLOOKUP($O16,'Table 3 PV wS UTS_2033'!B18:K40,10,FALSE),0)</f>
        <v>0</v>
      </c>
      <c r="BT16" s="385"/>
      <c r="BU16" s="386"/>
      <c r="BV16" s="129">
        <f>IFERROR(VLOOKUP($O16,'Table 3 StdBat  DJ_2029'!$B$15:$K$37,10,FALSE),0)</f>
        <v>0</v>
      </c>
      <c r="BW16" s="129">
        <f>IFERROR(VLOOKUP($O16,'Table 3 NonE 206MW (UTN) 2033'!$B$14:$M$36,12,FALSE),0)</f>
        <v>0</v>
      </c>
      <c r="BX16" s="129">
        <f>IFERROR(VLOOKUP($O16,'Table 3 NonE 196MW (NTN)'!$B$14:$M$36,12,FALSE),0)</f>
        <v>0</v>
      </c>
      <c r="BY16" s="385"/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7">SUM(CD16:CX16)</f>
        <v>0</v>
      </c>
      <c r="DA16">
        <f t="shared" si="41"/>
        <v>2025</v>
      </c>
      <c r="DB16" s="89">
        <f>IFERROR(VLOOKUP($DA16,'Table 3 TransCost'!$AA$10:$AD$32,4,FALSE),0)</f>
        <v>0</v>
      </c>
      <c r="DC16" s="171">
        <f t="shared" si="45"/>
        <v>0</v>
      </c>
    </row>
    <row r="17" spans="2:107">
      <c r="B17" s="15">
        <f t="shared" si="42"/>
        <v>2026</v>
      </c>
      <c r="C17" s="9">
        <f t="shared" si="21"/>
        <v>0</v>
      </c>
      <c r="D17" s="45"/>
      <c r="E17" s="9">
        <f t="shared" ca="1" si="43"/>
        <v>36.213150991757814</v>
      </c>
      <c r="F17" s="37"/>
      <c r="G17" s="14">
        <f t="shared" ca="1" si="46"/>
        <v>36.213150991757814</v>
      </c>
      <c r="H17" s="36"/>
      <c r="I17" s="171"/>
      <c r="J17" s="89"/>
      <c r="O17">
        <f t="shared" si="22"/>
        <v>2026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L17">
        <f t="shared" si="23"/>
        <v>0</v>
      </c>
      <c r="AM17">
        <f t="shared" si="23"/>
        <v>0</v>
      </c>
      <c r="AN17">
        <f t="shared" si="24"/>
        <v>0</v>
      </c>
      <c r="AO17">
        <f t="shared" si="25"/>
        <v>0</v>
      </c>
      <c r="AP17">
        <f t="shared" si="26"/>
        <v>0</v>
      </c>
      <c r="AQ17">
        <f t="shared" si="27"/>
        <v>0</v>
      </c>
      <c r="AR17">
        <f t="shared" si="28"/>
        <v>0</v>
      </c>
      <c r="AS17">
        <f t="shared" si="29"/>
        <v>0</v>
      </c>
      <c r="AT17">
        <f t="shared" si="30"/>
        <v>0</v>
      </c>
      <c r="AU17">
        <f t="shared" si="31"/>
        <v>0</v>
      </c>
      <c r="AV17">
        <f t="shared" si="32"/>
        <v>0</v>
      </c>
      <c r="AW17">
        <f t="shared" si="33"/>
        <v>0</v>
      </c>
      <c r="AX17">
        <f t="shared" si="34"/>
        <v>0</v>
      </c>
      <c r="AY17">
        <f t="shared" si="35"/>
        <v>0</v>
      </c>
      <c r="AZ17">
        <f t="shared" si="36"/>
        <v>0</v>
      </c>
      <c r="BA17">
        <f t="shared" si="37"/>
        <v>0</v>
      </c>
      <c r="BB17">
        <f t="shared" si="38"/>
        <v>0</v>
      </c>
      <c r="BC17" s="171">
        <f t="shared" si="39"/>
        <v>0</v>
      </c>
      <c r="BG17">
        <f t="shared" si="44"/>
        <v>2026</v>
      </c>
      <c r="BH17" s="129">
        <f>IFERROR(VLOOKUP($O17,'Table 3 PNC Wind_2026'!$B$10:$L$37,11,FALSE),0)</f>
        <v>191.59144468071452</v>
      </c>
      <c r="BI17" s="129">
        <f>IFERROR(VLOOKUP($O17,'Table 3 PNC Wind_2032'!$B$10:$L$37,11,FALSE),0)</f>
        <v>0</v>
      </c>
      <c r="BJ17" s="129">
        <f>IFERROR(VLOOKUP($O17,'Table 3 WV Wind_2026'!$B$10:$L$37,11,FALSE),0)</f>
        <v>175.02113373468126</v>
      </c>
      <c r="BK17" s="129">
        <f>IFERROR(VLOOKUP($O17,'Table 3 WYE Wind_2030'!$B$10:$L$37,11,FALSE),0)</f>
        <v>0</v>
      </c>
      <c r="BL17" s="129">
        <f>IFERROR(VLOOKUP($O17,'Table 3 WYE_DJ Wind_2030'!$B$10:$L$37,11,FALSE),0)</f>
        <v>0</v>
      </c>
      <c r="BM17" s="129">
        <f>IFERROR(VLOOKUP($O17,'Table 3 YK WindwS_2030'!$B$10:$L$37,11,FALSE),0)</f>
        <v>0</v>
      </c>
      <c r="BN17" s="129">
        <f>IFERROR(VLOOKUP($O17,'Table 3 PV wS Borah_2026'!$B$10:$K$37,10,FALSE),0)</f>
        <v>183.64304804045611</v>
      </c>
      <c r="BO17" s="386"/>
      <c r="BP17" s="129">
        <f>IFERROR(VLOOKUP($O17,'Table 3 PV wS SOR_2030'!$B$10:$K$37,10,FALSE),0)</f>
        <v>0</v>
      </c>
      <c r="BQ17" s="129">
        <f>IFERROR(VLOOKUP($O17,'Table 3 PV wS YK_2030'!$B$10:$K$37,10,FALSE),0)</f>
        <v>0</v>
      </c>
      <c r="BR17" s="129">
        <f>IFERROR(VLOOKUP($O17,'Table 3 PV wS UTN_2031'!$B$15:$K$37,10,FALSE),0)</f>
        <v>0</v>
      </c>
      <c r="BS17" s="129">
        <f>IFERROR(VLOOKUP($O17,'Table 3 PV wS UTS_2033'!B19:K41,10,FALSE),0)</f>
        <v>0</v>
      </c>
      <c r="BT17" s="385"/>
      <c r="BU17" s="386"/>
      <c r="BV17" s="129">
        <f>IFERROR(VLOOKUP($O17,'Table 3 StdBat  DJ_2029'!$B$15:$K$37,10,FALSE),0)</f>
        <v>0</v>
      </c>
      <c r="BW17" s="129">
        <f>IFERROR(VLOOKUP($O17,'Table 3 NonE 206MW (UTN) 2033'!$B$14:$M$36,12,FALSE),0)</f>
        <v>0</v>
      </c>
      <c r="BX17" s="129">
        <f>IFERROR(VLOOKUP($O17,'Table 3 NonE 196MW (NTN)'!$B$14:$M$36,12,FALSE),0)</f>
        <v>0</v>
      </c>
      <c r="BY17" s="385"/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7"/>
        <v>0</v>
      </c>
      <c r="DA17">
        <f t="shared" si="41"/>
        <v>2026</v>
      </c>
      <c r="DB17" s="89">
        <f>IFERROR(VLOOKUP($DA17,'Table 3 TransCost'!$AA$10:$AD$32,4,FALSE),0)</f>
        <v>54.441007169221002</v>
      </c>
      <c r="DC17" s="171">
        <f t="shared" si="45"/>
        <v>0</v>
      </c>
    </row>
    <row r="18" spans="2:107">
      <c r="B18" s="15">
        <f t="shared" si="42"/>
        <v>2027</v>
      </c>
      <c r="C18" s="9">
        <f t="shared" si="21"/>
        <v>0</v>
      </c>
      <c r="D18" s="45"/>
      <c r="E18" s="9">
        <f t="shared" ca="1" si="43"/>
        <v>37.332598292099128</v>
      </c>
      <c r="F18" s="37"/>
      <c r="G18" s="14">
        <f t="shared" ca="1" si="46"/>
        <v>37.332598292099128</v>
      </c>
      <c r="H18" s="36"/>
      <c r="I18" s="171"/>
      <c r="J18" s="89"/>
      <c r="O18">
        <f t="shared" si="22"/>
        <v>2027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L18">
        <f t="shared" si="23"/>
        <v>0</v>
      </c>
      <c r="AM18">
        <f t="shared" si="23"/>
        <v>0</v>
      </c>
      <c r="AN18">
        <f t="shared" si="24"/>
        <v>0</v>
      </c>
      <c r="AO18" s="89">
        <f t="shared" si="25"/>
        <v>0</v>
      </c>
      <c r="AP18">
        <f t="shared" si="26"/>
        <v>0</v>
      </c>
      <c r="AQ18">
        <f t="shared" si="27"/>
        <v>0</v>
      </c>
      <c r="AR18">
        <f t="shared" si="28"/>
        <v>0</v>
      </c>
      <c r="AS18">
        <f t="shared" si="29"/>
        <v>0</v>
      </c>
      <c r="AT18">
        <f t="shared" si="30"/>
        <v>0</v>
      </c>
      <c r="AU18">
        <f t="shared" si="31"/>
        <v>0</v>
      </c>
      <c r="AV18">
        <f t="shared" si="32"/>
        <v>0</v>
      </c>
      <c r="AW18">
        <f t="shared" si="33"/>
        <v>0</v>
      </c>
      <c r="AX18">
        <f t="shared" si="34"/>
        <v>0</v>
      </c>
      <c r="AY18">
        <f t="shared" si="35"/>
        <v>0</v>
      </c>
      <c r="AZ18">
        <f t="shared" si="36"/>
        <v>0</v>
      </c>
      <c r="BA18">
        <f t="shared" si="37"/>
        <v>0</v>
      </c>
      <c r="BB18">
        <f t="shared" si="38"/>
        <v>0</v>
      </c>
      <c r="BC18">
        <f t="shared" si="39"/>
        <v>0</v>
      </c>
      <c r="BG18">
        <f t="shared" si="44"/>
        <v>2027</v>
      </c>
      <c r="BH18" s="129">
        <f>IFERROR(VLOOKUP($O18,'Table 3 PNC Wind_2026'!$B$10:$L$37,11,FALSE),0)</f>
        <v>195.72</v>
      </c>
      <c r="BI18" s="129">
        <f>IFERROR(VLOOKUP($O18,'Table 3 PNC Wind_2032'!$B$10:$L$37,11,FALSE),0)</f>
        <v>0</v>
      </c>
      <c r="BJ18" s="129">
        <f>IFERROR(VLOOKUP($O18,'Table 3 WV Wind_2026'!$B$10:$L$37,11,FALSE),0)</f>
        <v>178.79</v>
      </c>
      <c r="BK18" s="129">
        <f>IFERROR(VLOOKUP($O18,'Table 3 WYE Wind_2030'!$B$10:$L$37,11,FALSE),0)</f>
        <v>0</v>
      </c>
      <c r="BL18" s="129">
        <f>IFERROR(VLOOKUP($O18,'Table 3 WYE_DJ Wind_2030'!$B$10:$L$37,11,FALSE),0)</f>
        <v>0</v>
      </c>
      <c r="BM18" s="129">
        <f>IFERROR(VLOOKUP($O18,'Table 3 YK WindwS_2030'!$B$10:$L$37,11,FALSE),0)</f>
        <v>0</v>
      </c>
      <c r="BN18" s="129">
        <f>IFERROR(VLOOKUP($O18,'Table 3 PV wS Borah_2026'!$B$10:$K$37,10,FALSE),0)</f>
        <v>187.60999999999999</v>
      </c>
      <c r="BO18" s="386"/>
      <c r="BP18" s="129">
        <f>IFERROR(VLOOKUP($O18,'Table 3 PV wS SOR_2030'!$B$10:$K$37,10,FALSE),0)</f>
        <v>0</v>
      </c>
      <c r="BQ18" s="129">
        <f>IFERROR(VLOOKUP($O18,'Table 3 PV wS YK_2030'!$B$10:$K$37,10,FALSE),0)</f>
        <v>0</v>
      </c>
      <c r="BR18" s="129">
        <f>IFERROR(VLOOKUP($O18,'Table 3 PV wS UTN_2031'!$B$15:$K$37,10,FALSE),0)</f>
        <v>0</v>
      </c>
      <c r="BS18" s="129">
        <f>IFERROR(VLOOKUP($O18,'Table 3 PV wS UTS_2033'!B20:K42,10,FALSE),0)</f>
        <v>0</v>
      </c>
      <c r="BT18" s="385"/>
      <c r="BU18" s="386"/>
      <c r="BV18" s="129">
        <f>IFERROR(VLOOKUP($O18,'Table 3 StdBat  DJ_2029'!$B$15:$K$37,10,FALSE),0)</f>
        <v>0</v>
      </c>
      <c r="BW18" s="129">
        <f>IFERROR(VLOOKUP($O18,'Table 3 NonE 206MW (UTN) 2033'!$B$14:$M$36,12,FALSE),0)</f>
        <v>0</v>
      </c>
      <c r="BX18" s="129">
        <f>IFERROR(VLOOKUP($O18,'Table 3 NonE 196MW (NTN)'!$B$14:$M$36,12,FALSE),0)</f>
        <v>0</v>
      </c>
      <c r="BY18" s="385"/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7"/>
        <v>0</v>
      </c>
      <c r="DA18">
        <f t="shared" si="41"/>
        <v>2027</v>
      </c>
      <c r="DB18" s="89">
        <f>IFERROR(VLOOKUP($DA18,'Table 3 TransCost'!$AA$10:$AD$32,4,FALSE),0)</f>
        <v>55.75</v>
      </c>
      <c r="DC18" s="171">
        <f t="shared" si="45"/>
        <v>0</v>
      </c>
    </row>
    <row r="19" spans="2:107">
      <c r="B19" s="15">
        <f t="shared" si="42"/>
        <v>2028</v>
      </c>
      <c r="C19" s="9">
        <f t="shared" si="21"/>
        <v>0</v>
      </c>
      <c r="D19" s="45"/>
      <c r="E19" s="9">
        <f t="shared" ca="1" si="43"/>
        <v>39.950886530226356</v>
      </c>
      <c r="F19" s="37"/>
      <c r="G19" s="14">
        <f t="shared" ca="1" si="46"/>
        <v>39.950886530226356</v>
      </c>
      <c r="H19" s="36"/>
      <c r="I19" s="171"/>
      <c r="J19" s="89"/>
      <c r="O19">
        <f t="shared" si="22"/>
        <v>2028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L19">
        <f t="shared" si="23"/>
        <v>0</v>
      </c>
      <c r="AM19">
        <f t="shared" si="23"/>
        <v>0</v>
      </c>
      <c r="AN19">
        <f t="shared" si="24"/>
        <v>0</v>
      </c>
      <c r="AO19">
        <f t="shared" si="25"/>
        <v>0</v>
      </c>
      <c r="AP19">
        <f t="shared" si="26"/>
        <v>0</v>
      </c>
      <c r="AQ19">
        <f t="shared" si="27"/>
        <v>0</v>
      </c>
      <c r="AR19">
        <f t="shared" si="28"/>
        <v>0</v>
      </c>
      <c r="AS19">
        <f t="shared" si="29"/>
        <v>0</v>
      </c>
      <c r="AT19">
        <f t="shared" si="30"/>
        <v>0</v>
      </c>
      <c r="AU19">
        <f t="shared" si="31"/>
        <v>0</v>
      </c>
      <c r="AV19">
        <f t="shared" si="32"/>
        <v>0</v>
      </c>
      <c r="AW19">
        <f t="shared" si="33"/>
        <v>0</v>
      </c>
      <c r="AX19">
        <f t="shared" si="34"/>
        <v>0</v>
      </c>
      <c r="AY19">
        <f t="shared" si="35"/>
        <v>0</v>
      </c>
      <c r="AZ19">
        <f t="shared" si="36"/>
        <v>0</v>
      </c>
      <c r="BA19">
        <f t="shared" si="37"/>
        <v>0</v>
      </c>
      <c r="BB19">
        <f t="shared" si="38"/>
        <v>0</v>
      </c>
      <c r="BC19">
        <f t="shared" si="39"/>
        <v>0</v>
      </c>
      <c r="BG19">
        <f t="shared" si="44"/>
        <v>2028</v>
      </c>
      <c r="BH19" s="129">
        <f>IFERROR(VLOOKUP($O19,'Table 3 PNC Wind_2026'!$B$10:$L$37,11,FALSE),0)</f>
        <v>199.93</v>
      </c>
      <c r="BI19" s="129">
        <f>IFERROR(VLOOKUP($O19,'Table 3 PNC Wind_2032'!$B$10:$L$37,11,FALSE),0)</f>
        <v>0</v>
      </c>
      <c r="BJ19" s="129">
        <f>IFERROR(VLOOKUP($O19,'Table 3 WV Wind_2026'!$B$10:$L$37,11,FALSE),0)</f>
        <v>182.64000000000001</v>
      </c>
      <c r="BK19" s="129">
        <f>IFERROR(VLOOKUP($O19,'Table 3 WYE Wind_2030'!$B$10:$L$37,11,FALSE),0)</f>
        <v>0</v>
      </c>
      <c r="BL19" s="129">
        <f>IFERROR(VLOOKUP($O19,'Table 3 WYE_DJ Wind_2030'!$B$10:$L$37,11,FALSE),0)</f>
        <v>0</v>
      </c>
      <c r="BM19" s="129">
        <f>IFERROR(VLOOKUP($O19,'Table 3 YK WindwS_2030'!$B$10:$L$37,11,FALSE),0)</f>
        <v>0</v>
      </c>
      <c r="BN19" s="129">
        <f>IFERROR(VLOOKUP($O19,'Table 3 PV wS Borah_2026'!$B$10:$K$37,10,FALSE),0)</f>
        <v>191.66</v>
      </c>
      <c r="BO19" s="386"/>
      <c r="BP19" s="129">
        <f>IFERROR(VLOOKUP($O19,'Table 3 PV wS SOR_2030'!$B$10:$K$37,10,FALSE),0)</f>
        <v>0</v>
      </c>
      <c r="BQ19" s="129">
        <f>IFERROR(VLOOKUP($O19,'Table 3 PV wS YK_2030'!$B$10:$K$37,10,FALSE),0)</f>
        <v>0</v>
      </c>
      <c r="BR19" s="129">
        <f>IFERROR(VLOOKUP($O19,'Table 3 PV wS UTN_2031'!$B$15:$K$37,10,FALSE),0)</f>
        <v>0</v>
      </c>
      <c r="BS19" s="129">
        <f>IFERROR(VLOOKUP($O19,'Table 3 PV wS UTS_2033'!B21:K43,10,FALSE),0)</f>
        <v>0</v>
      </c>
      <c r="BT19" s="385"/>
      <c r="BU19" s="386"/>
      <c r="BV19" s="129">
        <f>IFERROR(VLOOKUP($O19,'Table 3 StdBat  DJ_2029'!$B$15:$K$37,10,FALSE),0)</f>
        <v>0</v>
      </c>
      <c r="BW19" s="129">
        <f>IFERROR(VLOOKUP($O19,'Table 3 NonE 206MW (UTN) 2033'!$B$14:$M$36,12,FALSE),0)</f>
        <v>0</v>
      </c>
      <c r="BX19" s="129">
        <f>IFERROR(VLOOKUP($O19,'Table 3 NonE 196MW (NTN)'!$B$14:$M$36,12,FALSE),0)</f>
        <v>0</v>
      </c>
      <c r="BY19" s="385"/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7"/>
        <v>0</v>
      </c>
      <c r="DA19">
        <f t="shared" si="41"/>
        <v>2028</v>
      </c>
      <c r="DB19" s="89">
        <f>IFERROR(VLOOKUP($DA19,'Table 3 TransCost'!$AA$10:$AD$32,4,FALSE),0)</f>
        <v>57.09</v>
      </c>
      <c r="DC19" s="171">
        <f t="shared" si="45"/>
        <v>0</v>
      </c>
    </row>
    <row r="20" spans="2:107">
      <c r="B20" s="15">
        <f t="shared" si="42"/>
        <v>2029</v>
      </c>
      <c r="C20" s="9">
        <f t="shared" si="21"/>
        <v>0</v>
      </c>
      <c r="D20" s="45"/>
      <c r="E20" s="9">
        <f t="shared" ca="1" si="43"/>
        <v>40.66680176083009</v>
      </c>
      <c r="F20" s="37"/>
      <c r="G20" s="14">
        <f t="shared" ca="1" si="46"/>
        <v>40.66680176083009</v>
      </c>
      <c r="H20" s="36"/>
      <c r="I20" s="171"/>
      <c r="J20" s="89"/>
      <c r="O20">
        <f t="shared" si="22"/>
        <v>2029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L20">
        <f t="shared" si="23"/>
        <v>0</v>
      </c>
      <c r="AM20">
        <f t="shared" si="23"/>
        <v>0</v>
      </c>
      <c r="AN20">
        <f t="shared" si="24"/>
        <v>0</v>
      </c>
      <c r="AO20">
        <f t="shared" si="25"/>
        <v>0</v>
      </c>
      <c r="AP20">
        <f t="shared" si="26"/>
        <v>0</v>
      </c>
      <c r="AQ20">
        <f t="shared" si="27"/>
        <v>0</v>
      </c>
      <c r="AR20">
        <f t="shared" si="28"/>
        <v>0</v>
      </c>
      <c r="AS20">
        <f t="shared" si="29"/>
        <v>0</v>
      </c>
      <c r="AT20">
        <f t="shared" si="30"/>
        <v>0</v>
      </c>
      <c r="AU20">
        <f t="shared" si="31"/>
        <v>0</v>
      </c>
      <c r="AV20">
        <f t="shared" si="32"/>
        <v>0</v>
      </c>
      <c r="AW20">
        <f t="shared" si="33"/>
        <v>0</v>
      </c>
      <c r="AX20">
        <f t="shared" si="34"/>
        <v>0</v>
      </c>
      <c r="AY20">
        <f t="shared" si="35"/>
        <v>0</v>
      </c>
      <c r="AZ20">
        <f t="shared" si="36"/>
        <v>0</v>
      </c>
      <c r="BA20">
        <f t="shared" si="37"/>
        <v>0</v>
      </c>
      <c r="BB20">
        <f t="shared" si="38"/>
        <v>0</v>
      </c>
      <c r="BC20">
        <f t="shared" si="39"/>
        <v>0</v>
      </c>
      <c r="BG20">
        <f t="shared" si="44"/>
        <v>2029</v>
      </c>
      <c r="BH20" s="129">
        <f>IFERROR(VLOOKUP($O20,'Table 3 PNC Wind_2026'!$B$10:$L$37,11,FALSE),0)</f>
        <v>204.25</v>
      </c>
      <c r="BI20" s="129">
        <f>IFERROR(VLOOKUP($O20,'Table 3 PNC Wind_2032'!$B$10:$L$37,11,FALSE),0)</f>
        <v>0</v>
      </c>
      <c r="BJ20" s="129">
        <f>IFERROR(VLOOKUP($O20,'Table 3 WV Wind_2026'!$B$10:$L$37,11,FALSE),0)</f>
        <v>186.58</v>
      </c>
      <c r="BK20" s="129">
        <f>IFERROR(VLOOKUP($O20,'Table 3 WYE Wind_2030'!$B$10:$L$37,11,FALSE),0)</f>
        <v>0</v>
      </c>
      <c r="BL20" s="129">
        <f>IFERROR(VLOOKUP($O20,'Table 3 WYE_DJ Wind_2030'!$B$10:$L$37,11,FALSE),0)</f>
        <v>0</v>
      </c>
      <c r="BM20" s="129">
        <f>IFERROR(VLOOKUP($O20,'Table 3 YK WindwS_2030'!$B$10:$L$37,11,FALSE),0)</f>
        <v>0</v>
      </c>
      <c r="BN20" s="129">
        <f>IFERROR(VLOOKUP($O20,'Table 3 PV wS Borah_2026'!$B$10:$K$37,10,FALSE),0)</f>
        <v>195.79000000000002</v>
      </c>
      <c r="BO20" s="386"/>
      <c r="BP20" s="129">
        <f>IFERROR(VLOOKUP($O20,'Table 3 PV wS SOR_2030'!$B$10:$K$37,10,FALSE),0)</f>
        <v>0</v>
      </c>
      <c r="BQ20" s="129">
        <f>IFERROR(VLOOKUP($O20,'Table 3 PV wS YK_2030'!$B$10:$K$37,10,FALSE),0)</f>
        <v>0</v>
      </c>
      <c r="BR20" s="129">
        <f>IFERROR(VLOOKUP($O20,'Table 3 PV wS UTN_2031'!$B$15:$K$37,10,FALSE),0)</f>
        <v>0</v>
      </c>
      <c r="BS20" s="129">
        <f>IFERROR(VLOOKUP($O20,'Table 3 PV wS UTS_2033'!B22:K44,10,FALSE),0)</f>
        <v>0</v>
      </c>
      <c r="BT20" s="385"/>
      <c r="BU20" s="386"/>
      <c r="BV20" s="129">
        <f>IFERROR(VLOOKUP($O20,'Table 3 StdBat  DJ_2029'!$B$15:$K$37,10,FALSE),0)</f>
        <v>109.2203161335344</v>
      </c>
      <c r="BW20" s="129">
        <f>IFERROR(VLOOKUP($O20,'Table 3 NonE 206MW (UTN) 2033'!$B$14:$M$36,12,FALSE),0)</f>
        <v>0</v>
      </c>
      <c r="BX20" s="129">
        <f>IFERROR(VLOOKUP($O20,'Table 3 NonE 196MW (NTN)'!$B$14:$M$36,12,FALSE),0)</f>
        <v>0</v>
      </c>
      <c r="BY20" s="385"/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7"/>
        <v>0</v>
      </c>
      <c r="DA20">
        <f t="shared" si="41"/>
        <v>2029</v>
      </c>
      <c r="DB20" s="89">
        <f>IFERROR(VLOOKUP($DA20,'Table 3 TransCost'!$AA$10:$AD$32,4,FALSE),0)</f>
        <v>58.46</v>
      </c>
      <c r="DC20" s="171">
        <f t="shared" si="45"/>
        <v>0</v>
      </c>
    </row>
    <row r="21" spans="2:107">
      <c r="B21" s="15">
        <f t="shared" si="42"/>
        <v>2030</v>
      </c>
      <c r="C21" s="9">
        <f t="shared" si="21"/>
        <v>0</v>
      </c>
      <c r="D21" s="45"/>
      <c r="E21" s="9">
        <f t="shared" ca="1" si="43"/>
        <v>40.112935185241902</v>
      </c>
      <c r="F21" s="37"/>
      <c r="G21" s="14">
        <f t="shared" ca="1" si="46"/>
        <v>40.112935185241902</v>
      </c>
      <c r="H21" s="36"/>
      <c r="I21" s="171"/>
      <c r="J21" s="89"/>
      <c r="O21">
        <f t="shared" si="22"/>
        <v>2030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L21">
        <f t="shared" si="23"/>
        <v>0</v>
      </c>
      <c r="AM21">
        <f t="shared" si="23"/>
        <v>0</v>
      </c>
      <c r="AN21">
        <f t="shared" si="24"/>
        <v>0</v>
      </c>
      <c r="AO21">
        <f t="shared" si="25"/>
        <v>0</v>
      </c>
      <c r="AP21">
        <f t="shared" si="26"/>
        <v>0</v>
      </c>
      <c r="AQ21">
        <f t="shared" si="27"/>
        <v>0</v>
      </c>
      <c r="AR21">
        <f t="shared" si="28"/>
        <v>0</v>
      </c>
      <c r="AS21">
        <f t="shared" si="29"/>
        <v>0</v>
      </c>
      <c r="AT21">
        <f t="shared" si="30"/>
        <v>0</v>
      </c>
      <c r="AU21">
        <f t="shared" si="31"/>
        <v>0</v>
      </c>
      <c r="AV21">
        <f t="shared" si="32"/>
        <v>0</v>
      </c>
      <c r="AW21">
        <f t="shared" si="33"/>
        <v>0</v>
      </c>
      <c r="AX21">
        <f t="shared" si="34"/>
        <v>0</v>
      </c>
      <c r="AY21">
        <f t="shared" si="35"/>
        <v>0</v>
      </c>
      <c r="AZ21">
        <f t="shared" si="36"/>
        <v>0</v>
      </c>
      <c r="BA21">
        <f t="shared" si="37"/>
        <v>0</v>
      </c>
      <c r="BB21">
        <f t="shared" si="38"/>
        <v>0</v>
      </c>
      <c r="BC21">
        <f t="shared" si="39"/>
        <v>0</v>
      </c>
      <c r="BG21">
        <f t="shared" si="44"/>
        <v>2030</v>
      </c>
      <c r="BH21" s="129">
        <f>IFERROR(VLOOKUP($O21,'Table 3 PNC Wind_2026'!$B$10:$L$37,11,FALSE),0)</f>
        <v>208.65</v>
      </c>
      <c r="BI21" s="129">
        <f>IFERROR(VLOOKUP($O21,'Table 3 PNC Wind_2032'!$B$10:$L$37,11,FALSE),0)</f>
        <v>0</v>
      </c>
      <c r="BJ21" s="129">
        <f>IFERROR(VLOOKUP($O21,'Table 3 WV Wind_2026'!$B$10:$L$37,11,FALSE),0)</f>
        <v>190.60000000000002</v>
      </c>
      <c r="BK21" s="129">
        <f>IFERROR(VLOOKUP($O21,'Table 3 WYE Wind_2030'!$B$10:$L$37,11,FALSE),0)</f>
        <v>205.46583054542094</v>
      </c>
      <c r="BL21" s="129">
        <f>IFERROR(VLOOKUP($O21,'Table 3 WYE_DJ Wind_2030'!$B$10:$L$37,11,FALSE),0)</f>
        <v>140.32583054543261</v>
      </c>
      <c r="BM21" s="129">
        <f>IFERROR(VLOOKUP($O21,'Table 3 YK WindwS_2030'!$B$10:$L$37,11,FALSE),0)</f>
        <v>178.28256570150677</v>
      </c>
      <c r="BN21" s="129">
        <f>IFERROR(VLOOKUP($O21,'Table 3 PV wS Borah_2026'!$B$10:$K$37,10,FALSE),0)</f>
        <v>200.01</v>
      </c>
      <c r="BO21" s="386"/>
      <c r="BP21" s="129">
        <f>IFERROR(VLOOKUP($O21,'Table 3 PV wS SOR_2030'!$B$10:$K$37,10,FALSE),0)</f>
        <v>219.45386985142773</v>
      </c>
      <c r="BQ21" s="129">
        <f>IFERROR(VLOOKUP($O21,'Table 3 PV wS YK_2030'!$B$10:$K$37,10,FALSE),0)</f>
        <v>190.37864865102028</v>
      </c>
      <c r="BR21" s="129">
        <f>IFERROR(VLOOKUP($O21,'Table 3 PV wS UTN_2031'!$B$15:$K$37,10,FALSE),0)</f>
        <v>0</v>
      </c>
      <c r="BS21" s="129">
        <f>IFERROR(VLOOKUP($O21,'Table 3 PV wS UTS_2033'!B23:K45,10,FALSE),0)</f>
        <v>0</v>
      </c>
      <c r="BT21" s="385"/>
      <c r="BU21" s="386"/>
      <c r="BV21" s="129">
        <f>IFERROR(VLOOKUP($O21,'Table 3 StdBat  DJ_2029'!$B$15:$K$37,10,FALSE),0)</f>
        <v>111.57</v>
      </c>
      <c r="BW21" s="129">
        <f>IFERROR(VLOOKUP($O21,'Table 3 NonE 206MW (UTN) 2033'!$B$14:$M$36,12,FALSE),0)</f>
        <v>0</v>
      </c>
      <c r="BX21" s="129">
        <f>IFERROR(VLOOKUP($O21,'Table 3 NonE 196MW (NTN)'!$B$14:$M$36,12,FALSE),0)</f>
        <v>0</v>
      </c>
      <c r="BY21" s="385"/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7"/>
        <v>0</v>
      </c>
      <c r="DA21">
        <f t="shared" si="41"/>
        <v>2030</v>
      </c>
      <c r="DB21" s="89">
        <f>IFERROR(VLOOKUP($DA21,'Table 3 TransCost'!$AA$10:$AD$32,4,FALSE),0)</f>
        <v>59.79999999999999</v>
      </c>
      <c r="DC21" s="171">
        <f t="shared" si="45"/>
        <v>0</v>
      </c>
    </row>
    <row r="22" spans="2:107">
      <c r="B22" s="15">
        <f t="shared" si="42"/>
        <v>2031</v>
      </c>
      <c r="C22" s="9">
        <f t="shared" si="21"/>
        <v>0</v>
      </c>
      <c r="D22" s="45"/>
      <c r="E22" s="9">
        <f t="shared" ca="1" si="43"/>
        <v>36.905629916782537</v>
      </c>
      <c r="F22" s="37"/>
      <c r="G22" s="14">
        <f t="shared" ca="1" si="46"/>
        <v>36.905629916782537</v>
      </c>
      <c r="H22" s="36"/>
      <c r="I22" s="171"/>
      <c r="J22" s="89"/>
      <c r="O22">
        <f t="shared" si="22"/>
        <v>2031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L22">
        <f t="shared" si="23"/>
        <v>0</v>
      </c>
      <c r="AM22">
        <f t="shared" si="23"/>
        <v>0</v>
      </c>
      <c r="AN22">
        <f t="shared" si="24"/>
        <v>0</v>
      </c>
      <c r="AO22">
        <f t="shared" si="25"/>
        <v>0</v>
      </c>
      <c r="AP22">
        <f t="shared" si="26"/>
        <v>0</v>
      </c>
      <c r="AQ22">
        <f t="shared" si="27"/>
        <v>0</v>
      </c>
      <c r="AR22">
        <f t="shared" si="28"/>
        <v>0</v>
      </c>
      <c r="AS22">
        <f t="shared" si="29"/>
        <v>0</v>
      </c>
      <c r="AT22">
        <f t="shared" si="30"/>
        <v>0</v>
      </c>
      <c r="AU22">
        <f t="shared" si="31"/>
        <v>0</v>
      </c>
      <c r="AV22">
        <f t="shared" si="32"/>
        <v>0</v>
      </c>
      <c r="AW22">
        <f t="shared" si="33"/>
        <v>0</v>
      </c>
      <c r="AX22">
        <f t="shared" si="34"/>
        <v>0</v>
      </c>
      <c r="AY22">
        <f t="shared" si="35"/>
        <v>0</v>
      </c>
      <c r="AZ22">
        <f t="shared" si="36"/>
        <v>0</v>
      </c>
      <c r="BA22">
        <f t="shared" si="37"/>
        <v>0</v>
      </c>
      <c r="BB22">
        <f t="shared" si="38"/>
        <v>0</v>
      </c>
      <c r="BC22">
        <f t="shared" si="39"/>
        <v>0</v>
      </c>
      <c r="BG22">
        <f t="shared" si="44"/>
        <v>2031</v>
      </c>
      <c r="BH22" s="129">
        <f>IFERROR(VLOOKUP($O22,'Table 3 PNC Wind_2026'!$B$10:$L$37,11,FALSE),0)</f>
        <v>213.14000000000001</v>
      </c>
      <c r="BI22" s="129">
        <f>IFERROR(VLOOKUP($O22,'Table 3 PNC Wind_2032'!$B$10:$L$37,11,FALSE),0)</f>
        <v>0</v>
      </c>
      <c r="BJ22" s="129">
        <f>IFERROR(VLOOKUP($O22,'Table 3 WV Wind_2026'!$B$10:$L$37,11,FALSE),0)</f>
        <v>194.70000000000002</v>
      </c>
      <c r="BK22" s="129">
        <f>IFERROR(VLOOKUP($O22,'Table 3 WYE Wind_2030'!$B$10:$L$37,11,FALSE),0)</f>
        <v>209.89</v>
      </c>
      <c r="BL22" s="129">
        <f>IFERROR(VLOOKUP($O22,'Table 3 WYE_DJ Wind_2030'!$B$10:$L$37,11,FALSE),0)</f>
        <v>143.35</v>
      </c>
      <c r="BM22" s="129">
        <f>IFERROR(VLOOKUP($O22,'Table 3 YK WindwS_2030'!$B$10:$L$37,11,FALSE),0)</f>
        <v>182.11999999999998</v>
      </c>
      <c r="BN22" s="129">
        <f>IFERROR(VLOOKUP($O22,'Table 3 PV wS Borah_2026'!$B$10:$K$37,10,FALSE),0)</f>
        <v>204.32</v>
      </c>
      <c r="BO22" s="386"/>
      <c r="BP22" s="129">
        <f>IFERROR(VLOOKUP($O22,'Table 3 PV wS SOR_2030'!$B$10:$K$37,10,FALSE),0)</f>
        <v>224.18</v>
      </c>
      <c r="BQ22" s="129">
        <f>IFERROR(VLOOKUP($O22,'Table 3 PV wS YK_2030'!$B$10:$K$37,10,FALSE),0)</f>
        <v>194.48</v>
      </c>
      <c r="BR22" s="129">
        <f>IFERROR(VLOOKUP($O22,'Table 3 PV wS UTN_2031'!$B$15:$K$37,10,FALSE),0)</f>
        <v>190.34566275538873</v>
      </c>
      <c r="BS22" s="129">
        <f>IFERROR(VLOOKUP($O22,'Table 3 PV wS UTS_2033'!B24:K46,10,FALSE),0)</f>
        <v>0</v>
      </c>
      <c r="BT22" s="385"/>
      <c r="BU22" s="386"/>
      <c r="BV22" s="129">
        <f>IFERROR(VLOOKUP($O22,'Table 3 StdBat  DJ_2029'!$B$15:$K$37,10,FALSE),0)</f>
        <v>113.97</v>
      </c>
      <c r="BW22" s="129">
        <f>IFERROR(VLOOKUP($O22,'Table 3 NonE 206MW (UTN) 2033'!$B$14:$M$36,12,FALSE),0)</f>
        <v>0</v>
      </c>
      <c r="BX22" s="129">
        <f>IFERROR(VLOOKUP($O22,'Table 3 NonE 196MW (NTN)'!$B$14:$M$36,12,FALSE),0)</f>
        <v>0</v>
      </c>
      <c r="BY22" s="385"/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7"/>
        <v>0</v>
      </c>
      <c r="DA22">
        <f t="shared" si="41"/>
        <v>2031</v>
      </c>
      <c r="DB22" s="89">
        <f>IFERROR(VLOOKUP($DA22,'Table 3 TransCost'!$AA$10:$AD$32,4,FALSE),0)</f>
        <v>61.18</v>
      </c>
      <c r="DC22" s="171">
        <f t="shared" si="45"/>
        <v>0</v>
      </c>
    </row>
    <row r="23" spans="2:107">
      <c r="B23" s="15">
        <f t="shared" si="42"/>
        <v>2032</v>
      </c>
      <c r="C23" s="9">
        <f t="shared" si="21"/>
        <v>0</v>
      </c>
      <c r="D23" s="45"/>
      <c r="E23" s="9">
        <f t="shared" ca="1" si="43"/>
        <v>36.873580417352571</v>
      </c>
      <c r="F23" s="37"/>
      <c r="G23" s="14">
        <f t="shared" ca="1" si="46"/>
        <v>36.873580417352571</v>
      </c>
      <c r="H23" s="36"/>
      <c r="I23" s="171"/>
      <c r="J23" s="89"/>
      <c r="O23">
        <f t="shared" si="22"/>
        <v>2032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L23">
        <f t="shared" si="23"/>
        <v>0</v>
      </c>
      <c r="AM23">
        <f t="shared" si="23"/>
        <v>0</v>
      </c>
      <c r="AN23">
        <f t="shared" si="24"/>
        <v>0</v>
      </c>
      <c r="AO23">
        <f t="shared" si="25"/>
        <v>0</v>
      </c>
      <c r="AP23">
        <f t="shared" si="26"/>
        <v>0</v>
      </c>
      <c r="AQ23">
        <f t="shared" si="27"/>
        <v>0</v>
      </c>
      <c r="AR23">
        <f t="shared" si="28"/>
        <v>0</v>
      </c>
      <c r="AS23">
        <f t="shared" si="29"/>
        <v>0</v>
      </c>
      <c r="AT23">
        <f t="shared" si="30"/>
        <v>0</v>
      </c>
      <c r="AU23">
        <f t="shared" si="31"/>
        <v>0</v>
      </c>
      <c r="AV23">
        <f t="shared" si="32"/>
        <v>0</v>
      </c>
      <c r="AW23">
        <f t="shared" si="33"/>
        <v>0</v>
      </c>
      <c r="AX23">
        <f t="shared" si="34"/>
        <v>0</v>
      </c>
      <c r="AY23">
        <f t="shared" si="35"/>
        <v>0</v>
      </c>
      <c r="AZ23">
        <f t="shared" si="36"/>
        <v>0</v>
      </c>
      <c r="BA23">
        <f t="shared" si="37"/>
        <v>0</v>
      </c>
      <c r="BB23">
        <f t="shared" si="38"/>
        <v>0</v>
      </c>
      <c r="BC23">
        <f t="shared" si="39"/>
        <v>0</v>
      </c>
      <c r="BG23">
        <f t="shared" si="44"/>
        <v>2032</v>
      </c>
      <c r="BH23" s="129">
        <f>IFERROR(VLOOKUP($O23,'Table 3 PNC Wind_2026'!$B$10:$L$37,11,FALSE),0)</f>
        <v>217.73000000000002</v>
      </c>
      <c r="BI23" s="129">
        <f>IFERROR(VLOOKUP($O23,'Table 3 PNC Wind_2032'!$B$10:$L$37,11,FALSE),0)</f>
        <v>230.86496710562511</v>
      </c>
      <c r="BJ23" s="129">
        <f>IFERROR(VLOOKUP($O23,'Table 3 WV Wind_2026'!$B$10:$L$37,11,FALSE),0)</f>
        <v>198.89999999999998</v>
      </c>
      <c r="BK23" s="129">
        <f>IFERROR(VLOOKUP($O23,'Table 3 WYE Wind_2030'!$B$10:$L$37,11,FALSE),0)</f>
        <v>214.41</v>
      </c>
      <c r="BL23" s="129">
        <f>IFERROR(VLOOKUP($O23,'Table 3 WYE_DJ Wind_2030'!$B$10:$L$37,11,FALSE),0)</f>
        <v>146.44</v>
      </c>
      <c r="BM23" s="129">
        <f>IFERROR(VLOOKUP($O23,'Table 3 YK WindwS_2030'!$B$10:$L$37,11,FALSE),0)</f>
        <v>186.04000000000002</v>
      </c>
      <c r="BN23" s="129">
        <f>IFERROR(VLOOKUP($O23,'Table 3 PV wS Borah_2026'!$B$10:$K$37,10,FALSE),0)</f>
        <v>208.72</v>
      </c>
      <c r="BO23" s="386"/>
      <c r="BP23" s="129">
        <f>IFERROR(VLOOKUP($O23,'Table 3 PV wS SOR_2030'!$B$10:$K$37,10,FALSE),0)</f>
        <v>229.01000000000002</v>
      </c>
      <c r="BQ23" s="129">
        <f>IFERROR(VLOOKUP($O23,'Table 3 PV wS YK_2030'!$B$10:$K$37,10,FALSE),0)</f>
        <v>198.67000000000002</v>
      </c>
      <c r="BR23" s="129">
        <f>IFERROR(VLOOKUP($O23,'Table 3 PV wS UTN_2031'!$B$15:$K$37,10,FALSE),0)</f>
        <v>194.43999999999997</v>
      </c>
      <c r="BS23" s="129">
        <f>IFERROR(VLOOKUP($O23,'Table 3 PV wS UTS_2033'!B25:K47,10,FALSE),0)</f>
        <v>0</v>
      </c>
      <c r="BT23" s="385"/>
      <c r="BU23" s="386"/>
      <c r="BV23" s="129">
        <f>IFERROR(VLOOKUP($O23,'Table 3 StdBat  DJ_2029'!$B$15:$K$37,10,FALSE),0)</f>
        <v>116.42</v>
      </c>
      <c r="BW23" s="129">
        <f>IFERROR(VLOOKUP($O23,'Table 3 NonE 206MW (UTN) 2033'!$B$14:$M$36,12,FALSE),0)</f>
        <v>0</v>
      </c>
      <c r="BX23" s="129">
        <f>IFERROR(VLOOKUP($O23,'Table 3 NonE 196MW (NTN)'!$B$14:$M$36,12,FALSE),0)</f>
        <v>0</v>
      </c>
      <c r="BY23" s="385"/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7"/>
        <v>0</v>
      </c>
      <c r="DA23">
        <f t="shared" si="41"/>
        <v>2032</v>
      </c>
      <c r="DB23" s="89">
        <f>IFERROR(VLOOKUP($DA23,'Table 3 TransCost'!$AA$10:$AD$32,4,FALSE),0)</f>
        <v>62.59</v>
      </c>
      <c r="DC23" s="171">
        <f t="shared" si="45"/>
        <v>0</v>
      </c>
    </row>
    <row r="24" spans="2:107">
      <c r="B24" s="15">
        <f t="shared" si="42"/>
        <v>2033</v>
      </c>
      <c r="C24" s="9">
        <f t="shared" si="21"/>
        <v>119.86081370449678</v>
      </c>
      <c r="D24" s="45"/>
      <c r="E24" s="9">
        <f t="shared" ca="1" si="43"/>
        <v>36.470521233292558</v>
      </c>
      <c r="F24" s="37"/>
      <c r="G24" s="14">
        <f t="shared" ca="1" si="46"/>
        <v>50.153262523760226</v>
      </c>
      <c r="H24" s="36"/>
      <c r="I24" s="171"/>
      <c r="J24" s="89"/>
      <c r="O24">
        <f t="shared" si="22"/>
        <v>2033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100</v>
      </c>
      <c r="AF24">
        <v>0</v>
      </c>
      <c r="AG24">
        <v>0</v>
      </c>
      <c r="AL24">
        <f t="shared" si="23"/>
        <v>0</v>
      </c>
      <c r="AM24">
        <f t="shared" si="23"/>
        <v>0</v>
      </c>
      <c r="AN24">
        <f t="shared" si="24"/>
        <v>0</v>
      </c>
      <c r="AO24">
        <f t="shared" si="25"/>
        <v>0</v>
      </c>
      <c r="AP24">
        <f t="shared" si="26"/>
        <v>0</v>
      </c>
      <c r="AQ24">
        <f t="shared" si="27"/>
        <v>0</v>
      </c>
      <c r="AR24">
        <f t="shared" si="28"/>
        <v>0</v>
      </c>
      <c r="AS24">
        <f t="shared" si="29"/>
        <v>0</v>
      </c>
      <c r="AT24">
        <f t="shared" si="30"/>
        <v>0</v>
      </c>
      <c r="AU24">
        <f t="shared" si="31"/>
        <v>0</v>
      </c>
      <c r="AV24">
        <f t="shared" si="32"/>
        <v>0</v>
      </c>
      <c r="AW24">
        <f t="shared" si="33"/>
        <v>0</v>
      </c>
      <c r="AX24">
        <f t="shared" si="34"/>
        <v>0</v>
      </c>
      <c r="AY24">
        <f t="shared" si="35"/>
        <v>0</v>
      </c>
      <c r="AZ24">
        <f t="shared" si="36"/>
        <v>0</v>
      </c>
      <c r="BA24">
        <f t="shared" si="37"/>
        <v>107.06638115631692</v>
      </c>
      <c r="BB24">
        <f t="shared" si="38"/>
        <v>0</v>
      </c>
      <c r="BC24">
        <f t="shared" si="39"/>
        <v>0</v>
      </c>
      <c r="BG24">
        <f t="shared" si="44"/>
        <v>2033</v>
      </c>
      <c r="BH24" s="129">
        <f>IFERROR(VLOOKUP($O24,'Table 3 PNC Wind_2026'!$B$10:$L$37,11,FALSE),0)</f>
        <v>222.42</v>
      </c>
      <c r="BI24" s="129">
        <f>IFERROR(VLOOKUP($O24,'Table 3 PNC Wind_2032'!$B$10:$L$37,11,FALSE),0)</f>
        <v>235.84</v>
      </c>
      <c r="BJ24" s="129">
        <f>IFERROR(VLOOKUP($O24,'Table 3 WV Wind_2026'!$B$10:$L$37,11,FALSE),0)</f>
        <v>203.18</v>
      </c>
      <c r="BK24" s="129">
        <f>IFERROR(VLOOKUP($O24,'Table 3 WYE Wind_2030'!$B$10:$L$37,11,FALSE),0)</f>
        <v>219.03000000000003</v>
      </c>
      <c r="BL24" s="129">
        <f>IFERROR(VLOOKUP($O24,'Table 3 WYE_DJ Wind_2030'!$B$10:$L$37,11,FALSE),0)</f>
        <v>149.60000000000002</v>
      </c>
      <c r="BM24" s="129">
        <f>IFERROR(VLOOKUP($O24,'Table 3 YK WindwS_2030'!$B$10:$L$37,11,FALSE),0)</f>
        <v>190.05</v>
      </c>
      <c r="BN24" s="129">
        <f>IFERROR(VLOOKUP($O24,'Table 3 PV wS Borah_2026'!$B$10:$K$37,10,FALSE),0)</f>
        <v>213.22000000000003</v>
      </c>
      <c r="BO24" s="386"/>
      <c r="BP24" s="129">
        <f>IFERROR(VLOOKUP($O24,'Table 3 PV wS SOR_2030'!$B$10:$K$37,10,FALSE),0)</f>
        <v>233.94</v>
      </c>
      <c r="BQ24" s="129">
        <f>IFERROR(VLOOKUP($O24,'Table 3 PV wS YK_2030'!$B$10:$K$37,10,FALSE),0)</f>
        <v>202.95</v>
      </c>
      <c r="BR24" s="129">
        <f>IFERROR(VLOOKUP($O24,'Table 3 PV wS UTN_2031'!$B$15:$K$37,10,FALSE),0)</f>
        <v>198.63</v>
      </c>
      <c r="BS24" s="129">
        <f>IFERROR(VLOOKUP($O24,'Table 3 PV wS UTS_2033'!B26:K48,10,FALSE),0)</f>
        <v>192.30465244476053</v>
      </c>
      <c r="BT24" s="385"/>
      <c r="BU24" s="386"/>
      <c r="BV24" s="129">
        <f>IFERROR(VLOOKUP($O24,'Table 3 StdBat  DJ_2029'!$B$15:$K$37,10,FALSE),0)</f>
        <v>118.92999999999999</v>
      </c>
      <c r="BW24" s="129">
        <f>IFERROR(VLOOKUP($O24,'Table 3 NonE 206MW (UTN) 2033'!$B$14:$M$36,12,FALSE),0)</f>
        <v>111.94999999999999</v>
      </c>
      <c r="BX24" s="129">
        <f>IFERROR(VLOOKUP($O24,'Table 3 NonE 196MW (NTN)'!$B$14:$M$36,12,FALSE),0)</f>
        <v>113.52</v>
      </c>
      <c r="BY24" s="385"/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11.986081370449678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7"/>
        <v>11.986081370449678</v>
      </c>
      <c r="DA24">
        <f t="shared" si="41"/>
        <v>2033</v>
      </c>
      <c r="DB24" s="89">
        <f>IFERROR(VLOOKUP($DA24,'Table 3 TransCost'!$AA$10:$AD$32,4,FALSE),0)</f>
        <v>64.03</v>
      </c>
      <c r="DC24" s="171">
        <f t="shared" si="45"/>
        <v>0</v>
      </c>
    </row>
    <row r="25" spans="2:107">
      <c r="B25" s="15">
        <f t="shared" si="42"/>
        <v>2034</v>
      </c>
      <c r="C25" s="9">
        <f t="shared" si="21"/>
        <v>122.44111349036402</v>
      </c>
      <c r="D25" s="45"/>
      <c r="E25" s="9">
        <f t="shared" ca="1" si="43"/>
        <v>38.583410999630296</v>
      </c>
      <c r="F25" s="37"/>
      <c r="G25" s="14">
        <f t="shared" ca="1" si="46"/>
        <v>52.560707060174138</v>
      </c>
      <c r="H25" s="36"/>
      <c r="I25" s="171"/>
      <c r="J25" s="89"/>
      <c r="O25">
        <f t="shared" si="22"/>
        <v>2034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L25">
        <f t="shared" si="23"/>
        <v>0</v>
      </c>
      <c r="AM25">
        <f t="shared" si="23"/>
        <v>0</v>
      </c>
      <c r="AN25">
        <f t="shared" si="24"/>
        <v>0</v>
      </c>
      <c r="AO25">
        <f t="shared" si="25"/>
        <v>0</v>
      </c>
      <c r="AP25">
        <f t="shared" si="26"/>
        <v>0</v>
      </c>
      <c r="AQ25">
        <f t="shared" si="27"/>
        <v>0</v>
      </c>
      <c r="AR25">
        <f t="shared" si="28"/>
        <v>0</v>
      </c>
      <c r="AS25">
        <f t="shared" si="29"/>
        <v>0</v>
      </c>
      <c r="AT25">
        <f t="shared" si="30"/>
        <v>0</v>
      </c>
      <c r="AU25">
        <f t="shared" si="31"/>
        <v>0</v>
      </c>
      <c r="AV25">
        <f t="shared" si="32"/>
        <v>0</v>
      </c>
      <c r="AW25">
        <f t="shared" si="33"/>
        <v>0</v>
      </c>
      <c r="AX25">
        <f t="shared" si="34"/>
        <v>0</v>
      </c>
      <c r="AY25">
        <f t="shared" si="35"/>
        <v>0</v>
      </c>
      <c r="AZ25">
        <f t="shared" si="36"/>
        <v>0</v>
      </c>
      <c r="BA25">
        <f t="shared" si="37"/>
        <v>0</v>
      </c>
      <c r="BB25">
        <f t="shared" si="38"/>
        <v>0</v>
      </c>
      <c r="BC25">
        <f t="shared" si="39"/>
        <v>0</v>
      </c>
      <c r="BG25">
        <f t="shared" si="44"/>
        <v>2034</v>
      </c>
      <c r="BH25" s="129">
        <f>IFERROR(VLOOKUP($O25,'Table 3 PNC Wind_2026'!$B$10:$L$37,11,FALSE),0)</f>
        <v>227.22</v>
      </c>
      <c r="BI25" s="129">
        <f>IFERROR(VLOOKUP($O25,'Table 3 PNC Wind_2032'!$B$10:$L$37,11,FALSE),0)</f>
        <v>240.93</v>
      </c>
      <c r="BJ25" s="129">
        <f>IFERROR(VLOOKUP($O25,'Table 3 WV Wind_2026'!$B$10:$L$37,11,FALSE),0)</f>
        <v>207.56</v>
      </c>
      <c r="BK25" s="129">
        <f>IFERROR(VLOOKUP($O25,'Table 3 WYE Wind_2030'!$B$10:$L$37,11,FALSE),0)</f>
        <v>223.75</v>
      </c>
      <c r="BL25" s="129">
        <f>IFERROR(VLOOKUP($O25,'Table 3 WYE_DJ Wind_2030'!$B$10:$L$37,11,FALSE),0)</f>
        <v>152.82</v>
      </c>
      <c r="BM25" s="129">
        <f>IFERROR(VLOOKUP($O25,'Table 3 YK WindwS_2030'!$B$10:$L$37,11,FALSE),0)</f>
        <v>194.14000000000001</v>
      </c>
      <c r="BN25" s="129">
        <f>IFERROR(VLOOKUP($O25,'Table 3 PV wS Borah_2026'!$B$10:$K$37,10,FALSE),0)</f>
        <v>217.82</v>
      </c>
      <c r="BO25" s="386"/>
      <c r="BP25" s="129">
        <f>IFERROR(VLOOKUP($O25,'Table 3 PV wS SOR_2030'!$B$10:$K$37,10,FALSE),0)</f>
        <v>238.98</v>
      </c>
      <c r="BQ25" s="129">
        <f>IFERROR(VLOOKUP($O25,'Table 3 PV wS YK_2030'!$B$10:$K$37,10,FALSE),0)</f>
        <v>207.32</v>
      </c>
      <c r="BR25" s="129">
        <f>IFERROR(VLOOKUP($O25,'Table 3 PV wS UTN_2031'!$B$15:$K$37,10,FALSE),0)</f>
        <v>202.91000000000003</v>
      </c>
      <c r="BS25" s="129">
        <f>IFERROR(VLOOKUP($O25,'Table 3 PV wS UTS_2033'!B27:K49,10,FALSE),0)</f>
        <v>196.44</v>
      </c>
      <c r="BT25" s="385"/>
      <c r="BU25" s="386"/>
      <c r="BV25" s="129">
        <f>IFERROR(VLOOKUP($O25,'Table 3 StdBat  DJ_2029'!$B$15:$K$37,10,FALSE),0)</f>
        <v>121.49000000000001</v>
      </c>
      <c r="BW25" s="129">
        <f>IFERROR(VLOOKUP($O25,'Table 3 NonE 206MW (UTN) 2033'!$B$14:$M$36,12,FALSE),0)</f>
        <v>114.36</v>
      </c>
      <c r="BX25" s="129">
        <f>IFERROR(VLOOKUP($O25,'Table 3 NonE 196MW (NTN)'!$B$14:$M$36,12,FALSE),0)</f>
        <v>115.97</v>
      </c>
      <c r="BY25" s="385"/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12.244111349036402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7"/>
        <v>12.244111349036402</v>
      </c>
      <c r="DA25">
        <f t="shared" si="41"/>
        <v>2034</v>
      </c>
      <c r="DB25" s="89">
        <f>IFERROR(VLOOKUP($DA25,'Table 3 TransCost'!$AA$10:$AD$32,4,FALSE),0)</f>
        <v>65.5</v>
      </c>
      <c r="DC25" s="171">
        <f t="shared" si="45"/>
        <v>0</v>
      </c>
    </row>
    <row r="26" spans="2:107">
      <c r="B26" s="15">
        <f t="shared" si="42"/>
        <v>2035</v>
      </c>
      <c r="C26" s="9">
        <f t="shared" si="21"/>
        <v>125.08565310492506</v>
      </c>
      <c r="D26" s="45"/>
      <c r="E26" s="9">
        <f t="shared" ca="1" si="43"/>
        <v>39.515241587886408</v>
      </c>
      <c r="F26" s="37"/>
      <c r="G26" s="14">
        <f t="shared" ca="1" si="46"/>
        <v>53.794425732284239</v>
      </c>
      <c r="H26" s="36"/>
      <c r="I26" s="171"/>
      <c r="J26" s="89"/>
      <c r="O26">
        <f t="shared" si="22"/>
        <v>2035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L26">
        <f t="shared" si="23"/>
        <v>0</v>
      </c>
      <c r="AM26">
        <f t="shared" si="23"/>
        <v>0</v>
      </c>
      <c r="AN26">
        <f t="shared" si="24"/>
        <v>0</v>
      </c>
      <c r="AO26">
        <f t="shared" si="25"/>
        <v>0</v>
      </c>
      <c r="AP26">
        <f t="shared" si="26"/>
        <v>0</v>
      </c>
      <c r="AQ26">
        <f t="shared" si="27"/>
        <v>0</v>
      </c>
      <c r="AR26">
        <f t="shared" si="28"/>
        <v>0</v>
      </c>
      <c r="AS26">
        <f t="shared" si="29"/>
        <v>0</v>
      </c>
      <c r="AT26">
        <f t="shared" si="30"/>
        <v>0</v>
      </c>
      <c r="AU26">
        <f t="shared" si="31"/>
        <v>0</v>
      </c>
      <c r="AV26">
        <f t="shared" si="32"/>
        <v>0</v>
      </c>
      <c r="AW26">
        <f t="shared" si="33"/>
        <v>0</v>
      </c>
      <c r="AX26">
        <f t="shared" si="34"/>
        <v>0</v>
      </c>
      <c r="AY26">
        <f t="shared" si="35"/>
        <v>0</v>
      </c>
      <c r="AZ26">
        <f t="shared" si="36"/>
        <v>0</v>
      </c>
      <c r="BA26">
        <f t="shared" si="37"/>
        <v>0</v>
      </c>
      <c r="BB26">
        <f t="shared" si="38"/>
        <v>0</v>
      </c>
      <c r="BC26">
        <f t="shared" si="39"/>
        <v>0</v>
      </c>
      <c r="BG26">
        <f t="shared" si="44"/>
        <v>2035</v>
      </c>
      <c r="BH26" s="129">
        <f>IFERROR(VLOOKUP($O26,'Table 3 PNC Wind_2026'!$B$10:$L$37,11,FALSE),0)</f>
        <v>232.10999999999999</v>
      </c>
      <c r="BI26" s="129">
        <f>IFERROR(VLOOKUP($O26,'Table 3 PNC Wind_2032'!$B$10:$L$37,11,FALSE),0)</f>
        <v>246.11999999999998</v>
      </c>
      <c r="BJ26" s="129">
        <f>IFERROR(VLOOKUP($O26,'Table 3 WV Wind_2026'!$B$10:$L$37,11,FALSE),0)</f>
        <v>212.01999999999998</v>
      </c>
      <c r="BK26" s="129">
        <f>IFERROR(VLOOKUP($O26,'Table 3 WYE Wind_2030'!$B$10:$L$37,11,FALSE),0)</f>
        <v>228.57</v>
      </c>
      <c r="BL26" s="129">
        <f>IFERROR(VLOOKUP($O26,'Table 3 WYE_DJ Wind_2030'!$B$10:$L$37,11,FALSE),0)</f>
        <v>156.10999999999999</v>
      </c>
      <c r="BM26" s="129">
        <f>IFERROR(VLOOKUP($O26,'Table 3 YK WindwS_2030'!$B$10:$L$37,11,FALSE),0)</f>
        <v>198.32</v>
      </c>
      <c r="BN26" s="129">
        <f>IFERROR(VLOOKUP($O26,'Table 3 PV wS Borah_2026'!$B$10:$K$37,10,FALSE),0)</f>
        <v>222.51</v>
      </c>
      <c r="BO26" s="386"/>
      <c r="BP26" s="129">
        <f>IFERROR(VLOOKUP($O26,'Table 3 PV wS SOR_2030'!$B$10:$K$37,10,FALSE),0)</f>
        <v>244.12</v>
      </c>
      <c r="BQ26" s="129">
        <f>IFERROR(VLOOKUP($O26,'Table 3 PV wS YK_2030'!$B$10:$K$37,10,FALSE),0)</f>
        <v>211.79</v>
      </c>
      <c r="BR26" s="129">
        <f>IFERROR(VLOOKUP($O26,'Table 3 PV wS UTN_2031'!$B$15:$K$37,10,FALSE),0)</f>
        <v>207.28</v>
      </c>
      <c r="BS26" s="129">
        <f>IFERROR(VLOOKUP($O26,'Table 3 PV wS UTS_2033'!B28:K50,10,FALSE),0)</f>
        <v>200.68</v>
      </c>
      <c r="BT26" s="385"/>
      <c r="BU26" s="386"/>
      <c r="BV26" s="129">
        <f>IFERROR(VLOOKUP($O26,'Table 3 StdBat  DJ_2029'!$B$15:$K$37,10,FALSE),0)</f>
        <v>124.1</v>
      </c>
      <c r="BW26" s="129">
        <f>IFERROR(VLOOKUP($O26,'Table 3 NonE 206MW (UTN) 2033'!$B$14:$M$36,12,FALSE),0)</f>
        <v>116.83</v>
      </c>
      <c r="BX26" s="129">
        <f>IFERROR(VLOOKUP($O26,'Table 3 NonE 196MW (NTN)'!$B$14:$M$36,12,FALSE),0)</f>
        <v>118.47</v>
      </c>
      <c r="BY26" s="385"/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12.508565310492505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7"/>
        <v>12.508565310492505</v>
      </c>
      <c r="DA26">
        <f t="shared" si="41"/>
        <v>2035</v>
      </c>
      <c r="DB26" s="89">
        <f>IFERROR(VLOOKUP($DA26,'Table 3 TransCost'!$AA$10:$AD$32,4,FALSE),0)</f>
        <v>67.010000000000005</v>
      </c>
      <c r="DC26" s="171">
        <f t="shared" si="45"/>
        <v>0</v>
      </c>
    </row>
    <row r="27" spans="2:107">
      <c r="B27" s="15">
        <f t="shared" si="42"/>
        <v>2036</v>
      </c>
      <c r="C27" s="9">
        <f t="shared" si="21"/>
        <v>127.78372591006423</v>
      </c>
      <c r="D27" s="45"/>
      <c r="E27" s="9">
        <f t="shared" ca="1" si="43"/>
        <v>42.160896157110429</v>
      </c>
      <c r="F27" s="37"/>
      <c r="G27" s="14">
        <f t="shared" ca="1" si="46"/>
        <v>56.708223788037607</v>
      </c>
      <c r="H27" s="36"/>
      <c r="I27" s="171"/>
      <c r="J27" s="89"/>
      <c r="O27">
        <f t="shared" si="22"/>
        <v>2036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L27">
        <f t="shared" si="23"/>
        <v>0</v>
      </c>
      <c r="AM27">
        <f t="shared" si="23"/>
        <v>0</v>
      </c>
      <c r="AN27">
        <f t="shared" si="24"/>
        <v>0</v>
      </c>
      <c r="AO27">
        <f t="shared" si="25"/>
        <v>0</v>
      </c>
      <c r="AP27">
        <f t="shared" si="26"/>
        <v>0</v>
      </c>
      <c r="AQ27">
        <f t="shared" si="27"/>
        <v>0</v>
      </c>
      <c r="AR27">
        <f t="shared" si="28"/>
        <v>0</v>
      </c>
      <c r="AS27">
        <f t="shared" si="29"/>
        <v>0</v>
      </c>
      <c r="AT27">
        <f t="shared" si="30"/>
        <v>0</v>
      </c>
      <c r="AU27">
        <f t="shared" si="31"/>
        <v>0</v>
      </c>
      <c r="AV27">
        <f t="shared" si="32"/>
        <v>0</v>
      </c>
      <c r="AW27">
        <f t="shared" si="33"/>
        <v>0</v>
      </c>
      <c r="AX27">
        <f t="shared" si="34"/>
        <v>0</v>
      </c>
      <c r="AY27">
        <f t="shared" si="35"/>
        <v>0</v>
      </c>
      <c r="AZ27">
        <f t="shared" si="36"/>
        <v>0</v>
      </c>
      <c r="BA27">
        <f t="shared" si="37"/>
        <v>0</v>
      </c>
      <c r="BB27">
        <f t="shared" si="38"/>
        <v>0</v>
      </c>
      <c r="BC27">
        <f t="shared" si="39"/>
        <v>0</v>
      </c>
      <c r="BG27">
        <f t="shared" si="44"/>
        <v>2036</v>
      </c>
      <c r="BH27" s="129">
        <f>IFERROR(VLOOKUP($O27,'Table 3 PNC Wind_2026'!$B$10:$L$37,11,FALSE),0)</f>
        <v>237.11</v>
      </c>
      <c r="BI27" s="129">
        <f>IFERROR(VLOOKUP($O27,'Table 3 PNC Wind_2032'!$B$10:$L$37,11,FALSE),0)</f>
        <v>251.43</v>
      </c>
      <c r="BJ27" s="129">
        <f>IFERROR(VLOOKUP($O27,'Table 3 WV Wind_2026'!$B$10:$L$37,11,FALSE),0)</f>
        <v>216.58999999999997</v>
      </c>
      <c r="BK27" s="129">
        <f>IFERROR(VLOOKUP($O27,'Table 3 WYE Wind_2030'!$B$10:$L$37,11,FALSE),0)</f>
        <v>233.5</v>
      </c>
      <c r="BL27" s="129">
        <f>IFERROR(VLOOKUP($O27,'Table 3 WYE_DJ Wind_2030'!$B$10:$L$37,11,FALSE),0)</f>
        <v>159.48000000000002</v>
      </c>
      <c r="BM27" s="129">
        <f>IFERROR(VLOOKUP($O27,'Table 3 YK WindwS_2030'!$B$10:$L$37,11,FALSE),0)</f>
        <v>202.6</v>
      </c>
      <c r="BN27" s="129">
        <f>IFERROR(VLOOKUP($O27,'Table 3 PV wS Borah_2026'!$B$10:$K$37,10,FALSE),0)</f>
        <v>227.3</v>
      </c>
      <c r="BO27" s="386"/>
      <c r="BP27" s="129">
        <f>IFERROR(VLOOKUP($O27,'Table 3 PV wS SOR_2030'!$B$10:$K$37,10,FALSE),0)</f>
        <v>249.38</v>
      </c>
      <c r="BQ27" s="129">
        <f>IFERROR(VLOOKUP($O27,'Table 3 PV wS YK_2030'!$B$10:$K$37,10,FALSE),0)</f>
        <v>216.35</v>
      </c>
      <c r="BR27" s="129">
        <f>IFERROR(VLOOKUP($O27,'Table 3 PV wS UTN_2031'!$B$15:$K$37,10,FALSE),0)</f>
        <v>211.73999999999998</v>
      </c>
      <c r="BS27" s="129">
        <f>IFERROR(VLOOKUP($O27,'Table 3 PV wS UTS_2033'!B29:K51,10,FALSE),0)</f>
        <v>205</v>
      </c>
      <c r="BT27" s="385"/>
      <c r="BU27" s="386"/>
      <c r="BV27" s="129">
        <f>IFERROR(VLOOKUP($O27,'Table 3 StdBat  DJ_2029'!$B$15:$K$37,10,FALSE),0)</f>
        <v>126.78</v>
      </c>
      <c r="BW27" s="129">
        <f>IFERROR(VLOOKUP($O27,'Table 3 NonE 206MW (UTN) 2033'!$B$14:$M$36,12,FALSE),0)</f>
        <v>119.35</v>
      </c>
      <c r="BX27" s="129">
        <f>IFERROR(VLOOKUP($O27,'Table 3 NonE 196MW (NTN)'!$B$14:$M$36,12,FALSE),0)</f>
        <v>121.02</v>
      </c>
      <c r="BY27" s="385"/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12.778372591006423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7"/>
        <v>12.778372591006423</v>
      </c>
      <c r="DA27">
        <f t="shared" si="41"/>
        <v>2036</v>
      </c>
      <c r="DB27" s="89">
        <f>IFERROR(VLOOKUP($DA27,'Table 3 TransCost'!$AA$10:$AD$32,4,FALSE),0)</f>
        <v>68.55</v>
      </c>
      <c r="DC27" s="171">
        <f t="shared" si="45"/>
        <v>0</v>
      </c>
    </row>
    <row r="28" spans="2:107" ht="13.8" hidden="1">
      <c r="B28" s="15">
        <f t="shared" si="42"/>
        <v>2037</v>
      </c>
      <c r="C28" s="9">
        <f t="shared" si="21"/>
        <v>130.53533190578159</v>
      </c>
      <c r="D28" s="45"/>
      <c r="E28" s="9">
        <f t="shared" ca="1" si="43"/>
        <v>48.741190817784741</v>
      </c>
      <c r="F28" s="37"/>
      <c r="G28" s="14">
        <f t="shared" ca="1" si="46"/>
        <v>63.642484414335151</v>
      </c>
      <c r="H28" s="36"/>
      <c r="I28" s="171"/>
      <c r="J28" s="89"/>
      <c r="M28" s="111"/>
      <c r="O28">
        <f t="shared" si="22"/>
        <v>2037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L28">
        <f t="shared" si="23"/>
        <v>0</v>
      </c>
      <c r="AM28">
        <f t="shared" si="23"/>
        <v>0</v>
      </c>
      <c r="AN28">
        <f t="shared" si="24"/>
        <v>0</v>
      </c>
      <c r="AO28">
        <f t="shared" si="25"/>
        <v>0</v>
      </c>
      <c r="AP28">
        <f t="shared" si="26"/>
        <v>0</v>
      </c>
      <c r="AQ28">
        <f t="shared" si="27"/>
        <v>0</v>
      </c>
      <c r="AR28">
        <f t="shared" si="28"/>
        <v>0</v>
      </c>
      <c r="AS28">
        <f t="shared" si="29"/>
        <v>0</v>
      </c>
      <c r="AT28">
        <f t="shared" si="30"/>
        <v>0</v>
      </c>
      <c r="AU28">
        <f t="shared" si="31"/>
        <v>0</v>
      </c>
      <c r="AV28">
        <f t="shared" si="32"/>
        <v>0</v>
      </c>
      <c r="AW28">
        <f t="shared" si="33"/>
        <v>0</v>
      </c>
      <c r="AX28">
        <f t="shared" si="34"/>
        <v>0</v>
      </c>
      <c r="AY28">
        <f t="shared" si="35"/>
        <v>0</v>
      </c>
      <c r="AZ28">
        <f t="shared" si="36"/>
        <v>0</v>
      </c>
      <c r="BA28">
        <f t="shared" si="37"/>
        <v>0</v>
      </c>
      <c r="BB28">
        <f t="shared" si="38"/>
        <v>0</v>
      </c>
      <c r="BC28">
        <f t="shared" si="39"/>
        <v>0</v>
      </c>
      <c r="BG28">
        <f t="shared" si="44"/>
        <v>2037</v>
      </c>
      <c r="BH28" s="129">
        <f>IFERROR(VLOOKUP($O28,'Table 3 PNC Wind_2026'!$B$10:$L$37,11,FALSE),0)</f>
        <v>242.22</v>
      </c>
      <c r="BI28" s="129">
        <f>IFERROR(VLOOKUP($O28,'Table 3 PNC Wind_2032'!$B$10:$L$37,11,FALSE),0)</f>
        <v>256.85000000000002</v>
      </c>
      <c r="BJ28" s="129">
        <f>IFERROR(VLOOKUP($O28,'Table 3 WV Wind_2026'!$B$10:$L$37,11,FALSE),0)</f>
        <v>221.26</v>
      </c>
      <c r="BK28" s="129">
        <f>IFERROR(VLOOKUP($O28,'Table 3 WYE Wind_2030'!$B$10:$L$37,11,FALSE),0)</f>
        <v>238.53</v>
      </c>
      <c r="BL28" s="129">
        <f>IFERROR(VLOOKUP($O28,'Table 3 WYE_DJ Wind_2030'!$B$10:$L$37,11,FALSE),0)</f>
        <v>162.91</v>
      </c>
      <c r="BM28" s="129">
        <f>IFERROR(VLOOKUP($O28,'Table 3 YK WindwS_2030'!$B$10:$L$37,11,FALSE),0)</f>
        <v>206.96</v>
      </c>
      <c r="BN28" s="129">
        <f>IFERROR(VLOOKUP($O28,'Table 3 PV wS Borah_2026'!$B$10:$K$37,10,FALSE),0)</f>
        <v>232.20000000000002</v>
      </c>
      <c r="BO28" s="386"/>
      <c r="BP28" s="129">
        <f>IFERROR(VLOOKUP($O28,'Table 3 PV wS SOR_2030'!$B$10:$K$37,10,FALSE),0)</f>
        <v>254.76</v>
      </c>
      <c r="BQ28" s="129">
        <f>IFERROR(VLOOKUP($O28,'Table 3 PV wS YK_2030'!$B$10:$K$37,10,FALSE),0)</f>
        <v>221.01</v>
      </c>
      <c r="BR28" s="129">
        <f>IFERROR(VLOOKUP($O28,'Table 3 PV wS UTN_2031'!$B$15:$K$37,10,FALSE),0)</f>
        <v>216.31</v>
      </c>
      <c r="BS28" s="129">
        <f>IFERROR(VLOOKUP($O28,'Table 3 PV wS UTS_2033'!B30:K52,10,FALSE),0)</f>
        <v>209.42</v>
      </c>
      <c r="BT28" s="385"/>
      <c r="BU28" s="386"/>
      <c r="BV28" s="129">
        <f>IFERROR(VLOOKUP($O28,'Table 3 StdBat  DJ_2029'!$B$15:$K$37,10,FALSE),0)</f>
        <v>129.51</v>
      </c>
      <c r="BW28" s="129">
        <f>IFERROR(VLOOKUP($O28,'Table 3 NonE 206MW (UTN) 2033'!$B$14:$M$36,12,FALSE),0)</f>
        <v>121.92</v>
      </c>
      <c r="BX28" s="129">
        <f>IFERROR(VLOOKUP($O28,'Table 3 NonE 196MW (NTN)'!$B$14:$M$36,12,FALSE),0)</f>
        <v>123.63000000000001</v>
      </c>
      <c r="BY28" s="385"/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13.053533190578159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7"/>
        <v>13.053533190578159</v>
      </c>
      <c r="DA28">
        <f t="shared" si="41"/>
        <v>2037</v>
      </c>
      <c r="DB28" s="89">
        <f>IFERROR(VLOOKUP($DA28,'Table 3 TransCost'!$AA$10:$AD$32,4,FALSE),0)</f>
        <v>70.13</v>
      </c>
      <c r="DC28" s="171">
        <f t="shared" si="45"/>
        <v>0</v>
      </c>
    </row>
    <row r="29" spans="2:107" ht="13.8" hidden="1">
      <c r="B29" s="15">
        <f t="shared" si="42"/>
        <v>2038</v>
      </c>
      <c r="C29" s="9">
        <f t="shared" si="21"/>
        <v>133.34047109207711</v>
      </c>
      <c r="D29" s="45"/>
      <c r="E29" s="9">
        <f t="shared" ca="1" si="43"/>
        <v>47.141838923042037</v>
      </c>
      <c r="F29" s="37"/>
      <c r="G29" s="14">
        <f t="shared" ca="1" si="46"/>
        <v>62.363353887891009</v>
      </c>
      <c r="H29" s="36"/>
      <c r="I29" s="171"/>
      <c r="J29" s="171"/>
      <c r="M29" s="111"/>
      <c r="O29">
        <f t="shared" si="22"/>
        <v>2038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L29">
        <f t="shared" si="23"/>
        <v>0</v>
      </c>
      <c r="AM29">
        <f t="shared" si="23"/>
        <v>0</v>
      </c>
      <c r="AN29">
        <f t="shared" si="24"/>
        <v>0</v>
      </c>
      <c r="AO29">
        <f t="shared" si="25"/>
        <v>0</v>
      </c>
      <c r="AP29">
        <f t="shared" si="26"/>
        <v>0</v>
      </c>
      <c r="AQ29">
        <f t="shared" si="27"/>
        <v>0</v>
      </c>
      <c r="AR29">
        <f t="shared" si="28"/>
        <v>0</v>
      </c>
      <c r="AS29">
        <f t="shared" si="29"/>
        <v>0</v>
      </c>
      <c r="AT29">
        <f t="shared" si="30"/>
        <v>0</v>
      </c>
      <c r="AU29">
        <f t="shared" si="31"/>
        <v>0</v>
      </c>
      <c r="AV29">
        <f t="shared" si="32"/>
        <v>0</v>
      </c>
      <c r="AW29">
        <f t="shared" si="33"/>
        <v>0</v>
      </c>
      <c r="AX29">
        <f t="shared" si="34"/>
        <v>0</v>
      </c>
      <c r="AY29">
        <f t="shared" si="35"/>
        <v>0</v>
      </c>
      <c r="AZ29">
        <f t="shared" si="36"/>
        <v>0</v>
      </c>
      <c r="BA29">
        <f t="shared" si="37"/>
        <v>0</v>
      </c>
      <c r="BB29">
        <f t="shared" si="38"/>
        <v>0</v>
      </c>
      <c r="BC29">
        <f t="shared" si="39"/>
        <v>0</v>
      </c>
      <c r="BG29">
        <f t="shared" si="44"/>
        <v>2038</v>
      </c>
      <c r="BH29" s="129">
        <f>IFERROR(VLOOKUP($O29,'Table 3 PNC Wind_2026'!$B$10:$L$37,11,FALSE),0)</f>
        <v>247.44</v>
      </c>
      <c r="BI29" s="129">
        <f>IFERROR(VLOOKUP($O29,'Table 3 PNC Wind_2032'!$B$10:$L$37,11,FALSE),0)</f>
        <v>262.38</v>
      </c>
      <c r="BJ29" s="129">
        <f>IFERROR(VLOOKUP($O29,'Table 3 WV Wind_2026'!$B$10:$L$37,11,FALSE),0)</f>
        <v>226.03</v>
      </c>
      <c r="BK29" s="129">
        <f>IFERROR(VLOOKUP($O29,'Table 3 WYE Wind_2030'!$B$10:$L$37,11,FALSE),0)</f>
        <v>243.67000000000002</v>
      </c>
      <c r="BL29" s="129">
        <f>IFERROR(VLOOKUP($O29,'Table 3 WYE_DJ Wind_2030'!$B$10:$L$37,11,FALSE),0)</f>
        <v>166.42000000000002</v>
      </c>
      <c r="BM29" s="129">
        <f>IFERROR(VLOOKUP($O29,'Table 3 YK WindwS_2030'!$B$10:$L$37,11,FALSE),0)</f>
        <v>211.43</v>
      </c>
      <c r="BN29" s="129">
        <f>IFERROR(VLOOKUP($O29,'Table 3 PV wS Borah_2026'!$B$10:$K$37,10,FALSE),0)</f>
        <v>237.2</v>
      </c>
      <c r="BO29" s="386"/>
      <c r="BP29" s="129">
        <f>IFERROR(VLOOKUP($O29,'Table 3 PV wS SOR_2030'!$B$10:$K$37,10,FALSE),0)</f>
        <v>260.25</v>
      </c>
      <c r="BQ29" s="129">
        <f>IFERROR(VLOOKUP($O29,'Table 3 PV wS YK_2030'!$B$10:$K$37,10,FALSE),0)</f>
        <v>225.76999999999998</v>
      </c>
      <c r="BR29" s="129">
        <f>IFERROR(VLOOKUP($O29,'Table 3 PV wS UTN_2031'!$B$15:$K$37,10,FALSE),0)</f>
        <v>220.96999999999997</v>
      </c>
      <c r="BS29" s="129">
        <f>IFERROR(VLOOKUP($O29,'Table 3 PV wS UTS_2033'!B31:K53,10,FALSE),0)</f>
        <v>213.92999999999998</v>
      </c>
      <c r="BT29" s="385"/>
      <c r="BU29" s="386"/>
      <c r="BV29" s="129">
        <f>IFERROR(VLOOKUP($O29,'Table 3 StdBat  DJ_2029'!$B$15:$K$37,10,FALSE),0)</f>
        <v>132.30000000000001</v>
      </c>
      <c r="BW29" s="129">
        <f>IFERROR(VLOOKUP($O29,'Table 3 NonE 206MW (UTN) 2033'!$B$14:$M$36,12,FALSE),0)</f>
        <v>124.54</v>
      </c>
      <c r="BX29" s="129">
        <f>IFERROR(VLOOKUP($O29,'Table 3 NonE 196MW (NTN)'!$B$14:$M$36,12,FALSE),0)</f>
        <v>126.29</v>
      </c>
      <c r="BY29" s="385"/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13.33404710920771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7"/>
        <v>13.33404710920771</v>
      </c>
      <c r="DA29">
        <f t="shared" si="41"/>
        <v>2038</v>
      </c>
      <c r="DB29" s="89">
        <f>IFERROR(VLOOKUP($DA29,'Table 3 TransCost'!$AA$10:$AD$32,4,FALSE),0)</f>
        <v>71.739999999999995</v>
      </c>
      <c r="DC29" s="171">
        <f t="shared" si="45"/>
        <v>0</v>
      </c>
    </row>
    <row r="30" spans="2:107" ht="13.8" hidden="1">
      <c r="B30" s="15">
        <f t="shared" si="42"/>
        <v>2039</v>
      </c>
      <c r="C30" s="9">
        <f t="shared" si="21"/>
        <v>136.20985010706639</v>
      </c>
      <c r="D30" s="45"/>
      <c r="E30" s="9">
        <f t="shared" ca="1" si="43"/>
        <v>51.47099362736828</v>
      </c>
      <c r="F30" s="37"/>
      <c r="G30" s="14">
        <f t="shared" ca="1" si="46"/>
        <v>67.020063274293662</v>
      </c>
      <c r="H30" s="36"/>
      <c r="I30" s="171"/>
      <c r="J30" s="171"/>
      <c r="M30" s="111"/>
      <c r="O30">
        <f t="shared" si="22"/>
        <v>2039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L30">
        <f t="shared" si="23"/>
        <v>0</v>
      </c>
      <c r="AM30">
        <f t="shared" si="23"/>
        <v>0</v>
      </c>
      <c r="AN30">
        <f t="shared" si="24"/>
        <v>0</v>
      </c>
      <c r="AO30">
        <f t="shared" si="25"/>
        <v>0</v>
      </c>
      <c r="AP30">
        <f t="shared" si="26"/>
        <v>0</v>
      </c>
      <c r="AQ30">
        <f t="shared" si="27"/>
        <v>0</v>
      </c>
      <c r="AR30">
        <f t="shared" si="28"/>
        <v>0</v>
      </c>
      <c r="AS30">
        <f t="shared" si="29"/>
        <v>0</v>
      </c>
      <c r="AT30">
        <f t="shared" si="30"/>
        <v>0</v>
      </c>
      <c r="AU30">
        <f t="shared" si="31"/>
        <v>0</v>
      </c>
      <c r="AV30">
        <f t="shared" si="32"/>
        <v>0</v>
      </c>
      <c r="AW30">
        <f t="shared" si="33"/>
        <v>0</v>
      </c>
      <c r="AX30">
        <f t="shared" si="34"/>
        <v>0</v>
      </c>
      <c r="AY30">
        <f t="shared" si="35"/>
        <v>0</v>
      </c>
      <c r="AZ30">
        <f t="shared" si="36"/>
        <v>0</v>
      </c>
      <c r="BA30">
        <f t="shared" si="37"/>
        <v>0</v>
      </c>
      <c r="BB30">
        <f t="shared" si="38"/>
        <v>0</v>
      </c>
      <c r="BC30">
        <f t="shared" si="39"/>
        <v>0</v>
      </c>
      <c r="BG30">
        <f t="shared" si="44"/>
        <v>2039</v>
      </c>
      <c r="BH30" s="129">
        <f>IFERROR(VLOOKUP($O30,'Table 3 PNC Wind_2026'!$B$10:$L$37,11,FALSE),0)</f>
        <v>252.76999999999998</v>
      </c>
      <c r="BI30" s="129">
        <f>IFERROR(VLOOKUP($O30,'Table 3 PNC Wind_2032'!$B$10:$L$37,11,FALSE),0)</f>
        <v>268.04000000000002</v>
      </c>
      <c r="BJ30" s="129">
        <f>IFERROR(VLOOKUP($O30,'Table 3 WV Wind_2026'!$B$10:$L$37,11,FALSE),0)</f>
        <v>230.9</v>
      </c>
      <c r="BK30" s="129">
        <f>IFERROR(VLOOKUP($O30,'Table 3 WYE Wind_2030'!$B$10:$L$37,11,FALSE),0)</f>
        <v>248.92000000000002</v>
      </c>
      <c r="BL30" s="129">
        <f>IFERROR(VLOOKUP($O30,'Table 3 WYE_DJ Wind_2030'!$B$10:$L$37,11,FALSE),0)</f>
        <v>170.01000000000002</v>
      </c>
      <c r="BM30" s="129">
        <f>IFERROR(VLOOKUP($O30,'Table 3 YK WindwS_2030'!$B$10:$L$37,11,FALSE),0)</f>
        <v>215.98</v>
      </c>
      <c r="BN30" s="129">
        <f>IFERROR(VLOOKUP($O30,'Table 3 PV wS Borah_2026'!$B$10:$K$37,10,FALSE),0)</f>
        <v>242.32</v>
      </c>
      <c r="BO30" s="386"/>
      <c r="BP30" s="129">
        <f>IFERROR(VLOOKUP($O30,'Table 3 PV wS SOR_2030'!$B$10:$K$37,10,FALSE),0)</f>
        <v>265.84999999999997</v>
      </c>
      <c r="BQ30" s="129">
        <f>IFERROR(VLOOKUP($O30,'Table 3 PV wS YK_2030'!$B$10:$K$37,10,FALSE),0)</f>
        <v>230.64000000000001</v>
      </c>
      <c r="BR30" s="129">
        <f>IFERROR(VLOOKUP($O30,'Table 3 PV wS UTN_2031'!$B$15:$K$37,10,FALSE),0)</f>
        <v>225.73</v>
      </c>
      <c r="BS30" s="129">
        <f>IFERROR(VLOOKUP($O30,'Table 3 PV wS UTS_2033'!B32:K54,10,FALSE),0)</f>
        <v>218.54000000000002</v>
      </c>
      <c r="BT30" s="385"/>
      <c r="BU30" s="386"/>
      <c r="BV30" s="129">
        <f>IFERROR(VLOOKUP($O30,'Table 3 StdBat  DJ_2029'!$B$15:$K$37,10,FALSE),0)</f>
        <v>135.14999999999998</v>
      </c>
      <c r="BW30" s="129">
        <f>IFERROR(VLOOKUP($O30,'Table 3 NonE 206MW (UTN) 2033'!$B$14:$M$36,12,FALSE),0)</f>
        <v>127.22</v>
      </c>
      <c r="BX30" s="129">
        <f>IFERROR(VLOOKUP($O30,'Table 3 NonE 196MW (NTN)'!$B$14:$M$36,12,FALSE),0)</f>
        <v>129.01</v>
      </c>
      <c r="BY30" s="385"/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13.62098501070664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7"/>
        <v>13.62098501070664</v>
      </c>
      <c r="DA30">
        <f t="shared" si="41"/>
        <v>2039</v>
      </c>
      <c r="DB30" s="89">
        <f>IFERROR(VLOOKUP($DA30,'Table 3 TransCost'!$AA$10:$AD$32,4,FALSE),0)</f>
        <v>73.39</v>
      </c>
      <c r="DC30" s="171">
        <f t="shared" si="45"/>
        <v>0</v>
      </c>
    </row>
    <row r="31" spans="2:107" ht="13.8" hidden="1">
      <c r="B31" s="15">
        <f t="shared" si="42"/>
        <v>2040</v>
      </c>
      <c r="C31" s="9">
        <f t="shared" si="21"/>
        <v>139.14346895074948</v>
      </c>
      <c r="D31" s="45"/>
      <c r="E31" s="9">
        <f t="shared" ca="1" si="43"/>
        <v>52.127167277211228</v>
      </c>
      <c r="F31" s="37"/>
      <c r="G31" s="14">
        <f t="shared" ca="1" si="46"/>
        <v>67.967726128617116</v>
      </c>
      <c r="H31" s="36"/>
      <c r="I31" s="171"/>
      <c r="J31" s="171"/>
      <c r="M31" s="111"/>
      <c r="O31">
        <f t="shared" si="22"/>
        <v>2040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L31">
        <f t="shared" ref="AL31:AL32" si="48">P31/P$5</f>
        <v>0</v>
      </c>
      <c r="AM31">
        <f t="shared" ref="AM31:AM34" si="49">Q31/Q$5</f>
        <v>0</v>
      </c>
      <c r="AN31">
        <f t="shared" ref="AN31:AN34" si="50">R31/R$5</f>
        <v>0</v>
      </c>
      <c r="AO31">
        <f t="shared" ref="AO31:AO34" si="51">S31/S$5</f>
        <v>0</v>
      </c>
      <c r="AP31">
        <f t="shared" ref="AP31:AP34" si="52">T31/T$5</f>
        <v>0</v>
      </c>
      <c r="AQ31">
        <f t="shared" ref="AQ31:AQ34" si="53">U31/U$5</f>
        <v>0</v>
      </c>
      <c r="AR31">
        <f t="shared" ref="AR31:AR34" si="54">V31/V$5</f>
        <v>0</v>
      </c>
      <c r="AS31">
        <f t="shared" ref="AS31:AS34" si="55">W31/W$5</f>
        <v>0</v>
      </c>
      <c r="AT31">
        <f t="shared" ref="AT31:AT34" si="56">X31/X$5</f>
        <v>0</v>
      </c>
      <c r="AU31">
        <f t="shared" ref="AU31:AU34" si="57">Y31/Y$5</f>
        <v>0</v>
      </c>
      <c r="AV31">
        <f t="shared" ref="AV31:AV34" si="58">Z31/Z$5</f>
        <v>0</v>
      </c>
      <c r="AW31">
        <f t="shared" ref="AW31:AW34" si="59">AA31/AA$5</f>
        <v>0</v>
      </c>
      <c r="AX31">
        <f t="shared" ref="AX31:AX34" si="60">AB31/AB$5</f>
        <v>0</v>
      </c>
      <c r="AY31">
        <f t="shared" ref="AY31:AY34" si="61">AC31/AC$5</f>
        <v>0</v>
      </c>
      <c r="AZ31">
        <f t="shared" ref="AZ31:AZ34" si="62">AD31/AD$5</f>
        <v>0</v>
      </c>
      <c r="BA31">
        <f t="shared" ref="BA31:BA34" si="63">AE31/AE$5</f>
        <v>0</v>
      </c>
      <c r="BB31">
        <f t="shared" ref="BB31:BB34" si="64">AF31/AF$5</f>
        <v>0</v>
      </c>
      <c r="BC31">
        <f t="shared" ref="BC31:BC34" si="65">AG31/AG$5</f>
        <v>0</v>
      </c>
      <c r="BG31">
        <f t="shared" ref="BG31:BG32" si="66">O31</f>
        <v>2040</v>
      </c>
      <c r="BH31" s="129">
        <f>IFERROR(VLOOKUP($O31,'Table 3 PNC Wind_2026'!$B$10:$L$37,11,FALSE),0)</f>
        <v>258.21000000000004</v>
      </c>
      <c r="BI31" s="129">
        <f>IFERROR(VLOOKUP($O31,'Table 3 PNC Wind_2032'!$B$10:$L$37,11,FALSE),0)</f>
        <v>273.81</v>
      </c>
      <c r="BJ31" s="129">
        <f>IFERROR(VLOOKUP($O31,'Table 3 WV Wind_2026'!$B$10:$L$37,11,FALSE),0)</f>
        <v>235.86999999999998</v>
      </c>
      <c r="BK31" s="129">
        <f>IFERROR(VLOOKUP($O31,'Table 3 WYE Wind_2030'!$B$10:$L$37,11,FALSE),0)</f>
        <v>254.27999999999997</v>
      </c>
      <c r="BL31" s="129">
        <f>IFERROR(VLOOKUP($O31,'Table 3 WYE_DJ Wind_2030'!$B$10:$L$37,11,FALSE),0)</f>
        <v>173.67</v>
      </c>
      <c r="BM31" s="129">
        <f>IFERROR(VLOOKUP($O31,'Table 3 YK WindwS_2030'!$B$10:$L$37,11,FALSE),0)</f>
        <v>220.63</v>
      </c>
      <c r="BN31" s="129">
        <f>IFERROR(VLOOKUP($O31,'Table 3 PV wS Borah_2026'!$B$10:$K$37,10,FALSE),0)</f>
        <v>247.54</v>
      </c>
      <c r="BO31" s="386"/>
      <c r="BP31" s="129">
        <f>IFERROR(VLOOKUP($O31,'Table 3 PV wS SOR_2030'!$B$10:$K$37,10,FALSE),0)</f>
        <v>271.58000000000004</v>
      </c>
      <c r="BQ31" s="129">
        <f>IFERROR(VLOOKUP($O31,'Table 3 PV wS YK_2030'!$B$10:$K$37,10,FALSE),0)</f>
        <v>235.61</v>
      </c>
      <c r="BR31" s="129">
        <f>IFERROR(VLOOKUP($O31,'Table 3 PV wS UTN_2031'!$B$15:$K$37,10,FALSE),0)</f>
        <v>230.59</v>
      </c>
      <c r="BS31" s="129">
        <f>IFERROR(VLOOKUP($O31,'Table 3 PV wS UTS_2033'!B33:K55,10,FALSE),0)</f>
        <v>223.25</v>
      </c>
      <c r="BT31" s="385"/>
      <c r="BU31" s="386"/>
      <c r="BV31" s="129">
        <f>IFERROR(VLOOKUP($O31,'Table 3 StdBat  DJ_2029'!$B$15:$K$37,10,FALSE),0)</f>
        <v>138.06</v>
      </c>
      <c r="BW31" s="129">
        <f>IFERROR(VLOOKUP($O31,'Table 3 NonE 206MW (UTN) 2033'!$B$14:$M$36,12,FALSE),0)</f>
        <v>129.96</v>
      </c>
      <c r="BX31" s="129">
        <f>IFERROR(VLOOKUP($O31,'Table 3 NonE 196MW (NTN)'!$B$14:$M$36,12,FALSE),0)</f>
        <v>131.79</v>
      </c>
      <c r="BY31" s="385"/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13.914346895074948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7">SUM(CD31:CX31)</f>
        <v>13.914346895074948</v>
      </c>
      <c r="DA31">
        <f t="shared" ref="DA31:DA32" si="68">O31</f>
        <v>2040</v>
      </c>
      <c r="DB31" s="89">
        <f>IFERROR(VLOOKUP($DA31,'Table 3 TransCost'!$AA$10:$AD$32,4,FALSE),0)</f>
        <v>75.08</v>
      </c>
      <c r="DC31" s="171">
        <f t="shared" ref="DC31:DC32" si="69">$DB$5*DB31/1000</f>
        <v>0</v>
      </c>
    </row>
    <row r="32" spans="2:107" ht="13.8" hidden="1">
      <c r="B32" s="15">
        <f t="shared" si="42"/>
        <v>2041</v>
      </c>
      <c r="C32" s="9">
        <f t="shared" si="21"/>
        <v>142.14132762312636</v>
      </c>
      <c r="D32" s="45"/>
      <c r="E32" s="9">
        <f t="shared" ca="1" si="43"/>
        <v>53.261342573768438</v>
      </c>
      <c r="F32" s="37"/>
      <c r="G32" s="14">
        <f t="shared" ca="1" si="46"/>
        <v>69.487521526180132</v>
      </c>
      <c r="H32" s="36"/>
      <c r="I32" s="171"/>
      <c r="J32" s="171"/>
      <c r="M32" s="111"/>
      <c r="O32">
        <f t="shared" si="22"/>
        <v>2041</v>
      </c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>
        <v>0</v>
      </c>
      <c r="AE32" s="347">
        <v>0</v>
      </c>
      <c r="AF32" s="347">
        <v>0</v>
      </c>
      <c r="AG32" s="347">
        <v>0</v>
      </c>
      <c r="AL32">
        <f t="shared" si="48"/>
        <v>0</v>
      </c>
      <c r="AM32">
        <f t="shared" si="49"/>
        <v>0</v>
      </c>
      <c r="AN32">
        <f t="shared" si="50"/>
        <v>0</v>
      </c>
      <c r="AO32">
        <f t="shared" si="51"/>
        <v>0</v>
      </c>
      <c r="AP32">
        <f t="shared" si="52"/>
        <v>0</v>
      </c>
      <c r="AQ32">
        <f t="shared" si="53"/>
        <v>0</v>
      </c>
      <c r="AR32">
        <f t="shared" si="54"/>
        <v>0</v>
      </c>
      <c r="AS32">
        <f t="shared" si="55"/>
        <v>0</v>
      </c>
      <c r="AT32">
        <f t="shared" si="56"/>
        <v>0</v>
      </c>
      <c r="AU32">
        <f t="shared" si="57"/>
        <v>0</v>
      </c>
      <c r="AV32">
        <f t="shared" si="58"/>
        <v>0</v>
      </c>
      <c r="AW32">
        <f t="shared" si="59"/>
        <v>0</v>
      </c>
      <c r="AX32">
        <f t="shared" si="60"/>
        <v>0</v>
      </c>
      <c r="AY32">
        <f t="shared" si="61"/>
        <v>0</v>
      </c>
      <c r="AZ32">
        <f t="shared" si="62"/>
        <v>0</v>
      </c>
      <c r="BA32">
        <f t="shared" si="63"/>
        <v>0</v>
      </c>
      <c r="BB32">
        <f t="shared" si="64"/>
        <v>0</v>
      </c>
      <c r="BC32">
        <f t="shared" si="65"/>
        <v>0</v>
      </c>
      <c r="BG32">
        <f t="shared" si="66"/>
        <v>2041</v>
      </c>
      <c r="BH32" s="129">
        <f>IFERROR(VLOOKUP($O32,'Table 3 PNC Wind_2026'!$B$10:$L$37,11,FALSE),0)</f>
        <v>263.77</v>
      </c>
      <c r="BI32" s="129">
        <f>IFERROR(VLOOKUP($O32,'Table 3 PNC Wind_2032'!$B$10:$L$37,11,FALSE),0)</f>
        <v>279.70999999999998</v>
      </c>
      <c r="BJ32" s="129">
        <f>IFERROR(VLOOKUP($O32,'Table 3 WV Wind_2026'!$B$10:$L$37,11,FALSE),0)</f>
        <v>240.95</v>
      </c>
      <c r="BK32" s="129">
        <f>IFERROR(VLOOKUP($O32,'Table 3 WYE Wind_2030'!$B$10:$L$37,11,FALSE),0)</f>
        <v>259.76</v>
      </c>
      <c r="BL32" s="129">
        <f>IFERROR(VLOOKUP($O32,'Table 3 WYE_DJ Wind_2030'!$B$10:$L$37,11,FALSE),0)</f>
        <v>177.41000000000003</v>
      </c>
      <c r="BM32" s="129">
        <f>IFERROR(VLOOKUP($O32,'Table 3 YK WindwS_2030'!$B$10:$L$37,11,FALSE),0)</f>
        <v>225.38</v>
      </c>
      <c r="BN32" s="129">
        <f>IFERROR(VLOOKUP($O32,'Table 3 PV wS Borah_2026'!$B$10:$K$37,10,FALSE),0)</f>
        <v>252.87</v>
      </c>
      <c r="BO32" s="386"/>
      <c r="BP32" s="129">
        <f>IFERROR(VLOOKUP($O32,'Table 3 PV wS SOR_2030'!$B$10:$K$37,10,FALSE),0)</f>
        <v>277.43</v>
      </c>
      <c r="BQ32" s="129">
        <f>IFERROR(VLOOKUP($O32,'Table 3 PV wS YK_2030'!$B$10:$K$37,10,FALSE),0)</f>
        <v>240.68</v>
      </c>
      <c r="BR32" s="129">
        <f>IFERROR(VLOOKUP($O32,'Table 3 PV wS UTN_2031'!$B$15:$K$37,10,FALSE),0)</f>
        <v>235.56</v>
      </c>
      <c r="BS32" s="129">
        <f>IFERROR(VLOOKUP($O32,'Table 3 PV wS UTS_2033'!B34:K56,10,FALSE),0)</f>
        <v>228.06</v>
      </c>
      <c r="BT32" s="385"/>
      <c r="BU32" s="386"/>
      <c r="BV32" s="129">
        <f>IFERROR(VLOOKUP($O32,'Table 3 StdBat  DJ_2029'!$B$15:$K$37,10,FALSE),0)</f>
        <v>141.04</v>
      </c>
      <c r="BW32" s="129">
        <f>IFERROR(VLOOKUP($O32,'Table 3 NonE 206MW (UTN) 2033'!$B$14:$M$36,12,FALSE),0)</f>
        <v>132.76</v>
      </c>
      <c r="BX32" s="129">
        <f>IFERROR(VLOOKUP($O32,'Table 3 NonE 196MW (NTN)'!$B$14:$M$36,12,FALSE),0)</f>
        <v>134.63</v>
      </c>
      <c r="BY32" s="385"/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14.214132762312634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7"/>
        <v>14.214132762312634</v>
      </c>
      <c r="DA32">
        <f t="shared" si="68"/>
        <v>2041</v>
      </c>
      <c r="DB32" s="89">
        <f>IFERROR(VLOOKUP($DA32,'Table 3 TransCost'!$AA$10:$AD$32,4,FALSE),0)</f>
        <v>76.81</v>
      </c>
      <c r="DC32" s="171">
        <f t="shared" si="69"/>
        <v>0</v>
      </c>
    </row>
    <row r="33" spans="1:107" ht="13.8" hidden="1">
      <c r="B33" s="15">
        <f t="shared" si="42"/>
        <v>2042</v>
      </c>
      <c r="C33" s="9">
        <f t="shared" si="21"/>
        <v>145.20342612419702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6"/>
        <v>#DIV/0!</v>
      </c>
      <c r="H33" s="36"/>
      <c r="I33" s="171"/>
      <c r="J33" s="171"/>
      <c r="M33" s="111"/>
      <c r="O33">
        <f t="shared" ref="O33" si="70">B33</f>
        <v>2042</v>
      </c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>
        <v>0</v>
      </c>
      <c r="AE33" s="347">
        <v>0</v>
      </c>
      <c r="AF33" s="347">
        <v>0</v>
      </c>
      <c r="AG33" s="347">
        <v>0</v>
      </c>
      <c r="AH33">
        <v>0</v>
      </c>
      <c r="AI33">
        <v>0</v>
      </c>
      <c r="AJ33">
        <v>0</v>
      </c>
      <c r="AL33">
        <f t="shared" si="23"/>
        <v>0</v>
      </c>
      <c r="AM33">
        <f t="shared" si="49"/>
        <v>0</v>
      </c>
      <c r="AN33">
        <f t="shared" si="50"/>
        <v>0</v>
      </c>
      <c r="AO33">
        <f t="shared" si="51"/>
        <v>0</v>
      </c>
      <c r="AP33">
        <f t="shared" si="52"/>
        <v>0</v>
      </c>
      <c r="AQ33">
        <f t="shared" si="53"/>
        <v>0</v>
      </c>
      <c r="AR33">
        <f t="shared" si="54"/>
        <v>0</v>
      </c>
      <c r="AS33">
        <f t="shared" si="55"/>
        <v>0</v>
      </c>
      <c r="AT33">
        <f t="shared" si="56"/>
        <v>0</v>
      </c>
      <c r="AU33">
        <f t="shared" si="57"/>
        <v>0</v>
      </c>
      <c r="AV33">
        <f t="shared" si="58"/>
        <v>0</v>
      </c>
      <c r="AW33">
        <f t="shared" si="59"/>
        <v>0</v>
      </c>
      <c r="AX33">
        <f t="shared" si="60"/>
        <v>0</v>
      </c>
      <c r="AY33">
        <f t="shared" si="61"/>
        <v>0</v>
      </c>
      <c r="AZ33">
        <f t="shared" si="62"/>
        <v>0</v>
      </c>
      <c r="BA33">
        <f t="shared" si="63"/>
        <v>0</v>
      </c>
      <c r="BB33">
        <f t="shared" si="64"/>
        <v>0</v>
      </c>
      <c r="BC33">
        <f t="shared" si="65"/>
        <v>0</v>
      </c>
      <c r="BG33">
        <f t="shared" ref="BG33:BG34" si="71">O33</f>
        <v>2042</v>
      </c>
      <c r="BH33" s="129">
        <f>IFERROR(VLOOKUP($O33,'Table 3 PNC Wind_2026'!$B$10:$L$37,11,FALSE),0)</f>
        <v>269.45</v>
      </c>
      <c r="BI33" s="129">
        <f>IFERROR(VLOOKUP($O33,'Table 3 PNC Wind_2032'!$B$10:$L$37,11,FALSE),0)</f>
        <v>285.73</v>
      </c>
      <c r="BJ33" s="129">
        <f>IFERROR(VLOOKUP($O33,'Table 3 WV Wind_2026'!$B$10:$L$37,11,FALSE),0)</f>
        <v>246.14</v>
      </c>
      <c r="BK33" s="129">
        <f>IFERROR(VLOOKUP($O33,'Table 3 WYE Wind_2030'!$B$10:$L$37,11,FALSE),0)</f>
        <v>265.35000000000002</v>
      </c>
      <c r="BL33" s="129">
        <f>IFERROR(VLOOKUP($O33,'Table 3 WYE_DJ Wind_2030'!$B$10:$L$37,11,FALSE),0)</f>
        <v>181.23</v>
      </c>
      <c r="BM33" s="129">
        <f>IFERROR(VLOOKUP($O33,'Table 3 YK WindwS_2030'!$B$10:$L$37,11,FALSE),0)</f>
        <v>230.24</v>
      </c>
      <c r="BN33" s="129">
        <f>IFERROR(VLOOKUP($O33,'Table 3 PV wS Borah_2026'!$B$10:$K$37,10,FALSE),0)</f>
        <v>258.31</v>
      </c>
      <c r="BO33" s="386"/>
      <c r="BP33" s="129">
        <f>IFERROR(VLOOKUP($O33,'Table 3 PV wS SOR_2030'!$B$10:$K$37,10,FALSE),0)</f>
        <v>283.41000000000003</v>
      </c>
      <c r="BQ33" s="129">
        <f>IFERROR(VLOOKUP($O33,'Table 3 PV wS YK_2030'!$B$10:$K$37,10,FALSE),0)</f>
        <v>245.86</v>
      </c>
      <c r="BR33" s="129">
        <f>IFERROR(VLOOKUP($O33,'Table 3 PV wS UTN_2031'!$B$15:$K$37,10,FALSE),0)</f>
        <v>240.63</v>
      </c>
      <c r="BS33" s="129">
        <f>IFERROR(VLOOKUP($O33,'Table 3 PV wS UTS_2033'!B35:K57,10,FALSE),0)</f>
        <v>232.97</v>
      </c>
      <c r="BT33" s="385"/>
      <c r="BU33" s="386"/>
      <c r="BV33" s="129">
        <f>IFERROR(VLOOKUP($O33,'Table 3 StdBat  DJ_2029'!$B$15:$K$37,10,FALSE),0)</f>
        <v>144.07999999999998</v>
      </c>
      <c r="BW33" s="129">
        <f>IFERROR(VLOOKUP($O33,'Table 3 NonE 206MW (UTN) 2033'!$B$14:$M$36,12,FALSE),0)</f>
        <v>135.62</v>
      </c>
      <c r="BX33" s="129">
        <f>IFERROR(VLOOKUP($O33,'Table 3 NonE 196MW (NTN)'!$B$14:$M$36,12,FALSE),0)</f>
        <v>137.53</v>
      </c>
      <c r="BY33" s="385"/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14.520342612419702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4" si="72">SUM(CD33:CX33)</f>
        <v>14.520342612419702</v>
      </c>
      <c r="DA33">
        <f t="shared" ref="DA33:DA34" si="73">O33</f>
        <v>2042</v>
      </c>
      <c r="DB33" s="89">
        <f>IFERROR(VLOOKUP($DA33,'Table 3 TransCost'!$AA$10:$AD$32,4,FALSE),0)</f>
        <v>78.58</v>
      </c>
      <c r="DC33" s="171">
        <f t="shared" ref="DC33:DC34" si="74">$DB$5*DB33/1000</f>
        <v>0</v>
      </c>
    </row>
    <row r="34" spans="1:107" ht="13.8" hidden="1">
      <c r="B34" s="15">
        <f t="shared" si="42"/>
        <v>2043</v>
      </c>
      <c r="C34" s="9">
        <f t="shared" si="21"/>
        <v>0</v>
      </c>
      <c r="D34" s="45"/>
      <c r="E34" s="9" t="e">
        <f t="shared" ref="E34" ca="1" si="75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6"/>
        <v>#DIV/0!</v>
      </c>
      <c r="H34" s="36"/>
      <c r="I34" s="171"/>
      <c r="J34" s="171"/>
      <c r="M34" s="111"/>
      <c r="O34">
        <f t="shared" ref="O34" si="76">B34</f>
        <v>2043</v>
      </c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>
        <v>0</v>
      </c>
      <c r="AE34" s="347">
        <v>0</v>
      </c>
      <c r="AF34" s="347">
        <v>0</v>
      </c>
      <c r="AG34" s="347">
        <v>0</v>
      </c>
      <c r="AL34">
        <f t="shared" ref="AL34" si="77">P34/P$5</f>
        <v>0</v>
      </c>
      <c r="AM34">
        <f t="shared" si="49"/>
        <v>0</v>
      </c>
      <c r="AN34">
        <f t="shared" si="50"/>
        <v>0</v>
      </c>
      <c r="AO34">
        <f t="shared" si="51"/>
        <v>0</v>
      </c>
      <c r="AP34">
        <f t="shared" si="52"/>
        <v>0</v>
      </c>
      <c r="AQ34">
        <f t="shared" si="53"/>
        <v>0</v>
      </c>
      <c r="AR34">
        <f t="shared" si="54"/>
        <v>0</v>
      </c>
      <c r="AS34">
        <f t="shared" si="55"/>
        <v>0</v>
      </c>
      <c r="AT34">
        <f t="shared" si="56"/>
        <v>0</v>
      </c>
      <c r="AU34">
        <f t="shared" si="57"/>
        <v>0</v>
      </c>
      <c r="AV34">
        <f t="shared" si="58"/>
        <v>0</v>
      </c>
      <c r="AW34">
        <f t="shared" si="59"/>
        <v>0</v>
      </c>
      <c r="AX34">
        <f t="shared" si="60"/>
        <v>0</v>
      </c>
      <c r="AY34">
        <f t="shared" si="61"/>
        <v>0</v>
      </c>
      <c r="AZ34">
        <f t="shared" si="62"/>
        <v>0</v>
      </c>
      <c r="BA34">
        <f t="shared" si="63"/>
        <v>0</v>
      </c>
      <c r="BB34">
        <f t="shared" si="64"/>
        <v>0</v>
      </c>
      <c r="BC34">
        <f t="shared" si="65"/>
        <v>0</v>
      </c>
      <c r="BG34">
        <f t="shared" si="71"/>
        <v>2043</v>
      </c>
      <c r="BH34" s="129">
        <f>IFERROR(VLOOKUP($O34,'Table 3 PNC Wind_2026'!$B$10:$L$37,11,FALSE),0)</f>
        <v>275.26</v>
      </c>
      <c r="BI34" s="129">
        <f>IFERROR(VLOOKUP($O34,'Table 3 PNC Wind_2032'!$B$10:$L$37,11,FALSE),0)</f>
        <v>291.89000000000004</v>
      </c>
      <c r="BJ34" s="129">
        <f>IFERROR(VLOOKUP($O34,'Table 3 WV Wind_2026'!$B$10:$L$37,11,FALSE),0)</f>
        <v>251.45000000000002</v>
      </c>
      <c r="BK34" s="129">
        <f>IFERROR(VLOOKUP($O34,'Table 3 WYE Wind_2030'!$B$10:$L$37,11,FALSE),0)</f>
        <v>271.07000000000005</v>
      </c>
      <c r="BL34" s="129">
        <f>IFERROR(VLOOKUP($O34,'Table 3 WYE_DJ Wind_2030'!$B$10:$L$37,11,FALSE),0)</f>
        <v>185.14000000000001</v>
      </c>
      <c r="BM34" s="129">
        <f>IFERROR(VLOOKUP($O34,'Table 3 YK WindwS_2030'!$B$10:$L$37,11,FALSE),0)</f>
        <v>235.20000000000002</v>
      </c>
      <c r="BN34" s="129">
        <f>IFERROR(VLOOKUP($O34,'Table 3 PV wS Borah_2026'!$B$10:$K$37,10,FALSE),0)</f>
        <v>263.88</v>
      </c>
      <c r="BO34" s="386"/>
      <c r="BP34" s="129">
        <f>IFERROR(VLOOKUP($O34,'Table 3 PV wS SOR_2030'!$B$10:$K$37,10,FALSE),0)</f>
        <v>289.51</v>
      </c>
      <c r="BQ34" s="129">
        <f>IFERROR(VLOOKUP($O34,'Table 3 PV wS YK_2030'!$B$10:$K$37,10,FALSE),0)</f>
        <v>251.16000000000003</v>
      </c>
      <c r="BR34" s="129">
        <f>IFERROR(VLOOKUP($O34,'Table 3 PV wS UTN_2031'!$B$15:$K$37,10,FALSE),0)</f>
        <v>245.82</v>
      </c>
      <c r="BS34" s="129">
        <f>IFERROR(VLOOKUP($O34,'Table 3 PV wS UTS_2033'!B36:K58,10,FALSE),0)</f>
        <v>237.98999999999998</v>
      </c>
      <c r="BT34" s="385"/>
      <c r="BU34" s="386"/>
      <c r="BV34" s="129">
        <f>IFERROR(VLOOKUP($O34,'Table 3 StdBat  DJ_2029'!$B$15:$K$37,10,FALSE),0)</f>
        <v>147.18</v>
      </c>
      <c r="BW34" s="129">
        <f>IFERROR(VLOOKUP($O34,'Table 3 NonE 206MW (UTN) 2033'!$B$14:$M$36,12,FALSE),0)</f>
        <v>0</v>
      </c>
      <c r="BX34" s="129">
        <f>IFERROR(VLOOKUP($O34,'Table 3 NonE 196MW (NTN)'!$B$14:$M$36,12,FALSE),0)</f>
        <v>0</v>
      </c>
      <c r="BY34" s="385"/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72"/>
        <v>0</v>
      </c>
      <c r="DA34">
        <f t="shared" si="73"/>
        <v>2043</v>
      </c>
      <c r="DB34" s="89">
        <f>IFERROR(VLOOKUP($DA34,'Table 3 TransCost'!$AA$10:$AD$32,4,FALSE),0)</f>
        <v>80.39</v>
      </c>
      <c r="DC34" s="171">
        <f t="shared" si="74"/>
        <v>0</v>
      </c>
    </row>
    <row r="35" spans="1:107" ht="13.8" hidden="1">
      <c r="B35" s="15"/>
      <c r="C35" s="9"/>
      <c r="D35" s="45"/>
      <c r="E35" s="9"/>
      <c r="F35" s="37"/>
      <c r="G35" s="14"/>
      <c r="H35" s="36"/>
      <c r="I35" s="171"/>
      <c r="J35" s="171"/>
      <c r="M35" s="111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BH35" s="129"/>
      <c r="BI35" s="129"/>
      <c r="BJ35" s="129"/>
      <c r="BK35" s="129"/>
      <c r="BL35" s="345"/>
      <c r="BM35" s="129"/>
      <c r="BN35" s="129"/>
      <c r="BO35" s="345"/>
      <c r="BP35" s="129"/>
      <c r="BQ35" s="345"/>
      <c r="BR35" s="129"/>
      <c r="BS35" s="129"/>
      <c r="BT35" s="129"/>
      <c r="BU35" s="345"/>
      <c r="BV35" s="129"/>
      <c r="BW35" s="129"/>
      <c r="BX35" s="344"/>
      <c r="BY35" s="129"/>
      <c r="DB35" s="89"/>
      <c r="DC35" s="171"/>
    </row>
    <row r="36" spans="1:107" ht="13.8" hidden="1">
      <c r="B36" s="15"/>
      <c r="C36" s="9"/>
      <c r="D36" s="45"/>
      <c r="E36" s="9"/>
      <c r="F36" s="37"/>
      <c r="G36" s="14"/>
      <c r="H36" s="36"/>
      <c r="I36" s="171"/>
      <c r="J36" s="171"/>
      <c r="M36" s="111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BH36" s="129"/>
      <c r="BI36" s="129"/>
      <c r="BJ36" s="129"/>
      <c r="BK36" s="129"/>
      <c r="BL36" s="345"/>
      <c r="BM36" s="129"/>
      <c r="BN36" s="129"/>
      <c r="BO36" s="345"/>
      <c r="BP36" s="129"/>
      <c r="BQ36" s="345"/>
      <c r="BR36" s="129"/>
      <c r="BS36" s="129"/>
      <c r="BT36" s="129"/>
      <c r="BU36" s="345"/>
      <c r="BV36" s="129"/>
      <c r="BW36" s="129"/>
      <c r="BX36" s="344"/>
      <c r="BY36" s="129"/>
      <c r="DB36" s="89"/>
      <c r="DC36" s="171"/>
    </row>
    <row r="37" spans="1:107" ht="13.8" hidden="1">
      <c r="B37" s="15"/>
      <c r="C37" s="9"/>
      <c r="D37" s="45"/>
      <c r="E37" s="9"/>
      <c r="F37" s="37"/>
      <c r="G37" s="14"/>
      <c r="H37" s="36"/>
      <c r="I37" s="171"/>
      <c r="J37" s="171"/>
      <c r="M37" s="111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BH37" s="129"/>
      <c r="BI37" s="129"/>
      <c r="BJ37" s="129"/>
      <c r="BK37" s="129"/>
      <c r="BL37" s="345"/>
      <c r="BM37" s="129"/>
      <c r="BN37" s="129"/>
      <c r="BO37" s="345"/>
      <c r="BP37" s="129"/>
      <c r="BQ37" s="345"/>
      <c r="BR37" s="129"/>
      <c r="BS37" s="129"/>
      <c r="BT37" s="129"/>
      <c r="BU37" s="345"/>
      <c r="BV37" s="129"/>
      <c r="BW37" s="129"/>
      <c r="BX37" s="344"/>
      <c r="BY37" s="129"/>
      <c r="DB37" s="89"/>
      <c r="DC37" s="171"/>
    </row>
    <row r="38" spans="1:107" ht="13.8">
      <c r="B38" s="245"/>
      <c r="C38" s="436"/>
      <c r="D38" s="437"/>
      <c r="E38" s="436"/>
      <c r="F38" s="438"/>
      <c r="G38" s="439"/>
      <c r="H38" s="36"/>
      <c r="I38" s="171"/>
      <c r="J38" s="171"/>
      <c r="M38" s="111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BH38" s="129"/>
      <c r="BI38" s="129"/>
      <c r="BJ38" s="129"/>
      <c r="BK38" s="129"/>
      <c r="BL38" s="345"/>
      <c r="BM38" s="129"/>
      <c r="BN38" s="129"/>
      <c r="BO38" s="345"/>
      <c r="BP38" s="129"/>
      <c r="BQ38" s="345"/>
      <c r="BR38" s="129"/>
      <c r="BS38" s="129"/>
      <c r="BT38" s="129"/>
      <c r="BU38" s="345"/>
      <c r="BV38" s="129"/>
      <c r="BW38" s="129"/>
      <c r="BX38" s="344"/>
      <c r="BY38" s="129"/>
      <c r="DB38" s="89"/>
      <c r="DC38" s="171"/>
    </row>
    <row r="39" spans="1:107" ht="13.8">
      <c r="B39" s="164"/>
      <c r="C39" s="9"/>
      <c r="D39" s="45"/>
      <c r="E39" s="9"/>
      <c r="F39" s="37"/>
      <c r="G39" s="9"/>
      <c r="H39" s="36"/>
      <c r="I39" s="49"/>
      <c r="M39" s="111"/>
      <c r="BL39" t="s">
        <v>155</v>
      </c>
      <c r="BO39" t="s">
        <v>155</v>
      </c>
      <c r="BU39" t="s">
        <v>155</v>
      </c>
      <c r="BX39" t="s">
        <v>155</v>
      </c>
      <c r="DB39" s="89"/>
      <c r="DC39" s="171"/>
    </row>
    <row r="40" spans="1:107" ht="12" customHeight="1">
      <c r="B40" s="164"/>
      <c r="C40" s="9"/>
      <c r="D40" s="45"/>
      <c r="E40" s="9"/>
      <c r="F40" s="37"/>
      <c r="G40" s="9"/>
      <c r="H40" s="36"/>
      <c r="I40" s="49"/>
      <c r="M40" s="111"/>
      <c r="N40" t="s">
        <v>92</v>
      </c>
      <c r="P40">
        <v>2026</v>
      </c>
      <c r="Q40">
        <v>2032</v>
      </c>
      <c r="R40">
        <v>2026</v>
      </c>
      <c r="S40">
        <v>2030</v>
      </c>
      <c r="T40">
        <v>2030</v>
      </c>
      <c r="U40">
        <v>2030</v>
      </c>
      <c r="V40">
        <v>2026</v>
      </c>
      <c r="W40">
        <v>2028</v>
      </c>
      <c r="X40">
        <v>2030</v>
      </c>
      <c r="Y40">
        <v>2030</v>
      </c>
      <c r="Z40">
        <v>2031</v>
      </c>
      <c r="AA40">
        <v>2033</v>
      </c>
      <c r="AD40">
        <v>2029</v>
      </c>
      <c r="AE40">
        <v>2033</v>
      </c>
      <c r="AF40">
        <v>2033</v>
      </c>
      <c r="AG40">
        <v>2026</v>
      </c>
    </row>
    <row r="41" spans="1:107">
      <c r="A41" s="440"/>
      <c r="B41" s="440"/>
      <c r="D41" s="9"/>
      <c r="F41" s="37"/>
      <c r="H41" s="36"/>
      <c r="I41"/>
      <c r="N41" t="s">
        <v>156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197">
        <v>0</v>
      </c>
      <c r="V41" s="197">
        <v>0</v>
      </c>
      <c r="W41" s="197">
        <v>0</v>
      </c>
      <c r="X41" s="197">
        <v>0</v>
      </c>
      <c r="Y41" s="197">
        <v>0</v>
      </c>
      <c r="Z41" s="197">
        <v>0</v>
      </c>
      <c r="AA41" s="197">
        <v>0</v>
      </c>
      <c r="AB41" s="197"/>
      <c r="AC41" s="197"/>
      <c r="AD41" s="197">
        <v>0</v>
      </c>
      <c r="AE41" s="197">
        <v>1</v>
      </c>
      <c r="AF41" s="197">
        <v>0</v>
      </c>
      <c r="AG41" s="197" t="e">
        <v>#N/A</v>
      </c>
      <c r="AH41" s="197"/>
      <c r="AI41" s="197"/>
      <c r="AJ41" s="197"/>
    </row>
    <row r="42" spans="1:107">
      <c r="A42" s="180"/>
      <c r="B42" s="55"/>
      <c r="E42" s="5"/>
      <c r="I42" s="49" t="s">
        <v>181</v>
      </c>
      <c r="P42" s="166"/>
      <c r="Q42" s="166"/>
      <c r="R42" s="166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</row>
    <row r="43" spans="1:107">
      <c r="B43" s="47"/>
      <c r="C43" s="9"/>
      <c r="D43" s="9"/>
      <c r="H43" s="36"/>
      <c r="I43" s="109">
        <v>6.88E-2</v>
      </c>
    </row>
    <row r="44" spans="1:107">
      <c r="B44" s="48"/>
      <c r="E44" s="9"/>
      <c r="G44" s="182"/>
      <c r="H44" s="36"/>
    </row>
    <row r="45" spans="1:107">
      <c r="A45" s="441"/>
      <c r="B45" s="441"/>
      <c r="E45" s="9"/>
      <c r="G45" s="182"/>
      <c r="H45" s="36"/>
    </row>
    <row r="46" spans="1:107" ht="13.8" customHeight="1">
      <c r="A46" s="55"/>
      <c r="B46" s="55"/>
      <c r="E46" s="5"/>
      <c r="H46" s="36"/>
      <c r="I46" t="s">
        <v>180</v>
      </c>
    </row>
    <row r="47" spans="1:107" ht="21" customHeight="1">
      <c r="A47" s="441" t="str">
        <f>'Table 5'!A9</f>
        <v xml:space="preserve">15 Year </v>
      </c>
      <c r="B47" s="441"/>
      <c r="E47" s="9"/>
      <c r="G47" s="108"/>
      <c r="H47" s="36"/>
      <c r="I47" t="s">
        <v>100</v>
      </c>
      <c r="K47" s="372">
        <v>2.155E-2</v>
      </c>
    </row>
    <row r="48" spans="1:107" ht="13.8">
      <c r="B48" s="55" t="str">
        <f>" Levelized Prices (Nominal) @ "&amp;TEXT($I$43,"0.00%")&amp;" Discount Rate (1) (3) "</f>
        <v xml:space="preserve"> Levelized Prices (Nominal) @ 6.88% Discount Rate (1) (3) </v>
      </c>
      <c r="E48" s="5"/>
      <c r="H48" s="36"/>
      <c r="I48"/>
      <c r="M48" s="111"/>
    </row>
    <row r="49" spans="1:19">
      <c r="B49" s="47" t="s">
        <v>8</v>
      </c>
      <c r="C49" s="9">
        <f ca="1">'Table 5'!$D$9*(Study_CF*8.76)/'Table 5'!$F$9</f>
        <v>21.984906700907</v>
      </c>
      <c r="D49" s="9"/>
      <c r="H49" s="36"/>
      <c r="I49"/>
    </row>
    <row r="50" spans="1:19">
      <c r="B50" s="48" t="s">
        <v>31</v>
      </c>
      <c r="E50" s="9">
        <f ca="1">'Table 5'!$C$9/'Table 5'!$F$9</f>
        <v>35.709793356952559</v>
      </c>
      <c r="G50" s="182">
        <f ca="1">'Table 5'!$G$9</f>
        <v>38.219485902718205</v>
      </c>
      <c r="H50" s="36"/>
      <c r="I50" s="203"/>
      <c r="K50" s="89"/>
      <c r="S50" s="171"/>
    </row>
    <row r="51" spans="1:19" ht="8.25" customHeight="1">
      <c r="A51" s="441"/>
      <c r="B51" s="441"/>
      <c r="E51" s="9"/>
      <c r="G51" s="108"/>
      <c r="H51" s="36"/>
    </row>
    <row r="52" spans="1:19" ht="13.8" hidden="1">
      <c r="A52" s="441">
        <f>'Table 5'!A7</f>
        <v>0</v>
      </c>
      <c r="B52" s="441"/>
      <c r="E52" s="9"/>
      <c r="G52" s="108"/>
      <c r="H52" s="36"/>
      <c r="I52"/>
      <c r="M52" s="111"/>
    </row>
    <row r="53" spans="1:19" hidden="1">
      <c r="B53" s="47" t="s">
        <v>8</v>
      </c>
      <c r="C53" s="9" t="e">
        <f ca="1">'Table 5'!$D$7*(Study_CF*8.76)/'Table 5'!$F$7</f>
        <v>#DIV/0!</v>
      </c>
      <c r="E53" s="9" t="e">
        <f>'Table 5'!$C$7/'Table 5'!$F$7</f>
        <v>#DIV/0!</v>
      </c>
      <c r="G53" s="182">
        <f>'Table 5'!$G$7</f>
        <v>0</v>
      </c>
      <c r="H53" s="36"/>
      <c r="I53"/>
    </row>
    <row r="54" spans="1:19" hidden="1">
      <c r="B54" s="48" t="s">
        <v>31</v>
      </c>
      <c r="C54" s="9"/>
      <c r="D54" s="9"/>
      <c r="H54" s="36"/>
      <c r="I54"/>
      <c r="S54" s="171"/>
    </row>
    <row r="55" spans="1:19" hidden="1">
      <c r="B55" s="48"/>
      <c r="E55" s="9"/>
      <c r="G55" s="182"/>
      <c r="H55" s="36"/>
    </row>
    <row r="56" spans="1:19" hidden="1">
      <c r="A56" s="441">
        <f>'Table 5'!A10</f>
        <v>0</v>
      </c>
      <c r="B56" s="441"/>
      <c r="E56" s="9"/>
      <c r="G56" s="108"/>
      <c r="H56" s="36"/>
    </row>
    <row r="57" spans="1:19" hidden="1">
      <c r="B57" s="47" t="s">
        <v>8</v>
      </c>
      <c r="C57" s="9" t="e">
        <f ca="1">'Table 5'!$D$10*(Study_CF*8.76)/'Table 5'!$F$10</f>
        <v>#DIV/0!</v>
      </c>
      <c r="E57" s="9" t="e">
        <f>'Table 5'!$C$10/'Table 5'!$F$10</f>
        <v>#DIV/0!</v>
      </c>
      <c r="G57" s="182">
        <f>'Table 5'!$G$10</f>
        <v>0</v>
      </c>
      <c r="H57" s="36"/>
    </row>
    <row r="58" spans="1:19" hidden="1">
      <c r="B58" s="48" t="s">
        <v>31</v>
      </c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41"/>
      <c r="B61" s="441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82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15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#REF!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$38.32/MWH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7">
    <mergeCell ref="A41:B41"/>
    <mergeCell ref="A51:B51"/>
    <mergeCell ref="A61:B61"/>
    <mergeCell ref="A47:B47"/>
    <mergeCell ref="A45:B45"/>
    <mergeCell ref="A52:B52"/>
    <mergeCell ref="A56:B56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A1E-0FFC-43AE-B409-B099CD0AC282}">
  <sheetPr>
    <tabColor rgb="FFFFC000"/>
    <pageSetUpPr fitToPage="1"/>
  </sheetPr>
  <dimension ref="B1:AD91"/>
  <sheetViews>
    <sheetView zoomScale="70" zoomScaleNormal="70" workbookViewId="0">
      <selection activeCell="B3" sqref="B3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222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32%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UTS Solar with Storage - 32%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132"/>
      <c r="Q14" s="133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258"/>
      <c r="P15" s="132"/>
      <c r="Q15" s="133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/>
      <c r="E23" s="127"/>
      <c r="F23" s="127"/>
      <c r="G23" s="129"/>
      <c r="H23" s="127"/>
      <c r="I23" s="129"/>
      <c r="J23" s="129"/>
      <c r="K23" s="127"/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/>
      <c r="E24" s="127"/>
      <c r="F24" s="127"/>
      <c r="G24" s="129"/>
      <c r="H24" s="127"/>
      <c r="I24" s="129"/>
      <c r="J24" s="129"/>
      <c r="K24" s="127"/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/>
      <c r="E25" s="127"/>
      <c r="F25" s="127"/>
      <c r="G25" s="129"/>
      <c r="H25" s="127"/>
      <c r="I25" s="129"/>
      <c r="J25" s="129"/>
      <c r="K25" s="127"/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/>
      <c r="E26" s="127"/>
      <c r="F26" s="127"/>
      <c r="G26" s="129"/>
      <c r="H26" s="127"/>
      <c r="I26" s="129"/>
      <c r="J26" s="129"/>
      <c r="K26" s="127"/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330">
        <f>2711129.3/1100</f>
        <v>2464.663</v>
      </c>
      <c r="D27" s="127">
        <f>C27*$C$62</f>
        <v>133.55467965543409</v>
      </c>
      <c r="E27" s="365">
        <f>49817.8999999988/1100</f>
        <v>45.288999999998907</v>
      </c>
      <c r="F27" s="370">
        <f>$C$60</f>
        <v>13.460972789327549</v>
      </c>
      <c r="G27" s="129">
        <f t="shared" ref="G27:G37" si="1">(D27+E27+F27)/(8.76*$C$63)</f>
        <v>68.077302562479161</v>
      </c>
      <c r="H27" s="127"/>
      <c r="I27" s="129">
        <f t="shared" ref="I27:I37" si="2">(G27+H27)</f>
        <v>68.077302562479161</v>
      </c>
      <c r="J27" s="129">
        <f t="shared" ref="J27:J37" si="3">ROUND(I27*$C$63*8.76,2)</f>
        <v>192.3</v>
      </c>
      <c r="K27" s="127">
        <f t="shared" ref="K27:K37" si="4">(D27+E27+F27)</f>
        <v>192.30465244476053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382">
        <f t="shared" ref="D28:F37" si="5">ROUND(D27*(1+IRP21_Infl_Rate),2)</f>
        <v>136.43</v>
      </c>
      <c r="E28" s="382">
        <f t="shared" si="5"/>
        <v>46.26</v>
      </c>
      <c r="F28" s="382">
        <f t="shared" si="5"/>
        <v>13.75</v>
      </c>
      <c r="G28" s="129">
        <f t="shared" si="1"/>
        <v>69.54124689840684</v>
      </c>
      <c r="H28" s="127"/>
      <c r="I28" s="129">
        <f t="shared" si="2"/>
        <v>69.54124689840684</v>
      </c>
      <c r="J28" s="129">
        <f t="shared" si="3"/>
        <v>196.44</v>
      </c>
      <c r="K28" s="127">
        <f t="shared" si="4"/>
        <v>196.44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382">
        <f t="shared" si="5"/>
        <v>139.37</v>
      </c>
      <c r="E29" s="382">
        <f t="shared" si="5"/>
        <v>47.26</v>
      </c>
      <c r="F29" s="382">
        <f t="shared" si="5"/>
        <v>14.05</v>
      </c>
      <c r="G29" s="129">
        <f t="shared" si="1"/>
        <v>71.042238991917557</v>
      </c>
      <c r="H29" s="127"/>
      <c r="I29" s="129">
        <f t="shared" si="2"/>
        <v>71.042238991917557</v>
      </c>
      <c r="J29" s="129">
        <f t="shared" si="3"/>
        <v>200.68</v>
      </c>
      <c r="K29" s="127">
        <f t="shared" si="4"/>
        <v>200.68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382">
        <f t="shared" si="5"/>
        <v>142.37</v>
      </c>
      <c r="E30" s="382">
        <f t="shared" si="5"/>
        <v>48.28</v>
      </c>
      <c r="F30" s="382">
        <f t="shared" si="5"/>
        <v>14.35</v>
      </c>
      <c r="G30" s="129">
        <f t="shared" si="1"/>
        <v>72.571551690966203</v>
      </c>
      <c r="H30" s="127"/>
      <c r="I30" s="129">
        <f t="shared" si="2"/>
        <v>72.571551690966203</v>
      </c>
      <c r="J30" s="129">
        <f t="shared" si="3"/>
        <v>205</v>
      </c>
      <c r="K30" s="127">
        <f t="shared" si="4"/>
        <v>205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382">
        <f t="shared" si="5"/>
        <v>145.44</v>
      </c>
      <c r="E31" s="382">
        <f t="shared" si="5"/>
        <v>49.32</v>
      </c>
      <c r="F31" s="382">
        <f t="shared" si="5"/>
        <v>14.66</v>
      </c>
      <c r="G31" s="129">
        <f t="shared" si="1"/>
        <v>74.136265146937276</v>
      </c>
      <c r="H31" s="127"/>
      <c r="I31" s="129">
        <f t="shared" si="2"/>
        <v>74.136265146937276</v>
      </c>
      <c r="J31" s="129">
        <f t="shared" si="3"/>
        <v>209.42</v>
      </c>
      <c r="K31" s="127">
        <f t="shared" si="4"/>
        <v>209.42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382">
        <f t="shared" si="5"/>
        <v>148.57</v>
      </c>
      <c r="E32" s="382">
        <f t="shared" si="5"/>
        <v>50.38</v>
      </c>
      <c r="F32" s="382">
        <f t="shared" si="5"/>
        <v>14.98</v>
      </c>
      <c r="G32" s="129">
        <f t="shared" si="1"/>
        <v>75.732839284138535</v>
      </c>
      <c r="H32" s="127"/>
      <c r="I32" s="129">
        <f t="shared" si="2"/>
        <v>75.732839284138535</v>
      </c>
      <c r="J32" s="129">
        <f t="shared" si="3"/>
        <v>213.93</v>
      </c>
      <c r="K32" s="127">
        <f t="shared" si="4"/>
        <v>213.92999999999998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30">
      <c r="B33" s="134">
        <f t="shared" si="0"/>
        <v>2039</v>
      </c>
      <c r="C33" s="135"/>
      <c r="D33" s="382">
        <f t="shared" si="5"/>
        <v>151.77000000000001</v>
      </c>
      <c r="E33" s="382">
        <f t="shared" si="5"/>
        <v>51.47</v>
      </c>
      <c r="F33" s="382">
        <f t="shared" si="5"/>
        <v>15.3</v>
      </c>
      <c r="G33" s="129">
        <f t="shared" si="1"/>
        <v>77.364814178262222</v>
      </c>
      <c r="H33" s="127"/>
      <c r="I33" s="129">
        <f t="shared" si="2"/>
        <v>77.364814178262222</v>
      </c>
      <c r="J33" s="129">
        <f t="shared" si="3"/>
        <v>218.54</v>
      </c>
      <c r="K33" s="127">
        <f t="shared" si="4"/>
        <v>218.54000000000002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C33" s="264"/>
    </row>
    <row r="34" spans="2:30">
      <c r="B34" s="134">
        <f t="shared" si="0"/>
        <v>2040</v>
      </c>
      <c r="C34" s="135"/>
      <c r="D34" s="382">
        <f t="shared" si="5"/>
        <v>155.04</v>
      </c>
      <c r="E34" s="382">
        <f t="shared" si="5"/>
        <v>52.58</v>
      </c>
      <c r="F34" s="382">
        <f t="shared" si="5"/>
        <v>15.63</v>
      </c>
      <c r="G34" s="129">
        <f t="shared" si="1"/>
        <v>79.032189829308322</v>
      </c>
      <c r="H34" s="127"/>
      <c r="I34" s="129">
        <f t="shared" si="2"/>
        <v>79.032189829308322</v>
      </c>
      <c r="J34" s="129">
        <f t="shared" si="3"/>
        <v>223.25</v>
      </c>
      <c r="K34" s="127">
        <f t="shared" si="4"/>
        <v>223.25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C34" s="264"/>
    </row>
    <row r="35" spans="2:30">
      <c r="B35" s="134">
        <f t="shared" si="0"/>
        <v>2041</v>
      </c>
      <c r="C35" s="135"/>
      <c r="D35" s="382">
        <f t="shared" si="5"/>
        <v>158.38</v>
      </c>
      <c r="E35" s="382">
        <f t="shared" si="5"/>
        <v>53.71</v>
      </c>
      <c r="F35" s="382">
        <f t="shared" si="5"/>
        <v>15.97</v>
      </c>
      <c r="G35" s="129">
        <f t="shared" si="1"/>
        <v>80.734966237276836</v>
      </c>
      <c r="H35" s="127"/>
      <c r="I35" s="129">
        <f t="shared" si="2"/>
        <v>80.734966237276836</v>
      </c>
      <c r="J35" s="129">
        <f t="shared" si="3"/>
        <v>228.06</v>
      </c>
      <c r="K35" s="127">
        <f t="shared" si="4"/>
        <v>228.06</v>
      </c>
      <c r="L35" s="118"/>
      <c r="N35" s="116"/>
      <c r="R35" s="118"/>
      <c r="AC35" s="264"/>
    </row>
    <row r="36" spans="2:30">
      <c r="B36" s="134">
        <f t="shared" si="0"/>
        <v>2042</v>
      </c>
      <c r="C36" s="135"/>
      <c r="D36" s="382">
        <f t="shared" si="5"/>
        <v>161.79</v>
      </c>
      <c r="E36" s="382">
        <f t="shared" si="5"/>
        <v>54.87</v>
      </c>
      <c r="F36" s="382">
        <f t="shared" si="5"/>
        <v>16.309999999999999</v>
      </c>
      <c r="G36" s="129">
        <f t="shared" si="1"/>
        <v>82.473143402167793</v>
      </c>
      <c r="H36" s="127"/>
      <c r="I36" s="129">
        <f t="shared" si="2"/>
        <v>82.473143402167793</v>
      </c>
      <c r="J36" s="129">
        <f t="shared" si="3"/>
        <v>232.97</v>
      </c>
      <c r="K36" s="127">
        <f t="shared" si="4"/>
        <v>232.97</v>
      </c>
      <c r="L36" s="118"/>
      <c r="N36" s="116"/>
      <c r="R36" s="118"/>
      <c r="AC36" s="264"/>
    </row>
    <row r="37" spans="2:30">
      <c r="B37" s="134">
        <f t="shared" si="0"/>
        <v>2043</v>
      </c>
      <c r="C37" s="135"/>
      <c r="D37" s="382">
        <f t="shared" si="5"/>
        <v>165.28</v>
      </c>
      <c r="E37" s="382">
        <f t="shared" si="5"/>
        <v>56.05</v>
      </c>
      <c r="F37" s="382">
        <f t="shared" si="5"/>
        <v>16.66</v>
      </c>
      <c r="G37" s="129">
        <f t="shared" si="1"/>
        <v>84.250261399673391</v>
      </c>
      <c r="H37" s="127"/>
      <c r="I37" s="129">
        <f t="shared" si="2"/>
        <v>84.250261399673391</v>
      </c>
      <c r="J37" s="129">
        <f t="shared" si="3"/>
        <v>237.99</v>
      </c>
      <c r="K37" s="127">
        <f t="shared" si="4"/>
        <v>237.98999999999998</v>
      </c>
      <c r="R37" s="118"/>
      <c r="AC37" s="264"/>
    </row>
    <row r="38" spans="2:30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  <c r="AC38" s="264"/>
    </row>
    <row r="39" spans="2:30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  <c r="AC39" s="264"/>
    </row>
    <row r="40" spans="2:30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  <c r="AD40" s="264"/>
    </row>
    <row r="41" spans="2:30">
      <c r="N41" s="116"/>
      <c r="O41" s="158"/>
      <c r="S41" s="118"/>
      <c r="AD41" s="264"/>
    </row>
    <row r="42" spans="2:30" ht="13.8">
      <c r="B42" s="137" t="s">
        <v>25</v>
      </c>
      <c r="C42" s="138"/>
      <c r="D42" s="138"/>
      <c r="E42" s="138"/>
      <c r="F42" s="138"/>
      <c r="G42" s="138"/>
      <c r="H42" s="138"/>
      <c r="R42" s="118"/>
      <c r="AC42" s="264"/>
    </row>
    <row r="43" spans="2:30">
      <c r="AC43" s="264"/>
    </row>
    <row r="44" spans="2:30">
      <c r="B44" s="116" t="s">
        <v>63</v>
      </c>
      <c r="C44" s="139" t="s">
        <v>64</v>
      </c>
      <c r="D44" s="285" t="s">
        <v>159</v>
      </c>
      <c r="AC44" s="264"/>
    </row>
    <row r="45" spans="2:30">
      <c r="C45" s="139" t="str">
        <f>C7</f>
        <v>(a)</v>
      </c>
      <c r="D45" s="116" t="s">
        <v>65</v>
      </c>
      <c r="AC45" s="264"/>
    </row>
    <row r="46" spans="2:30">
      <c r="C46" s="139" t="str">
        <f>D7</f>
        <v>(b)</v>
      </c>
      <c r="D46" s="129" t="str">
        <f>"= "&amp;C7&amp;" x "&amp;C62</f>
        <v>= (a) x 0.0541878056575824</v>
      </c>
      <c r="AC46" s="264"/>
    </row>
    <row r="47" spans="2:30">
      <c r="C47" s="139" t="str">
        <f>F7</f>
        <v>(d)</v>
      </c>
      <c r="D47" s="129" t="str">
        <f>"= ("&amp;$D$7&amp;" + "&amp;$E$7&amp;") /  (8.76 x "&amp;TEXT(C63,"0.0%")&amp;")"</f>
        <v>= ((b) + (c)) /  (8.76 x 32.2%)</v>
      </c>
      <c r="AC47" s="264"/>
    </row>
    <row r="48" spans="2:30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UTS Solar with Storage - 32%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261">
        <v>2033</v>
      </c>
    </row>
    <row r="55" spans="2:25">
      <c r="B55" s="85" t="s">
        <v>160</v>
      </c>
      <c r="C55" s="167"/>
      <c r="D55" s="116" t="s">
        <v>65</v>
      </c>
      <c r="O55" s="265">
        <v>820</v>
      </c>
      <c r="P55" s="116" t="s">
        <v>32</v>
      </c>
    </row>
    <row r="56" spans="2:25">
      <c r="B56" s="85" t="s">
        <v>160</v>
      </c>
      <c r="C56" s="255"/>
      <c r="D56" s="116" t="s">
        <v>68</v>
      </c>
      <c r="R56" s="118"/>
    </row>
    <row r="57" spans="2:25" ht="24" customHeight="1">
      <c r="B57" s="85"/>
      <c r="C57" s="257"/>
      <c r="D57" s="116" t="s">
        <v>99</v>
      </c>
      <c r="Q57" s="200"/>
    </row>
    <row r="58" spans="2:25">
      <c r="B58" s="85" t="s">
        <v>160</v>
      </c>
      <c r="C58" s="255"/>
      <c r="D58" s="116" t="s">
        <v>69</v>
      </c>
      <c r="K58" s="118"/>
      <c r="L58" s="147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184" t="s">
        <v>90</v>
      </c>
      <c r="L59" s="149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2033$</v>
      </c>
      <c r="C60" s="257">
        <f>INDEX('Table 3 TransCost'!$39:$39,1,MATCH(F60,'Table 3 TransCost'!$4:$4,0)+2)</f>
        <v>13.460972789327549</v>
      </c>
      <c r="D60" s="116" t="s">
        <v>153</v>
      </c>
      <c r="F60" s="261" t="s">
        <v>163</v>
      </c>
      <c r="K60" s="149"/>
      <c r="L60" s="149"/>
      <c r="M60" s="149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149"/>
      <c r="L61" s="149"/>
      <c r="M61" s="149"/>
      <c r="N61" s="161"/>
      <c r="O61" s="149"/>
      <c r="R61" s="118"/>
      <c r="T61" s="118"/>
      <c r="U61" s="118"/>
      <c r="V61" s="118"/>
      <c r="W61" s="118"/>
      <c r="X61" s="118"/>
      <c r="Y61" s="118"/>
    </row>
    <row r="62" spans="2:25" ht="13.8">
      <c r="C62" s="256">
        <v>5.4187805657582425E-2</v>
      </c>
      <c r="D62" s="116" t="s">
        <v>36</v>
      </c>
      <c r="E62" s="366"/>
      <c r="K62" s="153"/>
      <c r="L62" s="154"/>
      <c r="M62" s="154"/>
      <c r="O62" s="155"/>
    </row>
    <row r="63" spans="2:25">
      <c r="C63" s="194">
        <v>0.32246556589655162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3732-CDFE-4D1A-B65C-F8D86B90582F}">
  <sheetPr>
    <tabColor rgb="FFFFC000"/>
    <pageSetUpPr fitToPage="1"/>
  </sheetPr>
  <dimension ref="B1:AF89"/>
  <sheetViews>
    <sheetView topLeftCell="A5" zoomScale="80" zoomScaleNormal="80" workbookViewId="0">
      <selection activeCell="D23" sqref="D23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190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Sm Adv Nuclear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8"/>
      <c r="AB9" s="348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Sm Adv Nuclear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380">
        <f>$C$68</f>
        <v>6.7187999999999999</v>
      </c>
      <c r="H14" s="279"/>
      <c r="I14" s="279"/>
      <c r="J14" s="279"/>
      <c r="K14" s="279"/>
      <c r="L14" s="279"/>
      <c r="M14" s="127"/>
      <c r="N14" s="41"/>
      <c r="P14" s="373"/>
      <c r="V14" s="161"/>
      <c r="W14" s="118"/>
      <c r="X14" s="157"/>
      <c r="Y14" s="349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382">
        <f t="shared" ref="G15:G36" si="1">ROUND(G14*(1+IRP21_Infl_Rate),2)</f>
        <v>6.86</v>
      </c>
      <c r="H15" s="279"/>
      <c r="I15" s="279"/>
      <c r="J15" s="127"/>
      <c r="K15" s="279"/>
      <c r="L15" s="279"/>
      <c r="M15" s="127"/>
      <c r="N15" s="41"/>
      <c r="P15" s="373"/>
      <c r="Q15" s="373"/>
      <c r="V15" s="161"/>
      <c r="W15" s="157"/>
      <c r="X15" s="157"/>
      <c r="Y15" s="349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382">
        <f t="shared" si="1"/>
        <v>7.01</v>
      </c>
      <c r="H16" s="279"/>
      <c r="I16" s="279"/>
      <c r="J16" s="127"/>
      <c r="K16" s="279"/>
      <c r="L16" s="279"/>
      <c r="M16" s="127"/>
      <c r="N16" s="41"/>
      <c r="P16" s="373"/>
      <c r="Q16" s="373"/>
      <c r="V16" s="161"/>
      <c r="W16" s="157"/>
      <c r="X16" s="157"/>
      <c r="Y16" s="349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382">
        <f t="shared" si="1"/>
        <v>7.16</v>
      </c>
      <c r="H17" s="279"/>
      <c r="I17" s="279"/>
      <c r="J17" s="127"/>
      <c r="K17" s="279"/>
      <c r="L17" s="279"/>
      <c r="M17" s="127"/>
      <c r="N17" s="41"/>
      <c r="P17" s="373"/>
      <c r="Q17" s="373"/>
      <c r="V17" s="161"/>
      <c r="W17" s="157"/>
      <c r="X17" s="157"/>
      <c r="Y17" s="349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382">
        <f t="shared" si="1"/>
        <v>7.31</v>
      </c>
      <c r="H18" s="279"/>
      <c r="I18" s="279"/>
      <c r="J18" s="127"/>
      <c r="K18" s="279"/>
      <c r="L18" s="279"/>
      <c r="M18" s="127"/>
      <c r="N18" s="41"/>
      <c r="P18" s="373"/>
      <c r="Q18" s="373"/>
      <c r="V18" s="161"/>
      <c r="W18" s="157"/>
      <c r="X18" s="157"/>
      <c r="Y18" s="349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382">
        <f t="shared" si="1"/>
        <v>7.47</v>
      </c>
      <c r="H19" s="279"/>
      <c r="I19" s="279"/>
      <c r="J19" s="127"/>
      <c r="K19" s="279"/>
      <c r="L19" s="279"/>
      <c r="M19" s="127"/>
      <c r="N19" s="41"/>
      <c r="P19" s="373"/>
      <c r="Q19" s="373"/>
      <c r="V19" s="161"/>
      <c r="W19" s="157"/>
      <c r="X19" s="157"/>
      <c r="Y19" s="349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382">
        <f t="shared" si="1"/>
        <v>7.63</v>
      </c>
      <c r="H20" s="279"/>
      <c r="I20" s="279"/>
      <c r="J20" s="127"/>
      <c r="K20" s="279"/>
      <c r="L20" s="279"/>
      <c r="M20" s="127"/>
      <c r="N20" s="41"/>
      <c r="P20" s="373"/>
      <c r="Q20" s="373" t="s">
        <v>195</v>
      </c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382">
        <f t="shared" si="1"/>
        <v>7.79</v>
      </c>
      <c r="H21" s="279"/>
      <c r="I21" s="279"/>
      <c r="J21" s="127"/>
      <c r="K21" s="279"/>
      <c r="L21" s="279"/>
      <c r="M21" s="127"/>
      <c r="N21" s="41"/>
      <c r="P21" s="373"/>
      <c r="Q21" s="85" t="s">
        <v>196</v>
      </c>
      <c r="V21" s="350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371">
        <f>$C$64</f>
        <v>3799.5717060566089</v>
      </c>
      <c r="D22" s="381">
        <f>ROUND(C22*$C$70,2)</f>
        <v>255.84</v>
      </c>
      <c r="E22" s="127"/>
      <c r="F22" s="365">
        <f>$C$67</f>
        <v>222.01</v>
      </c>
      <c r="G22" s="382">
        <f t="shared" si="1"/>
        <v>7.96</v>
      </c>
      <c r="H22" s="279">
        <f t="shared" ref="H22:H26" si="2">ROUND(G22*(8.76*$H$59)+F22,2)</f>
        <v>281.7</v>
      </c>
      <c r="I22" s="279">
        <f t="shared" ref="I22:I26" si="3">ROUND(D22+E22+H22,2)</f>
        <v>537.54</v>
      </c>
      <c r="J22" s="127"/>
      <c r="K22" s="279">
        <f t="shared" ref="K22:K26" si="4">ROUND($L$59*J22/1000,2)</f>
        <v>0</v>
      </c>
      <c r="L22" s="279">
        <f t="shared" ref="L22:L26" si="5">ROUND(I22*1000/8760/$H$59+K22,2)</f>
        <v>71.69</v>
      </c>
      <c r="M22" s="127">
        <f t="shared" ref="M22:M26" si="6">(D22+E22+F22)</f>
        <v>477.85</v>
      </c>
      <c r="N22" s="41"/>
      <c r="P22" s="373"/>
      <c r="Q22" s="373">
        <v>-13</v>
      </c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382">
        <f t="shared" ref="D23:D36" si="7">ROUND(D22*(1+IRP21_Infl_Rate),2)</f>
        <v>261.35000000000002</v>
      </c>
      <c r="E23" s="127"/>
      <c r="F23" s="382">
        <f t="shared" ref="F23:F36" si="8">ROUND(F22*(1+IRP21_Infl_Rate),2)</f>
        <v>226.79</v>
      </c>
      <c r="G23" s="382">
        <f t="shared" si="1"/>
        <v>8.1300000000000008</v>
      </c>
      <c r="H23" s="279">
        <f t="shared" si="2"/>
        <v>287.75</v>
      </c>
      <c r="I23" s="279">
        <f t="shared" si="3"/>
        <v>549.1</v>
      </c>
      <c r="J23" s="127"/>
      <c r="K23" s="279">
        <f t="shared" si="4"/>
        <v>0</v>
      </c>
      <c r="L23" s="279">
        <f t="shared" si="5"/>
        <v>73.23</v>
      </c>
      <c r="M23" s="127">
        <f t="shared" si="6"/>
        <v>488.14</v>
      </c>
      <c r="N23" s="41"/>
      <c r="P23" s="373"/>
      <c r="Q23" s="373">
        <v>-13</v>
      </c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382">
        <f t="shared" si="7"/>
        <v>266.98</v>
      </c>
      <c r="E24" s="127"/>
      <c r="F24" s="382">
        <f t="shared" si="8"/>
        <v>231.68</v>
      </c>
      <c r="G24" s="382">
        <f t="shared" si="1"/>
        <v>8.31</v>
      </c>
      <c r="H24" s="279">
        <f t="shared" si="2"/>
        <v>293.99</v>
      </c>
      <c r="I24" s="279">
        <f t="shared" si="3"/>
        <v>560.97</v>
      </c>
      <c r="J24" s="127"/>
      <c r="K24" s="279">
        <f t="shared" si="4"/>
        <v>0</v>
      </c>
      <c r="L24" s="279">
        <f t="shared" si="5"/>
        <v>74.81</v>
      </c>
      <c r="M24" s="127">
        <f t="shared" si="6"/>
        <v>498.66</v>
      </c>
      <c r="N24" s="50"/>
      <c r="O24" s="85"/>
      <c r="P24" s="373"/>
      <c r="Q24" s="373">
        <v>-13</v>
      </c>
      <c r="V24" s="161"/>
      <c r="W24" s="157"/>
      <c r="X24" s="157"/>
      <c r="Y24" s="157"/>
      <c r="Z24" s="157"/>
      <c r="AA24" s="157"/>
      <c r="AB24" s="157"/>
      <c r="AC24" s="118"/>
      <c r="AD24" s="118"/>
      <c r="AE24" s="351"/>
      <c r="AF24" s="351"/>
    </row>
    <row r="25" spans="2:32" s="283" customFormat="1">
      <c r="B25" s="281">
        <f t="shared" si="0"/>
        <v>2031</v>
      </c>
      <c r="C25" s="280"/>
      <c r="D25" s="382">
        <f t="shared" si="7"/>
        <v>272.73</v>
      </c>
      <c r="E25" s="127"/>
      <c r="F25" s="382">
        <f t="shared" si="8"/>
        <v>236.67</v>
      </c>
      <c r="G25" s="382">
        <f t="shared" si="1"/>
        <v>8.49</v>
      </c>
      <c r="H25" s="279">
        <f t="shared" si="2"/>
        <v>300.33</v>
      </c>
      <c r="I25" s="279">
        <f t="shared" si="3"/>
        <v>573.05999999999995</v>
      </c>
      <c r="J25" s="127"/>
      <c r="K25" s="279">
        <f t="shared" si="4"/>
        <v>0</v>
      </c>
      <c r="L25" s="279">
        <f t="shared" si="5"/>
        <v>76.42</v>
      </c>
      <c r="M25" s="127">
        <f t="shared" si="6"/>
        <v>509.4</v>
      </c>
      <c r="N25" s="50"/>
      <c r="O25" s="85"/>
      <c r="P25" s="373"/>
      <c r="Q25" s="373">
        <v>-13</v>
      </c>
      <c r="V25" s="161"/>
      <c r="W25" s="157"/>
      <c r="X25" s="157"/>
      <c r="Y25" s="157"/>
      <c r="Z25" s="157"/>
      <c r="AA25" s="157"/>
      <c r="AB25" s="157"/>
      <c r="AC25" s="118"/>
      <c r="AD25" s="118"/>
      <c r="AE25" s="351"/>
      <c r="AF25" s="351"/>
    </row>
    <row r="26" spans="2:32" s="283" customFormat="1">
      <c r="B26" s="281">
        <f t="shared" si="0"/>
        <v>2032</v>
      </c>
      <c r="C26" s="280"/>
      <c r="D26" s="382">
        <f t="shared" si="7"/>
        <v>278.61</v>
      </c>
      <c r="E26" s="127"/>
      <c r="F26" s="382">
        <f t="shared" si="8"/>
        <v>241.77</v>
      </c>
      <c r="G26" s="382">
        <f t="shared" si="1"/>
        <v>8.67</v>
      </c>
      <c r="H26" s="279">
        <f t="shared" si="2"/>
        <v>306.77999999999997</v>
      </c>
      <c r="I26" s="279">
        <f t="shared" si="3"/>
        <v>585.39</v>
      </c>
      <c r="J26" s="127"/>
      <c r="K26" s="279">
        <f t="shared" si="4"/>
        <v>0</v>
      </c>
      <c r="L26" s="279">
        <f t="shared" si="5"/>
        <v>78.069999999999993</v>
      </c>
      <c r="M26" s="127">
        <f t="shared" si="6"/>
        <v>520.38</v>
      </c>
      <c r="N26" s="50"/>
      <c r="O26" s="85"/>
      <c r="P26" s="373"/>
      <c r="Q26" s="373">
        <v>-13</v>
      </c>
      <c r="V26" s="161"/>
      <c r="W26" s="157"/>
      <c r="X26" s="157"/>
      <c r="Y26" s="157"/>
      <c r="Z26" s="157"/>
      <c r="AA26" s="157"/>
      <c r="AB26" s="157"/>
      <c r="AC26" s="118"/>
      <c r="AD26" s="118"/>
      <c r="AE26" s="351"/>
      <c r="AF26" s="351"/>
    </row>
    <row r="27" spans="2:32" s="283" customFormat="1">
      <c r="B27" s="281">
        <f t="shared" si="0"/>
        <v>2033</v>
      </c>
      <c r="C27" s="282"/>
      <c r="D27" s="382">
        <f t="shared" si="7"/>
        <v>284.61</v>
      </c>
      <c r="E27" s="127"/>
      <c r="F27" s="382">
        <f t="shared" si="8"/>
        <v>246.98</v>
      </c>
      <c r="G27" s="382">
        <f t="shared" si="1"/>
        <v>8.86</v>
      </c>
      <c r="H27" s="279">
        <f t="shared" ref="H27:H36" si="9">ROUND(G27*(8.76*$H$59)+F27,2)</f>
        <v>313.42</v>
      </c>
      <c r="I27" s="279">
        <f>ROUND(D27+E27+H27,2)</f>
        <v>598.03</v>
      </c>
      <c r="J27" s="127"/>
      <c r="K27" s="279">
        <f t="shared" ref="K27:K36" si="10">ROUND($L$59*J27/1000,2)</f>
        <v>0</v>
      </c>
      <c r="L27" s="279">
        <f t="shared" ref="L27:L36" si="11">ROUND(I27*1000/8760/$H$59+K27,2)</f>
        <v>79.75</v>
      </c>
      <c r="M27" s="127">
        <f>(D27+E27+F27)</f>
        <v>531.59</v>
      </c>
      <c r="N27" s="50"/>
      <c r="O27" s="85"/>
      <c r="P27" s="373"/>
      <c r="Q27" s="373">
        <v>-13</v>
      </c>
      <c r="S27" s="379"/>
      <c r="V27" s="161"/>
      <c r="W27" s="157"/>
      <c r="X27" s="157"/>
      <c r="Y27" s="157"/>
      <c r="Z27" s="157"/>
      <c r="AA27" s="157"/>
      <c r="AB27" s="157"/>
      <c r="AC27" s="118"/>
      <c r="AD27" s="118"/>
      <c r="AE27" s="351"/>
      <c r="AF27" s="351"/>
    </row>
    <row r="28" spans="2:32" s="283" customFormat="1">
      <c r="B28" s="281">
        <f t="shared" si="0"/>
        <v>2034</v>
      </c>
      <c r="C28" s="282"/>
      <c r="D28" s="382">
        <f t="shared" si="7"/>
        <v>290.74</v>
      </c>
      <c r="E28" s="127"/>
      <c r="F28" s="382">
        <f t="shared" si="8"/>
        <v>252.3</v>
      </c>
      <c r="G28" s="382">
        <f t="shared" si="1"/>
        <v>9.0500000000000007</v>
      </c>
      <c r="H28" s="279">
        <f t="shared" si="9"/>
        <v>320.16000000000003</v>
      </c>
      <c r="I28" s="279">
        <f t="shared" ref="I28:I36" si="12">ROUND(D28+E28+H28,2)</f>
        <v>610.9</v>
      </c>
      <c r="J28" s="127"/>
      <c r="K28" s="279">
        <f t="shared" si="10"/>
        <v>0</v>
      </c>
      <c r="L28" s="279">
        <f t="shared" si="11"/>
        <v>81.47</v>
      </c>
      <c r="M28" s="127">
        <f t="shared" ref="M28:M36" si="13">(D28+E28+F28)</f>
        <v>543.04</v>
      </c>
      <c r="N28" s="50"/>
      <c r="O28" s="85"/>
      <c r="P28" s="85"/>
      <c r="Q28" s="373">
        <v>5</v>
      </c>
      <c r="V28" s="161"/>
      <c r="W28" s="157"/>
      <c r="X28" s="157"/>
      <c r="Y28" s="157"/>
      <c r="Z28" s="157"/>
      <c r="AA28" s="157"/>
      <c r="AB28" s="157"/>
      <c r="AC28" s="118"/>
      <c r="AD28" s="118"/>
      <c r="AE28" s="351"/>
      <c r="AF28" s="351"/>
    </row>
    <row r="29" spans="2:32">
      <c r="B29" s="275">
        <f t="shared" si="0"/>
        <v>2035</v>
      </c>
      <c r="C29" s="280"/>
      <c r="D29" s="382">
        <f t="shared" si="7"/>
        <v>297.01</v>
      </c>
      <c r="E29" s="127"/>
      <c r="F29" s="382">
        <f t="shared" si="8"/>
        <v>257.74</v>
      </c>
      <c r="G29" s="382">
        <f t="shared" si="1"/>
        <v>9.25</v>
      </c>
      <c r="H29" s="279">
        <f t="shared" si="9"/>
        <v>327.10000000000002</v>
      </c>
      <c r="I29" s="279">
        <f t="shared" si="12"/>
        <v>624.11</v>
      </c>
      <c r="J29" s="127"/>
      <c r="K29" s="279">
        <f t="shared" si="10"/>
        <v>0</v>
      </c>
      <c r="L29" s="279">
        <f t="shared" si="11"/>
        <v>83.23</v>
      </c>
      <c r="M29" s="127">
        <f t="shared" si="13"/>
        <v>554.75</v>
      </c>
      <c r="N29" s="50"/>
      <c r="Q29" s="373">
        <v>5</v>
      </c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382">
        <f t="shared" si="7"/>
        <v>303.41000000000003</v>
      </c>
      <c r="E30" s="127"/>
      <c r="F30" s="382">
        <f t="shared" si="8"/>
        <v>263.29000000000002</v>
      </c>
      <c r="G30" s="382">
        <f t="shared" si="1"/>
        <v>9.4499999999999993</v>
      </c>
      <c r="H30" s="279">
        <f t="shared" si="9"/>
        <v>334.15</v>
      </c>
      <c r="I30" s="279">
        <f t="shared" si="12"/>
        <v>637.55999999999995</v>
      </c>
      <c r="J30" s="127"/>
      <c r="K30" s="279">
        <f t="shared" si="10"/>
        <v>0</v>
      </c>
      <c r="L30" s="279">
        <f t="shared" si="11"/>
        <v>85.02</v>
      </c>
      <c r="M30" s="127">
        <f t="shared" si="13"/>
        <v>566.70000000000005</v>
      </c>
      <c r="N30" s="50"/>
      <c r="Q30" s="373">
        <v>5</v>
      </c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382">
        <f t="shared" si="7"/>
        <v>309.95</v>
      </c>
      <c r="E31" s="127"/>
      <c r="F31" s="382">
        <f t="shared" si="8"/>
        <v>268.95999999999998</v>
      </c>
      <c r="G31" s="382">
        <f t="shared" si="1"/>
        <v>9.65</v>
      </c>
      <c r="H31" s="279">
        <f t="shared" si="9"/>
        <v>341.32</v>
      </c>
      <c r="I31" s="279">
        <f t="shared" si="12"/>
        <v>651.27</v>
      </c>
      <c r="J31" s="127"/>
      <c r="K31" s="279">
        <f t="shared" si="10"/>
        <v>0</v>
      </c>
      <c r="L31" s="279">
        <f t="shared" si="11"/>
        <v>86.85</v>
      </c>
      <c r="M31" s="127">
        <f t="shared" si="13"/>
        <v>578.91</v>
      </c>
      <c r="N31" s="50"/>
      <c r="Q31" s="373">
        <v>5</v>
      </c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382">
        <f t="shared" si="7"/>
        <v>316.63</v>
      </c>
      <c r="E32" s="127"/>
      <c r="F32" s="382">
        <f t="shared" si="8"/>
        <v>274.76</v>
      </c>
      <c r="G32" s="382">
        <f t="shared" si="1"/>
        <v>9.86</v>
      </c>
      <c r="H32" s="279">
        <f t="shared" si="9"/>
        <v>348.7</v>
      </c>
      <c r="I32" s="279">
        <f t="shared" si="12"/>
        <v>665.33</v>
      </c>
      <c r="J32" s="127"/>
      <c r="K32" s="279">
        <f t="shared" si="10"/>
        <v>0</v>
      </c>
      <c r="L32" s="279">
        <f t="shared" si="11"/>
        <v>88.73</v>
      </c>
      <c r="M32" s="127">
        <f t="shared" si="13"/>
        <v>591.39</v>
      </c>
      <c r="N32" s="50"/>
      <c r="Q32" s="373">
        <v>5</v>
      </c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382">
        <f t="shared" si="7"/>
        <v>323.45</v>
      </c>
      <c r="E33" s="127"/>
      <c r="F33" s="382">
        <f t="shared" si="8"/>
        <v>280.68</v>
      </c>
      <c r="G33" s="382">
        <f t="shared" si="1"/>
        <v>10.07</v>
      </c>
      <c r="H33" s="279">
        <f t="shared" si="9"/>
        <v>356.19</v>
      </c>
      <c r="I33" s="279">
        <f t="shared" si="12"/>
        <v>679.64</v>
      </c>
      <c r="J33" s="127"/>
      <c r="K33" s="279">
        <f t="shared" si="10"/>
        <v>0</v>
      </c>
      <c r="L33" s="279">
        <f t="shared" si="11"/>
        <v>90.64</v>
      </c>
      <c r="M33" s="127">
        <f t="shared" si="13"/>
        <v>604.13</v>
      </c>
      <c r="Q33" s="373">
        <v>5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382">
        <f t="shared" si="7"/>
        <v>330.42</v>
      </c>
      <c r="E34" s="127"/>
      <c r="F34" s="382">
        <f t="shared" si="8"/>
        <v>286.73</v>
      </c>
      <c r="G34" s="382">
        <f t="shared" si="1"/>
        <v>10.29</v>
      </c>
      <c r="H34" s="279">
        <f t="shared" si="9"/>
        <v>363.89</v>
      </c>
      <c r="I34" s="279">
        <f t="shared" si="12"/>
        <v>694.31</v>
      </c>
      <c r="J34" s="127"/>
      <c r="K34" s="279">
        <f t="shared" si="10"/>
        <v>0</v>
      </c>
      <c r="L34" s="279">
        <f t="shared" si="11"/>
        <v>92.59</v>
      </c>
      <c r="M34" s="127">
        <f t="shared" si="13"/>
        <v>617.15000000000009</v>
      </c>
      <c r="Q34" s="373">
        <v>5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382">
        <f t="shared" si="7"/>
        <v>337.54</v>
      </c>
      <c r="E35" s="127"/>
      <c r="F35" s="382">
        <f t="shared" si="8"/>
        <v>292.91000000000003</v>
      </c>
      <c r="G35" s="382">
        <f t="shared" si="1"/>
        <v>10.51</v>
      </c>
      <c r="H35" s="279">
        <f t="shared" si="9"/>
        <v>371.72</v>
      </c>
      <c r="I35" s="279">
        <f t="shared" si="12"/>
        <v>709.26</v>
      </c>
      <c r="J35" s="127"/>
      <c r="K35" s="279">
        <f t="shared" si="10"/>
        <v>0</v>
      </c>
      <c r="L35" s="279">
        <f t="shared" si="11"/>
        <v>94.59</v>
      </c>
      <c r="M35" s="127">
        <f t="shared" si="13"/>
        <v>630.45000000000005</v>
      </c>
      <c r="Q35" s="373">
        <v>5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382">
        <f t="shared" si="7"/>
        <v>344.81</v>
      </c>
      <c r="E36" s="127"/>
      <c r="F36" s="382">
        <f t="shared" si="8"/>
        <v>299.22000000000003</v>
      </c>
      <c r="G36" s="382">
        <f t="shared" si="1"/>
        <v>10.74</v>
      </c>
      <c r="H36" s="279">
        <f t="shared" si="9"/>
        <v>379.75</v>
      </c>
      <c r="I36" s="279">
        <f t="shared" si="12"/>
        <v>724.56</v>
      </c>
      <c r="J36" s="127"/>
      <c r="K36" s="279">
        <f t="shared" si="10"/>
        <v>0</v>
      </c>
      <c r="L36" s="279">
        <f t="shared" si="11"/>
        <v>96.63</v>
      </c>
      <c r="M36" s="127">
        <f t="shared" si="13"/>
        <v>644.03</v>
      </c>
      <c r="Q36" s="373">
        <v>5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0.0673334815141819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85.6%)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 0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191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345</v>
      </c>
      <c r="H52" s="41">
        <f>G52/G54</f>
        <v>1</v>
      </c>
      <c r="I52" s="295">
        <f>C64</f>
        <v>3799.5717060566089</v>
      </c>
      <c r="J52" s="296">
        <f>C67</f>
        <v>222.01</v>
      </c>
      <c r="Q52" s="116"/>
      <c r="R52" s="116"/>
      <c r="S52" s="261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31"/>
      <c r="R53" s="116"/>
      <c r="S53" s="261"/>
      <c r="T53" s="261"/>
      <c r="U53" s="116"/>
      <c r="V53" s="261"/>
    </row>
    <row r="54" spans="2:22">
      <c r="C54" s="283" t="s">
        <v>110</v>
      </c>
      <c r="G54" s="294">
        <f>G52+G53</f>
        <v>345</v>
      </c>
      <c r="H54" s="41">
        <f>H52+H53</f>
        <v>1</v>
      </c>
      <c r="I54" s="295">
        <f>ROUND(((G52*I52)+(G53*I53))/G54,0)</f>
        <v>3800</v>
      </c>
      <c r="J54" s="296">
        <f>ROUND(((G52*J52)+(G53*J53))/G54,2)</f>
        <v>222.01</v>
      </c>
      <c r="Q54" s="331"/>
      <c r="R54" s="116"/>
      <c r="S54" s="261"/>
      <c r="T54" s="118"/>
      <c r="U54" s="116"/>
      <c r="V54" s="261"/>
    </row>
    <row r="55" spans="2:22">
      <c r="C55" s="283"/>
      <c r="G55" s="294"/>
      <c r="H55" s="41"/>
      <c r="I55" s="301"/>
      <c r="J55" s="302"/>
      <c r="Q55" s="116"/>
      <c r="R55" s="116"/>
      <c r="S55" s="329"/>
      <c r="T55" s="116"/>
      <c r="U55" s="116"/>
      <c r="V55" s="261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345</v>
      </c>
      <c r="H57" s="41">
        <f>C71</f>
        <v>0.85562099999999996</v>
      </c>
      <c r="I57" s="306">
        <f>H57*G57</f>
        <v>295.18924499999997</v>
      </c>
      <c r="J57" s="41">
        <f>I57/I59</f>
        <v>1</v>
      </c>
      <c r="K57" s="302">
        <f>C68</f>
        <v>6.7187999999999999</v>
      </c>
      <c r="L57" s="307">
        <f>C69</f>
        <v>0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345</v>
      </c>
      <c r="H59" s="312">
        <f>ROUND(I59/G59,3)</f>
        <v>0.85599999999999998</v>
      </c>
      <c r="I59" s="306">
        <f>SUM(I57:I58)</f>
        <v>295.18924499999997</v>
      </c>
      <c r="J59" s="41">
        <f>J57+J58</f>
        <v>1</v>
      </c>
      <c r="K59" s="302">
        <f>ROUND(($J57*K57)+($J58*K58),2)</f>
        <v>6.72</v>
      </c>
      <c r="L59" s="313">
        <f>ROUND(($J57*L57)+($J58*L58),0)</f>
        <v>0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77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324">
        <v>345</v>
      </c>
      <c r="F63" s="85" t="s">
        <v>118</v>
      </c>
      <c r="I63" s="318"/>
    </row>
    <row r="64" spans="2:22">
      <c r="B64" s="85" t="s">
        <v>188</v>
      </c>
      <c r="C64" s="323">
        <f>1310852.23858953/C63</f>
        <v>3799.5717060566089</v>
      </c>
      <c r="D64" s="301"/>
      <c r="F64" s="85" t="s">
        <v>119</v>
      </c>
    </row>
    <row r="65" spans="2:30">
      <c r="B65" s="85" t="s">
        <v>188</v>
      </c>
      <c r="C65" s="374">
        <v>222.01</v>
      </c>
      <c r="D65" s="302"/>
      <c r="F65" s="85" t="s">
        <v>120</v>
      </c>
    </row>
    <row r="66" spans="2:30">
      <c r="C66" s="326">
        <v>0</v>
      </c>
      <c r="D66" s="319"/>
      <c r="F66" s="85" t="s">
        <v>121</v>
      </c>
    </row>
    <row r="67" spans="2:30">
      <c r="B67" s="85" t="s">
        <v>188</v>
      </c>
      <c r="C67" s="302">
        <f>C65+C66</f>
        <v>222.01</v>
      </c>
      <c r="D67" s="302"/>
      <c r="F67" s="85" t="s">
        <v>122</v>
      </c>
    </row>
    <row r="68" spans="2:30">
      <c r="B68" s="85" t="s">
        <v>160</v>
      </c>
      <c r="C68" s="374">
        <v>6.7187999999999999</v>
      </c>
      <c r="D68" s="302"/>
      <c r="F68" s="85" t="s">
        <v>123</v>
      </c>
    </row>
    <row r="69" spans="2:30">
      <c r="C69" s="328"/>
      <c r="D69" s="313"/>
      <c r="F69" s="85" t="s">
        <v>124</v>
      </c>
    </row>
    <row r="70" spans="2:30">
      <c r="C70" s="325">
        <v>6.7333481514181892E-2</v>
      </c>
      <c r="D70" s="320"/>
      <c r="F70" s="85" t="s">
        <v>36</v>
      </c>
      <c r="AC70" s="118"/>
      <c r="AD70" s="118"/>
    </row>
    <row r="71" spans="2:30">
      <c r="C71" s="327">
        <v>0.85562099999999996</v>
      </c>
      <c r="D71" s="321"/>
      <c r="F71" s="85" t="s">
        <v>37</v>
      </c>
      <c r="AC71" s="118"/>
      <c r="AD71" s="118"/>
    </row>
    <row r="72" spans="2:30">
      <c r="D72" s="41">
        <f>ROUND(I59/G59,3)</f>
        <v>0.85599999999999998</v>
      </c>
      <c r="F72" s="85" t="s">
        <v>125</v>
      </c>
      <c r="AC72" s="118"/>
      <c r="AD72" s="118"/>
    </row>
    <row r="73" spans="2:30">
      <c r="B73" s="346" t="e">
        <f>LEFT(RIGHT(INDEX('Table 3 TransCost'!$39:$39,1,MATCH(E73,'Table 3 TransCost'!$4:$4,0)),6),5)</f>
        <v>#N/A</v>
      </c>
      <c r="C73" s="257"/>
      <c r="D73" s="116" t="s">
        <v>153</v>
      </c>
      <c r="E73" s="261"/>
      <c r="F73" s="116"/>
      <c r="AC73" s="118"/>
      <c r="AD73" s="118"/>
    </row>
    <row r="74" spans="2:30" ht="13.8" thickBot="1">
      <c r="B74"/>
      <c r="C74" s="376">
        <v>26.724569206547603</v>
      </c>
      <c r="D74"/>
      <c r="F74" s="85" t="s">
        <v>185</v>
      </c>
      <c r="G74" s="375"/>
      <c r="AC74" s="118"/>
      <c r="AD74" s="118"/>
    </row>
    <row r="75" spans="2:30" ht="13.8" thickBot="1"/>
    <row r="76" spans="2:30" ht="13.8" thickBot="1">
      <c r="C76" s="40" t="str">
        <f>"Company Official Inflation Forecast Dated "&amp;TEXT('Table 4'!$H$5,"mmmm dd, yyyy")</f>
        <v>Company Official Inflation Forecast Dated December 31, 2021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2"/>
    </row>
    <row r="77" spans="2:30">
      <c r="C77" s="87">
        <v>2017</v>
      </c>
      <c r="D77" s="41">
        <v>0.02</v>
      </c>
      <c r="G77" s="87">
        <f>C85+1</f>
        <v>2026</v>
      </c>
      <c r="H77" s="41">
        <v>2.3E-2</v>
      </c>
      <c r="I77" s="41"/>
      <c r="J77" s="87">
        <f>G85+1</f>
        <v>2035</v>
      </c>
      <c r="K77" s="41">
        <v>2.3E-2</v>
      </c>
      <c r="L77" s="116"/>
      <c r="M77" s="116"/>
    </row>
    <row r="78" spans="2:30">
      <c r="C78" s="87">
        <f t="shared" ref="C78:C85" si="14">C77+1</f>
        <v>2018</v>
      </c>
      <c r="D78" s="41">
        <v>2.4E-2</v>
      </c>
      <c r="G78" s="87">
        <f t="shared" ref="G78:G85" si="15">G77+1</f>
        <v>2027</v>
      </c>
      <c r="H78" s="41">
        <v>2.4E-2</v>
      </c>
      <c r="I78" s="41"/>
      <c r="J78" s="87">
        <f>J77+1</f>
        <v>2036</v>
      </c>
      <c r="K78" s="41">
        <v>2.3E-2</v>
      </c>
      <c r="L78" s="116"/>
      <c r="M78" s="116"/>
    </row>
    <row r="79" spans="2:30">
      <c r="C79" s="87">
        <f t="shared" si="14"/>
        <v>2019</v>
      </c>
      <c r="D79" s="41">
        <v>1.7999999999999999E-2</v>
      </c>
      <c r="G79" s="87">
        <f t="shared" si="15"/>
        <v>2028</v>
      </c>
      <c r="H79" s="41">
        <v>2.4E-2</v>
      </c>
      <c r="I79" s="41"/>
      <c r="J79" s="87">
        <f t="shared" ref="J79:J85" si="16">J78+1</f>
        <v>2037</v>
      </c>
      <c r="K79" s="41">
        <v>2.3E-2</v>
      </c>
      <c r="L79" s="116"/>
      <c r="M79" s="116"/>
    </row>
    <row r="80" spans="2:30">
      <c r="C80" s="87">
        <f t="shared" si="14"/>
        <v>2020</v>
      </c>
      <c r="D80" s="41">
        <v>1.2999999999999999E-2</v>
      </c>
      <c r="G80" s="87">
        <f t="shared" si="15"/>
        <v>2029</v>
      </c>
      <c r="H80" s="41">
        <v>2.4E-2</v>
      </c>
      <c r="I80" s="41"/>
      <c r="J80" s="87">
        <f t="shared" si="16"/>
        <v>2038</v>
      </c>
      <c r="K80" s="41">
        <v>2.3E-2</v>
      </c>
      <c r="L80" s="116"/>
      <c r="M80" s="116"/>
    </row>
    <row r="81" spans="3:30">
      <c r="C81" s="87">
        <f t="shared" si="14"/>
        <v>2021</v>
      </c>
      <c r="D81" s="41">
        <v>4.2999999999999997E-2</v>
      </c>
      <c r="G81" s="87">
        <f t="shared" si="15"/>
        <v>2030</v>
      </c>
      <c r="H81" s="41">
        <v>2.3E-2</v>
      </c>
      <c r="I81" s="41"/>
      <c r="J81" s="87">
        <f t="shared" si="16"/>
        <v>2039</v>
      </c>
      <c r="K81" s="41">
        <v>2.3E-2</v>
      </c>
      <c r="L81" s="116"/>
      <c r="M81" s="116"/>
    </row>
    <row r="82" spans="3:30">
      <c r="C82" s="87">
        <f t="shared" si="14"/>
        <v>2022</v>
      </c>
      <c r="D82" s="41">
        <v>3.6999999999999998E-2</v>
      </c>
      <c r="G82" s="87">
        <f t="shared" si="15"/>
        <v>2031</v>
      </c>
      <c r="H82" s="41">
        <v>2.3E-2</v>
      </c>
      <c r="I82" s="41"/>
      <c r="J82" s="87">
        <f t="shared" si="16"/>
        <v>2040</v>
      </c>
      <c r="K82" s="41">
        <v>2.3E-2</v>
      </c>
      <c r="L82" s="116"/>
      <c r="M82" s="116"/>
    </row>
    <row r="83" spans="3:30" s="86" customFormat="1">
      <c r="C83" s="87">
        <f t="shared" si="14"/>
        <v>2023</v>
      </c>
      <c r="D83" s="41">
        <v>2.3E-2</v>
      </c>
      <c r="G83" s="87">
        <f t="shared" si="15"/>
        <v>2032</v>
      </c>
      <c r="H83" s="41">
        <v>2.3E-2</v>
      </c>
      <c r="I83" s="41"/>
      <c r="J83" s="87">
        <f t="shared" si="16"/>
        <v>2041</v>
      </c>
      <c r="K83" s="41">
        <v>2.3E-2</v>
      </c>
      <c r="L83" s="118"/>
      <c r="M83" s="118"/>
      <c r="O83" s="85"/>
      <c r="P83" s="85"/>
      <c r="AC83" s="116"/>
      <c r="AD83" s="116"/>
    </row>
    <row r="84" spans="3:30" s="86" customFormat="1">
      <c r="C84" s="87">
        <f t="shared" si="14"/>
        <v>2024</v>
      </c>
      <c r="D84" s="41">
        <v>2.3E-2</v>
      </c>
      <c r="G84" s="87">
        <f t="shared" si="15"/>
        <v>2033</v>
      </c>
      <c r="H84" s="41">
        <v>2.3E-2</v>
      </c>
      <c r="I84" s="41"/>
      <c r="J84" s="87">
        <f t="shared" si="16"/>
        <v>2042</v>
      </c>
      <c r="K84" s="41">
        <v>2.3E-2</v>
      </c>
      <c r="L84" s="118"/>
      <c r="M84" s="118"/>
      <c r="O84" s="85"/>
      <c r="P84" s="85"/>
      <c r="AC84" s="116"/>
      <c r="AD84" s="116"/>
    </row>
    <row r="85" spans="3:30" s="86" customFormat="1">
      <c r="C85" s="87">
        <f t="shared" si="14"/>
        <v>2025</v>
      </c>
      <c r="D85" s="41">
        <v>2.3E-2</v>
      </c>
      <c r="G85" s="87">
        <f t="shared" si="15"/>
        <v>2034</v>
      </c>
      <c r="H85" s="41">
        <v>2.3E-2</v>
      </c>
      <c r="I85" s="41"/>
      <c r="J85" s="87">
        <f t="shared" si="16"/>
        <v>2043</v>
      </c>
      <c r="K85" s="41">
        <v>2.3E-2</v>
      </c>
      <c r="L85" s="118"/>
      <c r="M85" s="118"/>
      <c r="O85" s="85"/>
      <c r="P85" s="85"/>
      <c r="AC85" s="116"/>
      <c r="AD85" s="116"/>
    </row>
    <row r="86" spans="3:30" s="86" customFormat="1">
      <c r="O86" s="85"/>
      <c r="P86" s="85"/>
      <c r="AC86" s="116"/>
      <c r="AD86" s="116"/>
    </row>
    <row r="87" spans="3:30" s="86" customFormat="1">
      <c r="O87" s="85"/>
      <c r="P87" s="85"/>
      <c r="AC87" s="116"/>
      <c r="AD87" s="116"/>
    </row>
    <row r="88" spans="3:30">
      <c r="D88" s="322"/>
    </row>
    <row r="89" spans="3:30">
      <c r="D89" s="322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B1:AF79"/>
  <sheetViews>
    <sheetView tabSelected="1" view="pageBreakPreview" topLeftCell="A2" zoomScale="60" zoomScaleNormal="70" workbookViewId="0">
      <selection activeCell="F20" sqref="F20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224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- 206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8"/>
      <c r="AB9" s="348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- 206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430">
        <f>$C$68</f>
        <v>21.294</v>
      </c>
      <c r="H14" s="279"/>
      <c r="I14" s="279"/>
      <c r="J14" s="431">
        <f>$C$74</f>
        <v>26.724569206547603</v>
      </c>
      <c r="K14" s="279"/>
      <c r="L14" s="279"/>
      <c r="M14" s="127"/>
      <c r="N14" s="41"/>
      <c r="P14" s="373"/>
      <c r="V14" s="161"/>
      <c r="W14" s="118"/>
      <c r="X14" s="157"/>
      <c r="Y14" s="349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127">
        <f t="shared" ref="G15:G36" si="1">ROUND(G14*(1+IRP21_Infl_Rate),2)</f>
        <v>21.75</v>
      </c>
      <c r="H15" s="279"/>
      <c r="I15" s="279"/>
      <c r="J15" s="127">
        <f t="shared" ref="J15:J36" si="2">ROUND(J14*(1+IRP21_Infl_Rate),2)</f>
        <v>27.3</v>
      </c>
      <c r="K15" s="279"/>
      <c r="L15" s="279"/>
      <c r="M15" s="127"/>
      <c r="N15" s="41"/>
      <c r="P15" s="373"/>
      <c r="Q15" s="373"/>
      <c r="V15" s="161"/>
      <c r="W15" s="157"/>
      <c r="X15" s="157"/>
      <c r="Y15" s="349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127">
        <f t="shared" si="1"/>
        <v>22.22</v>
      </c>
      <c r="H16" s="279"/>
      <c r="I16" s="279"/>
      <c r="J16" s="127">
        <f t="shared" si="2"/>
        <v>27.89</v>
      </c>
      <c r="K16" s="279"/>
      <c r="L16" s="279"/>
      <c r="M16" s="127"/>
      <c r="N16" s="41"/>
      <c r="P16" s="373"/>
      <c r="Q16" s="373"/>
      <c r="V16" s="161"/>
      <c r="W16" s="157"/>
      <c r="X16" s="157"/>
      <c r="Y16" s="349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127">
        <f t="shared" si="1"/>
        <v>22.7</v>
      </c>
      <c r="H17" s="279"/>
      <c r="I17" s="279"/>
      <c r="J17" s="127">
        <f t="shared" si="2"/>
        <v>28.49</v>
      </c>
      <c r="K17" s="279"/>
      <c r="L17" s="279"/>
      <c r="M17" s="127"/>
      <c r="N17" s="41"/>
      <c r="P17" s="373"/>
      <c r="Q17" s="373"/>
      <c r="V17" s="161"/>
      <c r="W17" s="157"/>
      <c r="X17" s="157"/>
      <c r="Y17" s="349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127">
        <f t="shared" si="1"/>
        <v>23.19</v>
      </c>
      <c r="H18" s="279"/>
      <c r="I18" s="279"/>
      <c r="J18" s="127">
        <f t="shared" si="2"/>
        <v>29.1</v>
      </c>
      <c r="K18" s="279"/>
      <c r="L18" s="279"/>
      <c r="M18" s="127"/>
      <c r="N18" s="41"/>
      <c r="P18" s="373"/>
      <c r="Q18" s="373"/>
      <c r="V18" s="161"/>
      <c r="W18" s="157"/>
      <c r="X18" s="157"/>
      <c r="Y18" s="349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127">
        <f t="shared" si="1"/>
        <v>23.69</v>
      </c>
      <c r="H19" s="279"/>
      <c r="I19" s="279"/>
      <c r="J19" s="127">
        <f t="shared" si="2"/>
        <v>29.73</v>
      </c>
      <c r="K19" s="279"/>
      <c r="L19" s="279"/>
      <c r="M19" s="127"/>
      <c r="N19" s="41"/>
      <c r="P19" s="373"/>
      <c r="Q19" s="373"/>
      <c r="V19" s="161"/>
      <c r="W19" s="157"/>
      <c r="X19" s="157"/>
      <c r="Y19" s="349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127">
        <f t="shared" si="1"/>
        <v>24.2</v>
      </c>
      <c r="H20" s="279"/>
      <c r="I20" s="279"/>
      <c r="J20" s="127">
        <f t="shared" si="2"/>
        <v>30.37</v>
      </c>
      <c r="K20" s="279"/>
      <c r="L20" s="279"/>
      <c r="M20" s="127"/>
      <c r="N20" s="41"/>
      <c r="P20" s="373"/>
      <c r="Q20" s="373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127">
        <f t="shared" si="1"/>
        <v>24.72</v>
      </c>
      <c r="H21" s="279"/>
      <c r="I21" s="279"/>
      <c r="J21" s="127">
        <f t="shared" si="2"/>
        <v>31.02</v>
      </c>
      <c r="K21" s="279"/>
      <c r="L21" s="279"/>
      <c r="M21" s="127"/>
      <c r="N21" s="41"/>
      <c r="P21" s="373"/>
      <c r="Q21" s="373"/>
      <c r="V21" s="350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127">
        <f t="shared" si="1"/>
        <v>25.25</v>
      </c>
      <c r="H22" s="279"/>
      <c r="I22" s="279"/>
      <c r="J22" s="127">
        <f t="shared" si="2"/>
        <v>31.69</v>
      </c>
      <c r="K22" s="279"/>
      <c r="L22" s="279"/>
      <c r="M22" s="127"/>
      <c r="N22" s="41"/>
      <c r="P22" s="373"/>
      <c r="Q22" s="373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127">
        <f t="shared" si="1"/>
        <v>25.79</v>
      </c>
      <c r="H23" s="279"/>
      <c r="I23" s="279"/>
      <c r="J23" s="127">
        <f t="shared" si="2"/>
        <v>32.369999999999997</v>
      </c>
      <c r="K23" s="279"/>
      <c r="L23" s="279"/>
      <c r="M23" s="127"/>
      <c r="N23" s="41"/>
      <c r="P23" s="373"/>
      <c r="Q23" s="373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127">
        <f t="shared" si="1"/>
        <v>26.35</v>
      </c>
      <c r="H24" s="279"/>
      <c r="I24" s="279"/>
      <c r="J24" s="127">
        <f t="shared" si="2"/>
        <v>33.07</v>
      </c>
      <c r="K24" s="279"/>
      <c r="L24" s="279"/>
      <c r="M24" s="127"/>
      <c r="N24" s="50"/>
      <c r="O24" s="85"/>
      <c r="P24" s="373"/>
      <c r="Q24" s="373"/>
      <c r="V24" s="161"/>
      <c r="W24" s="157"/>
      <c r="X24" s="157"/>
      <c r="Y24" s="157"/>
      <c r="Z24" s="157"/>
      <c r="AA24" s="157"/>
      <c r="AB24" s="157"/>
      <c r="AC24" s="118"/>
      <c r="AD24" s="118"/>
      <c r="AE24" s="351"/>
      <c r="AF24" s="351"/>
    </row>
    <row r="25" spans="2:32" s="283" customFormat="1">
      <c r="B25" s="281">
        <f t="shared" si="0"/>
        <v>2031</v>
      </c>
      <c r="C25" s="280"/>
      <c r="D25" s="127"/>
      <c r="E25" s="185">
        <f>$C$73</f>
        <v>12.45513744317196</v>
      </c>
      <c r="F25" s="127"/>
      <c r="G25" s="127">
        <f t="shared" si="1"/>
        <v>26.92</v>
      </c>
      <c r="H25" s="279"/>
      <c r="I25" s="279"/>
      <c r="J25" s="127">
        <f t="shared" si="2"/>
        <v>33.78</v>
      </c>
      <c r="K25" s="279"/>
      <c r="L25" s="279"/>
      <c r="M25" s="127"/>
      <c r="N25" s="50"/>
      <c r="O25" s="85"/>
      <c r="P25" s="373"/>
      <c r="Q25" s="373"/>
      <c r="V25" s="161"/>
      <c r="W25" s="157"/>
      <c r="X25" s="157"/>
      <c r="Y25" s="157"/>
      <c r="Z25" s="157"/>
      <c r="AA25" s="157"/>
      <c r="AB25" s="157"/>
      <c r="AC25" s="118"/>
      <c r="AD25" s="118"/>
      <c r="AE25" s="351"/>
      <c r="AF25" s="351"/>
    </row>
    <row r="26" spans="2:32" s="283" customFormat="1">
      <c r="B26" s="281">
        <f t="shared" si="0"/>
        <v>2032</v>
      </c>
      <c r="C26" s="280"/>
      <c r="D26" s="127"/>
      <c r="E26" s="127">
        <f t="shared" ref="E26:E36" si="3">ROUND(E25*(1+IRP21_Infl_Rate),2)</f>
        <v>12.72</v>
      </c>
      <c r="F26" s="127"/>
      <c r="G26" s="127">
        <f t="shared" si="1"/>
        <v>27.5</v>
      </c>
      <c r="H26" s="279"/>
      <c r="I26" s="279"/>
      <c r="J26" s="127">
        <f t="shared" si="2"/>
        <v>34.51</v>
      </c>
      <c r="K26" s="279"/>
      <c r="L26" s="279"/>
      <c r="M26" s="127"/>
      <c r="N26" s="50"/>
      <c r="O26" s="85"/>
      <c r="P26" s="373"/>
      <c r="Q26" s="373"/>
      <c r="V26" s="161"/>
      <c r="W26" s="157"/>
      <c r="X26" s="157"/>
      <c r="Y26" s="157"/>
      <c r="Z26" s="157"/>
      <c r="AA26" s="157"/>
      <c r="AB26" s="157"/>
      <c r="AC26" s="118"/>
      <c r="AD26" s="118"/>
      <c r="AE26" s="351"/>
      <c r="AF26" s="351"/>
    </row>
    <row r="27" spans="2:32" s="283" customFormat="1">
      <c r="B27" s="281">
        <f t="shared" si="0"/>
        <v>2033</v>
      </c>
      <c r="C27" s="373">
        <f>$C$64</f>
        <v>1319.927786794867</v>
      </c>
      <c r="D27" s="277">
        <f>ROUND(C27*$C$70,2)</f>
        <v>98.96</v>
      </c>
      <c r="E27" s="127">
        <f t="shared" si="3"/>
        <v>12.99</v>
      </c>
      <c r="F27" s="127">
        <v>0</v>
      </c>
      <c r="G27" s="127">
        <f t="shared" si="1"/>
        <v>28.09</v>
      </c>
      <c r="H27" s="279">
        <f t="shared" ref="H27:H36" si="4">ROUND(G27*(8.76*$H$59)+F27,2)</f>
        <v>81.2</v>
      </c>
      <c r="I27" s="279">
        <f>ROUND(D27+E27+H27,2)</f>
        <v>193.15</v>
      </c>
      <c r="J27" s="127">
        <f t="shared" si="2"/>
        <v>35.25</v>
      </c>
      <c r="K27" s="279">
        <f t="shared" ref="K27:K32" si="5">ROUND($L$59*J27/1000,2)</f>
        <v>350.24</v>
      </c>
      <c r="L27" s="279">
        <f t="shared" ref="L27:L32" si="6">ROUND(I27*1000/8760/$H$59+K27,2)</f>
        <v>417.06</v>
      </c>
      <c r="M27" s="127">
        <f>(D27+E27+F27)</f>
        <v>111.94999999999999</v>
      </c>
      <c r="N27" s="50"/>
      <c r="O27" s="85"/>
      <c r="P27" s="373"/>
      <c r="Q27" s="373"/>
      <c r="S27" s="379"/>
      <c r="V27" s="161"/>
      <c r="W27" s="157"/>
      <c r="X27" s="157"/>
      <c r="Y27" s="157"/>
      <c r="Z27" s="157"/>
      <c r="AA27" s="157"/>
      <c r="AB27" s="157"/>
      <c r="AC27" s="118"/>
      <c r="AD27" s="118"/>
      <c r="AE27" s="351"/>
      <c r="AF27" s="351"/>
    </row>
    <row r="28" spans="2:32" s="283" customFormat="1">
      <c r="B28" s="281">
        <f t="shared" si="0"/>
        <v>2034</v>
      </c>
      <c r="C28" s="282"/>
      <c r="D28" s="127">
        <f t="shared" ref="D28:D36" si="7">ROUND(D27*(1+IRP21_Infl_Rate),2)</f>
        <v>101.09</v>
      </c>
      <c r="E28" s="127">
        <f t="shared" si="3"/>
        <v>13.27</v>
      </c>
      <c r="F28" s="127">
        <f t="shared" ref="F28:F36" si="8">ROUND(F27*(1+IRP21_Infl_Rate),2)</f>
        <v>0</v>
      </c>
      <c r="G28" s="127">
        <f t="shared" si="1"/>
        <v>28.7</v>
      </c>
      <c r="H28" s="279">
        <f t="shared" si="4"/>
        <v>82.97</v>
      </c>
      <c r="I28" s="279">
        <f t="shared" ref="I28:I36" si="9">ROUND(D28+E28+H28,2)</f>
        <v>197.33</v>
      </c>
      <c r="J28" s="127">
        <f t="shared" si="2"/>
        <v>36.01</v>
      </c>
      <c r="K28" s="279">
        <f t="shared" si="5"/>
        <v>357.8</v>
      </c>
      <c r="L28" s="279">
        <f t="shared" si="6"/>
        <v>426.06</v>
      </c>
      <c r="M28" s="127">
        <f t="shared" ref="M28:M36" si="10">(D28+E28+F28)</f>
        <v>114.36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1"/>
      <c r="AF28" s="351"/>
    </row>
    <row r="29" spans="2:32">
      <c r="B29" s="275">
        <f t="shared" si="0"/>
        <v>2035</v>
      </c>
      <c r="C29" s="280"/>
      <c r="D29" s="127">
        <f t="shared" si="7"/>
        <v>103.27</v>
      </c>
      <c r="E29" s="127">
        <f t="shared" si="3"/>
        <v>13.56</v>
      </c>
      <c r="F29" s="127">
        <f t="shared" si="8"/>
        <v>0</v>
      </c>
      <c r="G29" s="127">
        <f t="shared" si="1"/>
        <v>29.32</v>
      </c>
      <c r="H29" s="279">
        <f t="shared" si="4"/>
        <v>84.76</v>
      </c>
      <c r="I29" s="279">
        <f t="shared" si="9"/>
        <v>201.59</v>
      </c>
      <c r="J29" s="127">
        <f t="shared" si="2"/>
        <v>36.79</v>
      </c>
      <c r="K29" s="279">
        <f t="shared" si="5"/>
        <v>365.55</v>
      </c>
      <c r="L29" s="279">
        <f t="shared" si="6"/>
        <v>435.29</v>
      </c>
      <c r="M29" s="127">
        <f t="shared" si="10"/>
        <v>116.83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127">
        <f t="shared" si="7"/>
        <v>105.5</v>
      </c>
      <c r="E30" s="127">
        <f t="shared" si="3"/>
        <v>13.85</v>
      </c>
      <c r="F30" s="127">
        <f t="shared" si="8"/>
        <v>0</v>
      </c>
      <c r="G30" s="127">
        <f t="shared" si="1"/>
        <v>29.95</v>
      </c>
      <c r="H30" s="279">
        <f t="shared" si="4"/>
        <v>86.58</v>
      </c>
      <c r="I30" s="279">
        <f t="shared" si="9"/>
        <v>205.93</v>
      </c>
      <c r="J30" s="127">
        <f t="shared" si="2"/>
        <v>37.58</v>
      </c>
      <c r="K30" s="279">
        <f t="shared" si="5"/>
        <v>373.39</v>
      </c>
      <c r="L30" s="279">
        <f t="shared" si="6"/>
        <v>444.63</v>
      </c>
      <c r="M30" s="127">
        <f t="shared" si="10"/>
        <v>119.35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127">
        <f t="shared" si="7"/>
        <v>107.77</v>
      </c>
      <c r="E31" s="127">
        <f t="shared" si="3"/>
        <v>14.15</v>
      </c>
      <c r="F31" s="127">
        <f t="shared" si="8"/>
        <v>0</v>
      </c>
      <c r="G31" s="127">
        <f t="shared" si="1"/>
        <v>30.6</v>
      </c>
      <c r="H31" s="279">
        <f t="shared" si="4"/>
        <v>88.46</v>
      </c>
      <c r="I31" s="279">
        <f t="shared" si="9"/>
        <v>210.38</v>
      </c>
      <c r="J31" s="127">
        <f t="shared" si="2"/>
        <v>38.39</v>
      </c>
      <c r="K31" s="279">
        <f t="shared" si="5"/>
        <v>381.44</v>
      </c>
      <c r="L31" s="279">
        <f t="shared" si="6"/>
        <v>454.22</v>
      </c>
      <c r="M31" s="127">
        <f t="shared" si="10"/>
        <v>121.92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127">
        <f t="shared" si="7"/>
        <v>110.09</v>
      </c>
      <c r="E32" s="127">
        <f t="shared" si="3"/>
        <v>14.45</v>
      </c>
      <c r="F32" s="127">
        <f t="shared" si="8"/>
        <v>0</v>
      </c>
      <c r="G32" s="127">
        <f t="shared" si="1"/>
        <v>31.26</v>
      </c>
      <c r="H32" s="279">
        <f t="shared" si="4"/>
        <v>90.37</v>
      </c>
      <c r="I32" s="279">
        <f t="shared" si="9"/>
        <v>214.91</v>
      </c>
      <c r="J32" s="127">
        <f t="shared" si="2"/>
        <v>39.22</v>
      </c>
      <c r="K32" s="279">
        <f t="shared" si="5"/>
        <v>389.69</v>
      </c>
      <c r="L32" s="279">
        <f t="shared" si="6"/>
        <v>464.03</v>
      </c>
      <c r="M32" s="127">
        <f t="shared" si="10"/>
        <v>124.54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127">
        <f t="shared" si="7"/>
        <v>112.46</v>
      </c>
      <c r="E33" s="127">
        <f t="shared" si="3"/>
        <v>14.76</v>
      </c>
      <c r="F33" s="127">
        <f t="shared" si="8"/>
        <v>0</v>
      </c>
      <c r="G33" s="127">
        <f t="shared" si="1"/>
        <v>31.93</v>
      </c>
      <c r="H33" s="279">
        <f t="shared" si="4"/>
        <v>92.3</v>
      </c>
      <c r="I33" s="279">
        <f t="shared" si="9"/>
        <v>219.52</v>
      </c>
      <c r="J33" s="127">
        <f t="shared" si="2"/>
        <v>40.07</v>
      </c>
      <c r="K33" s="279">
        <f t="shared" ref="K33:K36" si="11">ROUND($L$59*J33/1000,2)</f>
        <v>398.14</v>
      </c>
      <c r="L33" s="279">
        <f t="shared" ref="L33:L36" si="12">ROUND(I33*1000/8760/$H$59+K33,2)</f>
        <v>474.08</v>
      </c>
      <c r="M33" s="127">
        <f t="shared" si="10"/>
        <v>127.22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127">
        <f t="shared" si="7"/>
        <v>114.88</v>
      </c>
      <c r="E34" s="127">
        <f t="shared" si="3"/>
        <v>15.08</v>
      </c>
      <c r="F34" s="127">
        <f t="shared" si="8"/>
        <v>0</v>
      </c>
      <c r="G34" s="127">
        <f t="shared" si="1"/>
        <v>32.619999999999997</v>
      </c>
      <c r="H34" s="279">
        <f t="shared" si="4"/>
        <v>94.3</v>
      </c>
      <c r="I34" s="279">
        <f t="shared" si="9"/>
        <v>224.26</v>
      </c>
      <c r="J34" s="127">
        <f t="shared" si="2"/>
        <v>40.93</v>
      </c>
      <c r="K34" s="279">
        <f t="shared" si="11"/>
        <v>406.68</v>
      </c>
      <c r="L34" s="279">
        <f t="shared" si="12"/>
        <v>484.26</v>
      </c>
      <c r="M34" s="127">
        <f t="shared" si="10"/>
        <v>129.96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127">
        <f t="shared" si="7"/>
        <v>117.36</v>
      </c>
      <c r="E35" s="127">
        <f t="shared" si="3"/>
        <v>15.4</v>
      </c>
      <c r="F35" s="127">
        <f t="shared" si="8"/>
        <v>0</v>
      </c>
      <c r="G35" s="127">
        <f t="shared" si="1"/>
        <v>33.32</v>
      </c>
      <c r="H35" s="279">
        <f t="shared" si="4"/>
        <v>96.32</v>
      </c>
      <c r="I35" s="279">
        <f t="shared" si="9"/>
        <v>229.08</v>
      </c>
      <c r="J35" s="127">
        <f t="shared" si="2"/>
        <v>41.81</v>
      </c>
      <c r="K35" s="279">
        <f t="shared" si="11"/>
        <v>415.42</v>
      </c>
      <c r="L35" s="279">
        <f t="shared" si="12"/>
        <v>494.66</v>
      </c>
      <c r="M35" s="127">
        <f t="shared" si="10"/>
        <v>132.76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127">
        <f t="shared" si="7"/>
        <v>119.89</v>
      </c>
      <c r="E36" s="127">
        <f t="shared" si="3"/>
        <v>15.73</v>
      </c>
      <c r="F36" s="127">
        <f t="shared" si="8"/>
        <v>0</v>
      </c>
      <c r="G36" s="127">
        <f t="shared" si="1"/>
        <v>34.04</v>
      </c>
      <c r="H36" s="279">
        <f t="shared" si="4"/>
        <v>98.4</v>
      </c>
      <c r="I36" s="279">
        <f t="shared" si="9"/>
        <v>234.02</v>
      </c>
      <c r="J36" s="127">
        <f t="shared" si="2"/>
        <v>42.71</v>
      </c>
      <c r="K36" s="279">
        <f t="shared" si="11"/>
        <v>424.37</v>
      </c>
      <c r="L36" s="279">
        <f t="shared" si="12"/>
        <v>505.32</v>
      </c>
      <c r="M36" s="127">
        <f t="shared" si="10"/>
        <v>135.62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184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206.11</v>
      </c>
      <c r="H52" s="41">
        <f>G52/G54</f>
        <v>1</v>
      </c>
      <c r="I52" s="295">
        <f>C64</f>
        <v>1319.927786794867</v>
      </c>
      <c r="J52" s="296">
        <f>C67</f>
        <v>0</v>
      </c>
      <c r="Q52" s="116"/>
      <c r="R52" s="116"/>
      <c r="S52" s="116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83"/>
      <c r="R53" s="116"/>
      <c r="S53" s="116"/>
      <c r="T53" s="116"/>
      <c r="U53" s="116"/>
      <c r="V53" s="116"/>
    </row>
    <row r="54" spans="2:22">
      <c r="C54" s="283" t="s">
        <v>110</v>
      </c>
      <c r="G54" s="294">
        <f>G52+G53</f>
        <v>206.11</v>
      </c>
      <c r="H54" s="41">
        <f>H52+H53</f>
        <v>1</v>
      </c>
      <c r="I54" s="295">
        <f>ROUND(((G52*I52)+(G53*I53))/G54,0)</f>
        <v>1320</v>
      </c>
      <c r="J54" s="296">
        <f>ROUND(((G52*J52)+(G53*J53))/G54,2)</f>
        <v>0</v>
      </c>
      <c r="Q54" s="383"/>
      <c r="R54" s="116"/>
      <c r="S54" s="116"/>
      <c r="T54" s="118"/>
      <c r="U54" s="116"/>
      <c r="V54" s="116"/>
    </row>
    <row r="55" spans="2:22">
      <c r="C55" s="283"/>
      <c r="G55" s="294"/>
      <c r="H55" s="41"/>
      <c r="I55" s="301"/>
      <c r="J55" s="302"/>
      <c r="Q55" s="116"/>
      <c r="R55" s="116"/>
      <c r="S55" s="329"/>
      <c r="T55" s="116"/>
      <c r="U55" s="116"/>
      <c r="V55" s="116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206.11</v>
      </c>
      <c r="H57" s="41">
        <f>C71</f>
        <v>0.33</v>
      </c>
      <c r="I57" s="306">
        <f>H57*G57</f>
        <v>68.016300000000001</v>
      </c>
      <c r="J57" s="41">
        <f>I57/I59</f>
        <v>1</v>
      </c>
      <c r="K57" s="302">
        <f>C68</f>
        <v>21.294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206.11</v>
      </c>
      <c r="H59" s="312">
        <f>ROUND(I59/G59,3)</f>
        <v>0.33</v>
      </c>
      <c r="I59" s="306">
        <f>SUM(I57:I58)</f>
        <v>68.016300000000001</v>
      </c>
      <c r="J59" s="41">
        <f>J57+J58</f>
        <v>1</v>
      </c>
      <c r="K59" s="302">
        <f>ROUND(($J57*K57)+($J58*K58),2)</f>
        <v>21.29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77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85">
        <v>206.11</v>
      </c>
      <c r="F63" s="85" t="s">
        <v>118</v>
      </c>
      <c r="I63" s="318"/>
    </row>
    <row r="64" spans="2:22">
      <c r="B64" s="85" t="s">
        <v>182</v>
      </c>
      <c r="C64" s="301">
        <f>272050.31613629/C63</f>
        <v>1319.927786794867</v>
      </c>
      <c r="D64" s="301"/>
      <c r="F64" s="85" t="s">
        <v>119</v>
      </c>
    </row>
    <row r="65" spans="2:30">
      <c r="C65" s="302">
        <v>0</v>
      </c>
      <c r="D65" s="302"/>
      <c r="F65" s="85" t="s">
        <v>120</v>
      </c>
    </row>
    <row r="66" spans="2:30">
      <c r="C66" s="319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432">
        <v>21.294</v>
      </c>
      <c r="D68" s="302"/>
      <c r="F68" s="85" t="s">
        <v>123</v>
      </c>
    </row>
    <row r="69" spans="2:30">
      <c r="C69" s="313">
        <v>9936</v>
      </c>
      <c r="D69" s="313"/>
      <c r="F69" s="85" t="s">
        <v>124</v>
      </c>
    </row>
    <row r="70" spans="2:30">
      <c r="C70" s="320">
        <v>7.4974140485106158E-2</v>
      </c>
      <c r="D70" s="320"/>
      <c r="F70" s="85" t="s">
        <v>36</v>
      </c>
      <c r="AC70" s="118"/>
      <c r="AD70" s="118"/>
    </row>
    <row r="71" spans="2:30">
      <c r="C71" s="321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6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153</v>
      </c>
      <c r="E73" s="116" t="s">
        <v>146</v>
      </c>
      <c r="F73" s="116"/>
      <c r="AC73" s="118"/>
      <c r="AD73" s="118"/>
    </row>
    <row r="74" spans="2:30" ht="13.8" thickBot="1">
      <c r="B74" s="49"/>
      <c r="C74" s="433">
        <v>26.724569206547603</v>
      </c>
      <c r="D74" s="49"/>
      <c r="F74" s="85" t="s">
        <v>185</v>
      </c>
      <c r="G74" s="434"/>
      <c r="AC74" s="118"/>
      <c r="AD74" s="118"/>
    </row>
    <row r="76" spans="2:30" s="86" customFormat="1">
      <c r="O76" s="85"/>
      <c r="P76" s="85"/>
      <c r="AC76" s="116"/>
      <c r="AD76" s="116"/>
    </row>
    <row r="77" spans="2:30" s="86" customFormat="1">
      <c r="O77" s="85"/>
      <c r="P77" s="85"/>
      <c r="AC77" s="116"/>
      <c r="AD77" s="116"/>
    </row>
    <row r="78" spans="2:30">
      <c r="D78" s="322"/>
    </row>
    <row r="79" spans="2:30">
      <c r="D79" s="322"/>
    </row>
  </sheetData>
  <printOptions horizontalCentered="1"/>
  <pageMargins left="0.25" right="0.25" top="0.75" bottom="0.75" header="0.3" footer="0.3"/>
  <pageSetup scale="78" fitToHeight="0" orientation="portrait" r:id="rId1"/>
  <headerFooter alignWithMargins="0"/>
  <rowBreaks count="1" manualBreakCount="1">
    <brk id="46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D45-7060-41D6-9F67-E7F2CE239B3C}">
  <sheetPr>
    <tabColor rgb="FFFFC000"/>
    <pageSetUpPr fitToPage="1"/>
  </sheetPr>
  <dimension ref="B1:AF77"/>
  <sheetViews>
    <sheetView view="pageBreakPreview" topLeftCell="A2" zoomScale="60" zoomScaleNormal="80" workbookViewId="0">
      <selection activeCell="A2" sqref="A1:XFD1048576"/>
    </sheetView>
  </sheetViews>
  <sheetFormatPr defaultColWidth="9.33203125" defaultRowHeight="13.2"/>
  <cols>
    <col min="1" max="1" width="2.77734375" style="85" customWidth="1"/>
    <col min="2" max="2" width="10.77734375" style="85" customWidth="1"/>
    <col min="3" max="3" width="14.21875" style="85" customWidth="1"/>
    <col min="4" max="4" width="12.33203125" style="85" customWidth="1"/>
    <col min="5" max="5" width="10.77734375" style="85" customWidth="1"/>
    <col min="6" max="6" width="10" style="85" customWidth="1"/>
    <col min="7" max="7" width="10.44140625" style="85" customWidth="1"/>
    <col min="8" max="8" width="10.44140625" style="85" bestFit="1" customWidth="1"/>
    <col min="9" max="9" width="11.6640625" style="85" bestFit="1" customWidth="1"/>
    <col min="10" max="10" width="11.21875" style="85" customWidth="1"/>
    <col min="11" max="11" width="12" style="85" bestFit="1" customWidth="1"/>
    <col min="12" max="12" width="14.21875" style="85" customWidth="1"/>
    <col min="13" max="13" width="14.33203125" style="85" customWidth="1"/>
    <col min="14" max="14" width="22.33203125" style="85" customWidth="1"/>
    <col min="15" max="15" width="9.33203125" style="85" customWidth="1"/>
    <col min="16" max="21" width="11.33203125" style="85" customWidth="1"/>
    <col min="22" max="22" width="10.33203125" style="85" customWidth="1"/>
    <col min="23" max="23" width="12" style="85" customWidth="1"/>
    <col min="24" max="24" width="11.44140625" style="85" customWidth="1"/>
    <col min="25" max="26" width="9.33203125" style="85"/>
    <col min="27" max="27" width="13.6640625" style="85" customWidth="1"/>
    <col min="28" max="28" width="9.33203125" style="85"/>
    <col min="29" max="30" width="9.33203125" style="116"/>
    <col min="31" max="16384" width="9.33203125" style="85"/>
  </cols>
  <sheetData>
    <row r="1" spans="2:32" ht="15.6" hidden="1">
      <c r="B1" s="1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32" ht="15.6">
      <c r="B2" s="1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32" ht="15.6">
      <c r="B3" s="1" t="s">
        <v>56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V3" s="116"/>
      <c r="W3" s="116"/>
      <c r="X3" s="116"/>
      <c r="Y3" s="116"/>
      <c r="Z3" s="116"/>
      <c r="AA3" s="116"/>
      <c r="AB3" s="116"/>
    </row>
    <row r="4" spans="2:32" ht="15.6">
      <c r="B4" s="1" t="s">
        <v>225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V4" s="116"/>
      <c r="W4" s="116"/>
      <c r="X4" s="116"/>
      <c r="Y4" s="116"/>
      <c r="Z4" s="116"/>
      <c r="AA4" s="116"/>
      <c r="AB4" s="116"/>
    </row>
    <row r="5" spans="2:32" ht="15.6">
      <c r="B5" s="1" t="str">
        <f>C48</f>
        <v>Non Emitting - 196 MW- East Side Resource (5,050')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2:32" ht="15.6">
      <c r="B6" s="1"/>
      <c r="C6" s="269"/>
      <c r="D6" s="269"/>
      <c r="E6" s="269"/>
      <c r="F6" s="269"/>
      <c r="G6" s="269"/>
      <c r="H6" s="269"/>
      <c r="I6" s="269"/>
      <c r="J6" s="269"/>
      <c r="L6" s="270"/>
    </row>
    <row r="7" spans="2:32">
      <c r="B7" s="271"/>
      <c r="C7" s="271"/>
      <c r="D7" s="271"/>
      <c r="E7" s="271"/>
      <c r="F7" s="271"/>
      <c r="G7" s="271"/>
      <c r="H7" s="271"/>
      <c r="I7" s="271"/>
      <c r="J7" s="269"/>
      <c r="K7" s="86"/>
      <c r="L7" s="86"/>
      <c r="M7" s="86"/>
      <c r="N7" s="86"/>
      <c r="O7" s="86"/>
      <c r="V7" s="118"/>
      <c r="W7" s="118"/>
      <c r="X7" s="118"/>
      <c r="Y7" s="118"/>
      <c r="Z7" s="118"/>
      <c r="AA7" s="118"/>
      <c r="AB7" s="118"/>
      <c r="AC7" s="118"/>
      <c r="AD7" s="118"/>
      <c r="AE7" s="86"/>
      <c r="AF7" s="86"/>
    </row>
    <row r="8" spans="2:32" ht="51.75" customHeight="1">
      <c r="B8" s="16" t="s">
        <v>0</v>
      </c>
      <c r="C8" s="17" t="s">
        <v>10</v>
      </c>
      <c r="D8" s="17" t="s">
        <v>11</v>
      </c>
      <c r="E8" s="17" t="s">
        <v>91</v>
      </c>
      <c r="F8" s="17" t="s">
        <v>12</v>
      </c>
      <c r="G8" s="17" t="s">
        <v>13</v>
      </c>
      <c r="H8" s="17" t="s">
        <v>101</v>
      </c>
      <c r="I8" s="17" t="s">
        <v>102</v>
      </c>
      <c r="J8" s="272" t="s">
        <v>21</v>
      </c>
      <c r="K8" s="272" t="s">
        <v>103</v>
      </c>
      <c r="L8" s="17" t="s">
        <v>52</v>
      </c>
      <c r="M8" s="120" t="s">
        <v>154</v>
      </c>
      <c r="V8" s="118"/>
      <c r="W8" s="118"/>
      <c r="X8" s="118"/>
      <c r="Y8" s="118"/>
      <c r="Z8" s="118"/>
      <c r="AA8" s="118"/>
      <c r="AB8" s="118"/>
      <c r="AC8" s="118"/>
      <c r="AD8" s="118"/>
      <c r="AE8" s="86"/>
      <c r="AF8" s="86"/>
    </row>
    <row r="9" spans="2:32" ht="48" customHeight="1">
      <c r="B9" s="273"/>
      <c r="C9" s="18" t="s">
        <v>8</v>
      </c>
      <c r="D9" s="19" t="s">
        <v>9</v>
      </c>
      <c r="E9" s="19" t="s">
        <v>9</v>
      </c>
      <c r="F9" s="19" t="s">
        <v>9</v>
      </c>
      <c r="G9" s="18" t="s">
        <v>31</v>
      </c>
      <c r="H9" s="19" t="s">
        <v>9</v>
      </c>
      <c r="I9" s="19" t="s">
        <v>9</v>
      </c>
      <c r="J9" s="19" t="s">
        <v>104</v>
      </c>
      <c r="K9" s="18" t="s">
        <v>31</v>
      </c>
      <c r="L9" s="18" t="s">
        <v>31</v>
      </c>
      <c r="M9" s="123" t="s">
        <v>9</v>
      </c>
      <c r="V9" s="118"/>
      <c r="W9" s="118"/>
      <c r="X9" s="118"/>
      <c r="Y9" s="118"/>
      <c r="Z9" s="118"/>
      <c r="AA9" s="348"/>
      <c r="AB9" s="348"/>
      <c r="AC9" s="118"/>
      <c r="AD9" s="118"/>
      <c r="AE9" s="86"/>
      <c r="AF9" s="86"/>
    </row>
    <row r="10" spans="2:32">
      <c r="C10" s="274" t="s">
        <v>1</v>
      </c>
      <c r="D10" s="274" t="s">
        <v>2</v>
      </c>
      <c r="E10" s="274" t="s">
        <v>3</v>
      </c>
      <c r="F10" s="274" t="s">
        <v>4</v>
      </c>
      <c r="G10" s="274" t="s">
        <v>5</v>
      </c>
      <c r="H10" s="274" t="s">
        <v>7</v>
      </c>
      <c r="I10" s="274" t="s">
        <v>22</v>
      </c>
      <c r="J10" s="274" t="s">
        <v>23</v>
      </c>
      <c r="K10" s="274" t="s">
        <v>24</v>
      </c>
      <c r="L10" s="124" t="s">
        <v>24</v>
      </c>
      <c r="M10" s="124" t="s">
        <v>187</v>
      </c>
      <c r="V10" s="118"/>
      <c r="W10" s="118"/>
      <c r="X10" s="118"/>
      <c r="Y10" s="118"/>
      <c r="Z10" s="118"/>
      <c r="AA10" s="118"/>
      <c r="AB10" s="118"/>
      <c r="AC10" s="118"/>
      <c r="AD10" s="118"/>
      <c r="AE10" s="86"/>
      <c r="AF10" s="86"/>
    </row>
    <row r="11" spans="2:32" ht="6" customHeight="1">
      <c r="M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86"/>
      <c r="AF11" s="86"/>
    </row>
    <row r="12" spans="2:32" ht="15.6">
      <c r="B12" s="43" t="str">
        <f>C48</f>
        <v>Non Emitting - 196 MW- East Side Resource (5,050')</v>
      </c>
      <c r="C12" s="86"/>
      <c r="E12" s="86"/>
      <c r="F12" s="86"/>
      <c r="G12" s="86"/>
      <c r="H12" s="86"/>
      <c r="I12" s="86"/>
      <c r="J12" s="271"/>
      <c r="K12" s="271"/>
      <c r="L12" s="271"/>
      <c r="M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86"/>
      <c r="AF12" s="86"/>
    </row>
    <row r="13" spans="2:32" ht="19.05" customHeight="1">
      <c r="B13" s="275"/>
      <c r="C13" s="276"/>
      <c r="D13" s="277"/>
      <c r="E13" s="278"/>
      <c r="F13" s="278"/>
      <c r="G13" s="278"/>
      <c r="H13" s="279"/>
      <c r="I13" s="279"/>
      <c r="J13" s="279"/>
      <c r="K13" s="279"/>
      <c r="L13" s="279"/>
      <c r="M13" s="127"/>
      <c r="V13" s="161"/>
      <c r="W13" s="157"/>
      <c r="X13" s="157"/>
      <c r="Y13" s="157"/>
      <c r="Z13" s="118"/>
      <c r="AA13" s="157"/>
      <c r="AB13" s="157"/>
      <c r="AC13" s="118"/>
      <c r="AD13" s="118"/>
      <c r="AE13" s="86"/>
      <c r="AF13" s="86"/>
    </row>
    <row r="14" spans="2:32">
      <c r="B14" s="275">
        <v>2020</v>
      </c>
      <c r="C14" s="280"/>
      <c r="D14" s="127"/>
      <c r="E14" s="127"/>
      <c r="F14" s="127"/>
      <c r="G14" s="435">
        <f>$C$68</f>
        <v>22.439</v>
      </c>
      <c r="H14" s="279"/>
      <c r="I14" s="279"/>
      <c r="J14" s="431">
        <f>$C$74</f>
        <v>26.724569206547603</v>
      </c>
      <c r="K14" s="279"/>
      <c r="L14" s="279"/>
      <c r="M14" s="127"/>
      <c r="N14" s="41"/>
      <c r="P14" s="373"/>
      <c r="V14" s="161"/>
      <c r="W14" s="118"/>
      <c r="X14" s="157"/>
      <c r="Y14" s="349"/>
      <c r="Z14" s="118"/>
      <c r="AA14" s="157"/>
      <c r="AB14" s="157"/>
      <c r="AC14" s="118"/>
      <c r="AD14" s="118"/>
      <c r="AE14" s="86"/>
      <c r="AF14" s="86"/>
    </row>
    <row r="15" spans="2:32">
      <c r="B15" s="275">
        <f t="shared" ref="B15:B36" si="0">B14+1</f>
        <v>2021</v>
      </c>
      <c r="C15" s="280"/>
      <c r="D15" s="127"/>
      <c r="E15" s="127"/>
      <c r="F15" s="127"/>
      <c r="G15" s="127">
        <f t="shared" ref="G15:G36" si="1">ROUND(G14*(1+IRP21_Infl_Rate),2)</f>
        <v>22.92</v>
      </c>
      <c r="H15" s="279"/>
      <c r="I15" s="279"/>
      <c r="J15" s="127">
        <f t="shared" ref="J15:J36" si="2">ROUND(J14*(1+IRP21_Infl_Rate),2)</f>
        <v>27.3</v>
      </c>
      <c r="K15" s="279"/>
      <c r="L15" s="279"/>
      <c r="M15" s="127"/>
      <c r="N15" s="41"/>
      <c r="P15" s="373"/>
      <c r="Q15" s="373"/>
      <c r="V15" s="161"/>
      <c r="W15" s="157"/>
      <c r="X15" s="157"/>
      <c r="Y15" s="349"/>
      <c r="Z15" s="157"/>
      <c r="AA15" s="157"/>
      <c r="AB15" s="157"/>
      <c r="AC15" s="118"/>
      <c r="AD15" s="118"/>
      <c r="AE15" s="86"/>
      <c r="AF15" s="86"/>
    </row>
    <row r="16" spans="2:32">
      <c r="B16" s="275">
        <f t="shared" si="0"/>
        <v>2022</v>
      </c>
      <c r="C16" s="280"/>
      <c r="D16" s="127"/>
      <c r="E16" s="127"/>
      <c r="F16" s="127"/>
      <c r="G16" s="127">
        <f t="shared" si="1"/>
        <v>23.41</v>
      </c>
      <c r="H16" s="279"/>
      <c r="I16" s="279"/>
      <c r="J16" s="127">
        <f t="shared" si="2"/>
        <v>27.89</v>
      </c>
      <c r="K16" s="279"/>
      <c r="L16" s="279"/>
      <c r="M16" s="127"/>
      <c r="N16" s="41"/>
      <c r="P16" s="373"/>
      <c r="Q16" s="373"/>
      <c r="V16" s="161"/>
      <c r="W16" s="157"/>
      <c r="X16" s="157"/>
      <c r="Y16" s="349"/>
      <c r="Z16" s="157"/>
      <c r="AA16" s="157"/>
      <c r="AB16" s="157"/>
      <c r="AC16" s="118"/>
      <c r="AD16" s="118"/>
      <c r="AE16" s="86"/>
      <c r="AF16" s="86"/>
    </row>
    <row r="17" spans="2:32">
      <c r="B17" s="275">
        <f t="shared" si="0"/>
        <v>2023</v>
      </c>
      <c r="C17" s="280"/>
      <c r="D17" s="127"/>
      <c r="E17" s="127"/>
      <c r="F17" s="127"/>
      <c r="G17" s="127">
        <f t="shared" si="1"/>
        <v>23.91</v>
      </c>
      <c r="H17" s="279"/>
      <c r="I17" s="279"/>
      <c r="J17" s="127">
        <f t="shared" si="2"/>
        <v>28.49</v>
      </c>
      <c r="K17" s="279"/>
      <c r="L17" s="279"/>
      <c r="M17" s="127"/>
      <c r="N17" s="41"/>
      <c r="P17" s="373"/>
      <c r="Q17" s="373"/>
      <c r="V17" s="161"/>
      <c r="W17" s="157"/>
      <c r="X17" s="157"/>
      <c r="Y17" s="349"/>
      <c r="Z17" s="157"/>
      <c r="AA17" s="157"/>
      <c r="AB17" s="157"/>
      <c r="AC17" s="118"/>
      <c r="AD17" s="118"/>
      <c r="AE17" s="86"/>
      <c r="AF17" s="86"/>
    </row>
    <row r="18" spans="2:32">
      <c r="B18" s="275">
        <f t="shared" si="0"/>
        <v>2024</v>
      </c>
      <c r="C18" s="280"/>
      <c r="D18" s="127"/>
      <c r="E18" s="127"/>
      <c r="F18" s="127"/>
      <c r="G18" s="127">
        <f t="shared" si="1"/>
        <v>24.43</v>
      </c>
      <c r="H18" s="279"/>
      <c r="I18" s="279"/>
      <c r="J18" s="127">
        <f t="shared" si="2"/>
        <v>29.1</v>
      </c>
      <c r="K18" s="279"/>
      <c r="L18" s="279"/>
      <c r="M18" s="127"/>
      <c r="N18" s="41"/>
      <c r="P18" s="373"/>
      <c r="Q18" s="373"/>
      <c r="V18" s="161"/>
      <c r="W18" s="157"/>
      <c r="X18" s="157"/>
      <c r="Y18" s="349"/>
      <c r="Z18" s="157"/>
      <c r="AA18" s="157"/>
      <c r="AB18" s="157"/>
      <c r="AC18" s="118"/>
      <c r="AD18" s="118"/>
      <c r="AE18" s="86"/>
      <c r="AF18" s="86"/>
    </row>
    <row r="19" spans="2:32">
      <c r="B19" s="275">
        <f t="shared" si="0"/>
        <v>2025</v>
      </c>
      <c r="C19" s="280"/>
      <c r="D19" s="127"/>
      <c r="E19" s="127"/>
      <c r="F19" s="127"/>
      <c r="G19" s="127">
        <f t="shared" si="1"/>
        <v>24.96</v>
      </c>
      <c r="H19" s="279"/>
      <c r="I19" s="279"/>
      <c r="J19" s="127">
        <f t="shared" si="2"/>
        <v>29.73</v>
      </c>
      <c r="K19" s="279"/>
      <c r="L19" s="279"/>
      <c r="M19" s="127"/>
      <c r="N19" s="41"/>
      <c r="P19" s="373"/>
      <c r="Q19" s="373"/>
      <c r="V19" s="161"/>
      <c r="W19" s="157"/>
      <c r="X19" s="157"/>
      <c r="Y19" s="349"/>
      <c r="Z19" s="157"/>
      <c r="AA19" s="157"/>
      <c r="AB19" s="157"/>
      <c r="AC19" s="118"/>
      <c r="AD19" s="118"/>
      <c r="AE19" s="86"/>
      <c r="AF19" s="86"/>
    </row>
    <row r="20" spans="2:32">
      <c r="B20" s="275">
        <f t="shared" si="0"/>
        <v>2026</v>
      </c>
      <c r="C20" s="280"/>
      <c r="D20" s="277"/>
      <c r="E20" s="127"/>
      <c r="F20" s="127"/>
      <c r="G20" s="127">
        <f t="shared" si="1"/>
        <v>25.5</v>
      </c>
      <c r="H20" s="279"/>
      <c r="I20" s="279"/>
      <c r="J20" s="127">
        <f t="shared" si="2"/>
        <v>30.37</v>
      </c>
      <c r="K20" s="279"/>
      <c r="L20" s="279"/>
      <c r="M20" s="127"/>
      <c r="N20" s="41"/>
      <c r="P20" s="373"/>
      <c r="Q20" s="373"/>
      <c r="V20" s="161"/>
      <c r="W20" s="157"/>
      <c r="X20" s="157"/>
      <c r="Y20" s="157"/>
      <c r="Z20" s="157"/>
      <c r="AA20" s="157"/>
      <c r="AB20" s="157"/>
      <c r="AC20" s="118"/>
      <c r="AD20" s="118"/>
      <c r="AE20" s="86"/>
      <c r="AF20" s="86"/>
    </row>
    <row r="21" spans="2:32">
      <c r="B21" s="275">
        <f t="shared" si="0"/>
        <v>2027</v>
      </c>
      <c r="C21" s="280"/>
      <c r="D21" s="127"/>
      <c r="E21" s="127"/>
      <c r="F21" s="127"/>
      <c r="G21" s="127">
        <f t="shared" si="1"/>
        <v>26.05</v>
      </c>
      <c r="H21" s="279"/>
      <c r="I21" s="279"/>
      <c r="J21" s="127">
        <f t="shared" si="2"/>
        <v>31.02</v>
      </c>
      <c r="K21" s="279"/>
      <c r="L21" s="279"/>
      <c r="M21" s="127"/>
      <c r="N21" s="41"/>
      <c r="P21" s="373"/>
      <c r="Q21" s="373"/>
      <c r="V21" s="350"/>
      <c r="W21" s="157"/>
      <c r="X21" s="157"/>
      <c r="Y21" s="157"/>
      <c r="Z21" s="157"/>
      <c r="AA21" s="157"/>
      <c r="AB21" s="157"/>
      <c r="AC21" s="118"/>
      <c r="AD21" s="118"/>
      <c r="AE21" s="86"/>
      <c r="AF21" s="86"/>
    </row>
    <row r="22" spans="2:32">
      <c r="B22" s="275">
        <f t="shared" si="0"/>
        <v>2028</v>
      </c>
      <c r="C22" s="280"/>
      <c r="D22" s="127"/>
      <c r="E22" s="127"/>
      <c r="F22" s="127"/>
      <c r="G22" s="127">
        <f t="shared" si="1"/>
        <v>26.61</v>
      </c>
      <c r="H22" s="279"/>
      <c r="I22" s="279"/>
      <c r="J22" s="127">
        <f t="shared" si="2"/>
        <v>31.69</v>
      </c>
      <c r="K22" s="279"/>
      <c r="L22" s="279"/>
      <c r="M22" s="127"/>
      <c r="N22" s="41"/>
      <c r="P22" s="373"/>
      <c r="Q22" s="373"/>
      <c r="V22" s="161"/>
      <c r="W22" s="157"/>
      <c r="X22" s="157"/>
      <c r="Y22" s="157"/>
      <c r="Z22" s="157"/>
      <c r="AA22" s="157"/>
      <c r="AB22" s="157"/>
      <c r="AC22" s="118"/>
      <c r="AD22" s="118"/>
      <c r="AE22" s="86"/>
      <c r="AF22" s="86"/>
    </row>
    <row r="23" spans="2:32">
      <c r="B23" s="275">
        <f t="shared" si="0"/>
        <v>2029</v>
      </c>
      <c r="C23" s="280"/>
      <c r="D23" s="127"/>
      <c r="E23" s="127"/>
      <c r="F23" s="127"/>
      <c r="G23" s="127">
        <f t="shared" si="1"/>
        <v>27.18</v>
      </c>
      <c r="H23" s="279"/>
      <c r="I23" s="279"/>
      <c r="J23" s="127">
        <f t="shared" si="2"/>
        <v>32.369999999999997</v>
      </c>
      <c r="K23" s="279"/>
      <c r="L23" s="279"/>
      <c r="M23" s="127"/>
      <c r="N23" s="41"/>
      <c r="P23" s="373"/>
      <c r="Q23" s="373"/>
      <c r="V23" s="161"/>
      <c r="W23" s="157"/>
      <c r="X23" s="157"/>
      <c r="Y23" s="157"/>
      <c r="Z23" s="157"/>
      <c r="AA23" s="157"/>
      <c r="AB23" s="157"/>
      <c r="AC23" s="118"/>
      <c r="AD23" s="118"/>
      <c r="AE23" s="86"/>
      <c r="AF23" s="86"/>
    </row>
    <row r="24" spans="2:32" s="283" customFormat="1">
      <c r="B24" s="281">
        <f t="shared" si="0"/>
        <v>2030</v>
      </c>
      <c r="C24" s="280"/>
      <c r="D24" s="127"/>
      <c r="E24" s="127"/>
      <c r="F24" s="127"/>
      <c r="G24" s="127">
        <f t="shared" si="1"/>
        <v>27.77</v>
      </c>
      <c r="H24" s="279"/>
      <c r="I24" s="279"/>
      <c r="J24" s="127">
        <f t="shared" si="2"/>
        <v>33.07</v>
      </c>
      <c r="K24" s="279"/>
      <c r="L24" s="279"/>
      <c r="M24" s="127"/>
      <c r="N24" s="50"/>
      <c r="O24" s="85"/>
      <c r="P24" s="373"/>
      <c r="Q24" s="373"/>
      <c r="V24" s="161"/>
      <c r="W24" s="157"/>
      <c r="X24" s="157"/>
      <c r="Y24" s="157"/>
      <c r="Z24" s="157"/>
      <c r="AA24" s="157"/>
      <c r="AB24" s="157"/>
      <c r="AC24" s="118"/>
      <c r="AD24" s="118"/>
      <c r="AE24" s="351"/>
      <c r="AF24" s="351"/>
    </row>
    <row r="25" spans="2:32" s="283" customFormat="1">
      <c r="B25" s="281">
        <f t="shared" si="0"/>
        <v>2031</v>
      </c>
      <c r="C25" s="280"/>
      <c r="D25" s="127"/>
      <c r="E25" s="185">
        <f>$C$73</f>
        <v>12.45513744317196</v>
      </c>
      <c r="F25" s="127"/>
      <c r="G25" s="127">
        <f t="shared" si="1"/>
        <v>28.37</v>
      </c>
      <c r="H25" s="279"/>
      <c r="I25" s="279"/>
      <c r="J25" s="127">
        <f t="shared" si="2"/>
        <v>33.78</v>
      </c>
      <c r="K25" s="279"/>
      <c r="L25" s="279"/>
      <c r="M25" s="127"/>
      <c r="N25" s="50"/>
      <c r="O25" s="85"/>
      <c r="P25" s="373"/>
      <c r="Q25" s="373"/>
      <c r="V25" s="161"/>
      <c r="W25" s="157"/>
      <c r="X25" s="157"/>
      <c r="Y25" s="157"/>
      <c r="Z25" s="157"/>
      <c r="AA25" s="157"/>
      <c r="AB25" s="157"/>
      <c r="AC25" s="118"/>
      <c r="AD25" s="118"/>
      <c r="AE25" s="351"/>
      <c r="AF25" s="351"/>
    </row>
    <row r="26" spans="2:32" s="283" customFormat="1">
      <c r="B26" s="281">
        <f t="shared" si="0"/>
        <v>2032</v>
      </c>
      <c r="C26" s="280"/>
      <c r="D26" s="127"/>
      <c r="E26" s="127">
        <f t="shared" ref="E26:E36" si="3">ROUND(E25*(1+IRP21_Infl_Rate),2)</f>
        <v>12.72</v>
      </c>
      <c r="F26" s="127"/>
      <c r="G26" s="127">
        <f t="shared" si="1"/>
        <v>28.98</v>
      </c>
      <c r="H26" s="279"/>
      <c r="I26" s="279"/>
      <c r="J26" s="127">
        <f t="shared" si="2"/>
        <v>34.51</v>
      </c>
      <c r="K26" s="279"/>
      <c r="L26" s="279"/>
      <c r="M26" s="127"/>
      <c r="N26" s="50"/>
      <c r="O26" s="85"/>
      <c r="P26" s="373"/>
      <c r="Q26" s="373"/>
      <c r="V26" s="161"/>
      <c r="W26" s="157"/>
      <c r="X26" s="157"/>
      <c r="Y26" s="157"/>
      <c r="Z26" s="157"/>
      <c r="AA26" s="157"/>
      <c r="AB26" s="157"/>
      <c r="AC26" s="118"/>
      <c r="AD26" s="118"/>
      <c r="AE26" s="351"/>
      <c r="AF26" s="351"/>
    </row>
    <row r="27" spans="2:32" s="283" customFormat="1">
      <c r="B27" s="281">
        <f t="shared" si="0"/>
        <v>2033</v>
      </c>
      <c r="C27" s="373">
        <f>$C$64</f>
        <v>1340.892350999477</v>
      </c>
      <c r="D27" s="277">
        <f>ROUND(C27*$C$70,2)</f>
        <v>100.53</v>
      </c>
      <c r="E27" s="127">
        <f t="shared" si="3"/>
        <v>12.99</v>
      </c>
      <c r="F27" s="127">
        <v>0</v>
      </c>
      <c r="G27" s="127">
        <f t="shared" si="1"/>
        <v>29.6</v>
      </c>
      <c r="H27" s="279">
        <f t="shared" ref="H27:H36" si="4">ROUND(G27*(8.76*$H$59)+F27,2)</f>
        <v>85.57</v>
      </c>
      <c r="I27" s="279">
        <f>ROUND(D27+E27+H27,2)</f>
        <v>199.09</v>
      </c>
      <c r="J27" s="127">
        <f t="shared" si="2"/>
        <v>35.25</v>
      </c>
      <c r="K27" s="279">
        <f t="shared" ref="K27:K36" si="5">ROUND($L$59*J27/1000,2)</f>
        <v>350.24</v>
      </c>
      <c r="L27" s="279">
        <f t="shared" ref="L27:L36" si="6">ROUND(I27*1000/8760/$H$59+K27,2)</f>
        <v>419.11</v>
      </c>
      <c r="M27" s="127">
        <f>(D27+E27+F27)</f>
        <v>113.52</v>
      </c>
      <c r="N27" s="50"/>
      <c r="O27" s="85"/>
      <c r="P27" s="373"/>
      <c r="Q27" s="373"/>
      <c r="V27" s="161"/>
      <c r="W27" s="157"/>
      <c r="X27" s="157"/>
      <c r="Y27" s="157"/>
      <c r="Z27" s="157"/>
      <c r="AA27" s="157"/>
      <c r="AB27" s="157"/>
      <c r="AC27" s="118"/>
      <c r="AD27" s="118"/>
      <c r="AE27" s="351"/>
      <c r="AF27" s="351"/>
    </row>
    <row r="28" spans="2:32" s="283" customFormat="1">
      <c r="B28" s="281">
        <f t="shared" si="0"/>
        <v>2034</v>
      </c>
      <c r="C28" s="282"/>
      <c r="D28" s="127">
        <f t="shared" ref="D28:D36" si="7">ROUND(D27*(1+IRP21_Infl_Rate),2)</f>
        <v>102.7</v>
      </c>
      <c r="E28" s="127">
        <f t="shared" si="3"/>
        <v>13.27</v>
      </c>
      <c r="F28" s="127">
        <f t="shared" ref="F28:F36" si="8">ROUND(F27*(1+IRP21_Infl_Rate),2)</f>
        <v>0</v>
      </c>
      <c r="G28" s="127">
        <f t="shared" si="1"/>
        <v>30.24</v>
      </c>
      <c r="H28" s="279">
        <f t="shared" si="4"/>
        <v>87.42</v>
      </c>
      <c r="I28" s="279">
        <f t="shared" ref="I28:I36" si="9">ROUND(D28+E28+H28,2)</f>
        <v>203.39</v>
      </c>
      <c r="J28" s="127">
        <f t="shared" si="2"/>
        <v>36.01</v>
      </c>
      <c r="K28" s="279">
        <f t="shared" si="5"/>
        <v>357.8</v>
      </c>
      <c r="L28" s="279">
        <f t="shared" si="6"/>
        <v>428.16</v>
      </c>
      <c r="M28" s="127">
        <f t="shared" ref="M28:M36" si="10">(D28+E28+F28)</f>
        <v>115.97</v>
      </c>
      <c r="N28" s="50"/>
      <c r="O28" s="85"/>
      <c r="P28" s="85"/>
      <c r="V28" s="161"/>
      <c r="W28" s="157"/>
      <c r="X28" s="157"/>
      <c r="Y28" s="157"/>
      <c r="Z28" s="157"/>
      <c r="AA28" s="157"/>
      <c r="AB28" s="157"/>
      <c r="AC28" s="118"/>
      <c r="AD28" s="118"/>
      <c r="AE28" s="351"/>
      <c r="AF28" s="351"/>
    </row>
    <row r="29" spans="2:32">
      <c r="B29" s="275">
        <f t="shared" si="0"/>
        <v>2035</v>
      </c>
      <c r="C29" s="280"/>
      <c r="D29" s="127">
        <f t="shared" si="7"/>
        <v>104.91</v>
      </c>
      <c r="E29" s="127">
        <f t="shared" si="3"/>
        <v>13.56</v>
      </c>
      <c r="F29" s="127">
        <f t="shared" si="8"/>
        <v>0</v>
      </c>
      <c r="G29" s="127">
        <f t="shared" si="1"/>
        <v>30.89</v>
      </c>
      <c r="H29" s="279">
        <f t="shared" si="4"/>
        <v>89.3</v>
      </c>
      <c r="I29" s="279">
        <f t="shared" si="9"/>
        <v>207.77</v>
      </c>
      <c r="J29" s="127">
        <f t="shared" si="2"/>
        <v>36.79</v>
      </c>
      <c r="K29" s="279">
        <f t="shared" si="5"/>
        <v>365.55</v>
      </c>
      <c r="L29" s="279">
        <f t="shared" si="6"/>
        <v>437.42</v>
      </c>
      <c r="M29" s="127">
        <f t="shared" si="10"/>
        <v>118.47</v>
      </c>
      <c r="N29" s="50"/>
      <c r="V29" s="161"/>
      <c r="W29" s="157"/>
      <c r="X29" s="157"/>
      <c r="Y29" s="157"/>
      <c r="Z29" s="157"/>
      <c r="AA29" s="157"/>
      <c r="AB29" s="157"/>
      <c r="AC29" s="118"/>
      <c r="AD29" s="118"/>
      <c r="AE29" s="86"/>
      <c r="AF29" s="86"/>
    </row>
    <row r="30" spans="2:32">
      <c r="B30" s="275">
        <f t="shared" si="0"/>
        <v>2036</v>
      </c>
      <c r="C30" s="280"/>
      <c r="D30" s="127">
        <f t="shared" si="7"/>
        <v>107.17</v>
      </c>
      <c r="E30" s="127">
        <f t="shared" si="3"/>
        <v>13.85</v>
      </c>
      <c r="F30" s="127">
        <f t="shared" si="8"/>
        <v>0</v>
      </c>
      <c r="G30" s="127">
        <f t="shared" si="1"/>
        <v>31.56</v>
      </c>
      <c r="H30" s="279">
        <f t="shared" si="4"/>
        <v>91.23</v>
      </c>
      <c r="I30" s="279">
        <f t="shared" si="9"/>
        <v>212.25</v>
      </c>
      <c r="J30" s="127">
        <f t="shared" si="2"/>
        <v>37.58</v>
      </c>
      <c r="K30" s="279">
        <f t="shared" si="5"/>
        <v>373.39</v>
      </c>
      <c r="L30" s="279">
        <f t="shared" si="6"/>
        <v>446.81</v>
      </c>
      <c r="M30" s="127">
        <f t="shared" si="10"/>
        <v>121.02</v>
      </c>
      <c r="N30" s="50"/>
      <c r="V30" s="86"/>
      <c r="W30" s="86"/>
      <c r="X30" s="86"/>
      <c r="Y30" s="86"/>
      <c r="Z30" s="86"/>
      <c r="AA30" s="86"/>
      <c r="AB30" s="86"/>
      <c r="AC30" s="118"/>
      <c r="AD30" s="118"/>
      <c r="AE30" s="86"/>
      <c r="AF30" s="86"/>
    </row>
    <row r="31" spans="2:32">
      <c r="B31" s="275">
        <f t="shared" si="0"/>
        <v>2037</v>
      </c>
      <c r="C31" s="280"/>
      <c r="D31" s="127">
        <f t="shared" si="7"/>
        <v>109.48</v>
      </c>
      <c r="E31" s="127">
        <f t="shared" si="3"/>
        <v>14.15</v>
      </c>
      <c r="F31" s="127">
        <f t="shared" si="8"/>
        <v>0</v>
      </c>
      <c r="G31" s="127">
        <f t="shared" si="1"/>
        <v>32.24</v>
      </c>
      <c r="H31" s="279">
        <f t="shared" si="4"/>
        <v>93.2</v>
      </c>
      <c r="I31" s="279">
        <f t="shared" si="9"/>
        <v>216.83</v>
      </c>
      <c r="J31" s="127">
        <f t="shared" si="2"/>
        <v>38.39</v>
      </c>
      <c r="K31" s="279">
        <f t="shared" si="5"/>
        <v>381.44</v>
      </c>
      <c r="L31" s="279">
        <f t="shared" si="6"/>
        <v>456.45</v>
      </c>
      <c r="M31" s="127">
        <f t="shared" si="10"/>
        <v>123.63000000000001</v>
      </c>
      <c r="N31" s="50"/>
      <c r="V31" s="86"/>
      <c r="W31" s="86"/>
      <c r="X31" s="86"/>
      <c r="Y31" s="86"/>
      <c r="Z31" s="86"/>
      <c r="AA31" s="86"/>
      <c r="AB31" s="86"/>
      <c r="AC31" s="118"/>
      <c r="AD31" s="118"/>
      <c r="AE31" s="86"/>
      <c r="AF31" s="86"/>
    </row>
    <row r="32" spans="2:32">
      <c r="B32" s="275">
        <f t="shared" si="0"/>
        <v>2038</v>
      </c>
      <c r="C32" s="280"/>
      <c r="D32" s="127">
        <f t="shared" si="7"/>
        <v>111.84</v>
      </c>
      <c r="E32" s="127">
        <f t="shared" si="3"/>
        <v>14.45</v>
      </c>
      <c r="F32" s="127">
        <f t="shared" si="8"/>
        <v>0</v>
      </c>
      <c r="G32" s="127">
        <f t="shared" si="1"/>
        <v>32.93</v>
      </c>
      <c r="H32" s="279">
        <f t="shared" si="4"/>
        <v>95.19</v>
      </c>
      <c r="I32" s="279">
        <f t="shared" si="9"/>
        <v>221.48</v>
      </c>
      <c r="J32" s="127">
        <f t="shared" si="2"/>
        <v>39.22</v>
      </c>
      <c r="K32" s="279">
        <f t="shared" si="5"/>
        <v>389.69</v>
      </c>
      <c r="L32" s="279">
        <f t="shared" si="6"/>
        <v>466.31</v>
      </c>
      <c r="M32" s="127">
        <f t="shared" si="10"/>
        <v>126.29</v>
      </c>
      <c r="N32" s="50"/>
      <c r="V32" s="86"/>
      <c r="W32" s="86"/>
      <c r="X32" s="86"/>
      <c r="Y32" s="86"/>
      <c r="Z32" s="86"/>
      <c r="AA32" s="86"/>
      <c r="AB32" s="86"/>
      <c r="AC32" s="118"/>
      <c r="AD32" s="118"/>
      <c r="AE32" s="86"/>
      <c r="AF32" s="86"/>
    </row>
    <row r="33" spans="2:32">
      <c r="B33" s="275">
        <f t="shared" si="0"/>
        <v>2039</v>
      </c>
      <c r="C33" s="280"/>
      <c r="D33" s="127">
        <f t="shared" si="7"/>
        <v>114.25</v>
      </c>
      <c r="E33" s="127">
        <f t="shared" si="3"/>
        <v>14.76</v>
      </c>
      <c r="F33" s="127">
        <f t="shared" si="8"/>
        <v>0</v>
      </c>
      <c r="G33" s="127">
        <f t="shared" si="1"/>
        <v>33.64</v>
      </c>
      <c r="H33" s="279">
        <f t="shared" si="4"/>
        <v>97.25</v>
      </c>
      <c r="I33" s="279">
        <f t="shared" si="9"/>
        <v>226.26</v>
      </c>
      <c r="J33" s="127">
        <f t="shared" si="2"/>
        <v>40.07</v>
      </c>
      <c r="K33" s="279">
        <f t="shared" si="5"/>
        <v>398.14</v>
      </c>
      <c r="L33" s="279">
        <f t="shared" si="6"/>
        <v>476.41</v>
      </c>
      <c r="M33" s="127">
        <f t="shared" si="10"/>
        <v>129.01</v>
      </c>
      <c r="V33" s="86"/>
      <c r="W33" s="86"/>
      <c r="X33" s="86"/>
      <c r="Y33" s="86"/>
      <c r="Z33" s="86"/>
      <c r="AA33" s="86"/>
      <c r="AB33" s="86"/>
      <c r="AC33" s="118"/>
      <c r="AD33" s="118"/>
      <c r="AE33" s="86"/>
      <c r="AF33" s="86"/>
    </row>
    <row r="34" spans="2:32">
      <c r="B34" s="275">
        <f t="shared" si="0"/>
        <v>2040</v>
      </c>
      <c r="C34" s="280"/>
      <c r="D34" s="127">
        <f t="shared" si="7"/>
        <v>116.71</v>
      </c>
      <c r="E34" s="127">
        <f t="shared" si="3"/>
        <v>15.08</v>
      </c>
      <c r="F34" s="127">
        <f t="shared" si="8"/>
        <v>0</v>
      </c>
      <c r="G34" s="127">
        <f t="shared" si="1"/>
        <v>34.36</v>
      </c>
      <c r="H34" s="279">
        <f t="shared" si="4"/>
        <v>99.33</v>
      </c>
      <c r="I34" s="279">
        <f t="shared" si="9"/>
        <v>231.12</v>
      </c>
      <c r="J34" s="127">
        <f t="shared" si="2"/>
        <v>40.93</v>
      </c>
      <c r="K34" s="279">
        <f t="shared" si="5"/>
        <v>406.68</v>
      </c>
      <c r="L34" s="279">
        <f t="shared" si="6"/>
        <v>486.63</v>
      </c>
      <c r="M34" s="127">
        <f t="shared" si="10"/>
        <v>131.79</v>
      </c>
      <c r="V34" s="86"/>
      <c r="W34" s="86"/>
      <c r="X34" s="86"/>
      <c r="Y34" s="86"/>
      <c r="Z34" s="86"/>
      <c r="AA34" s="86"/>
      <c r="AB34" s="86"/>
      <c r="AC34" s="118"/>
      <c r="AD34" s="118"/>
      <c r="AE34" s="86"/>
      <c r="AF34" s="86"/>
    </row>
    <row r="35" spans="2:32">
      <c r="B35" s="275">
        <f t="shared" si="0"/>
        <v>2041</v>
      </c>
      <c r="C35" s="280"/>
      <c r="D35" s="127">
        <f t="shared" si="7"/>
        <v>119.23</v>
      </c>
      <c r="E35" s="127">
        <f t="shared" si="3"/>
        <v>15.4</v>
      </c>
      <c r="F35" s="127">
        <f t="shared" si="8"/>
        <v>0</v>
      </c>
      <c r="G35" s="127">
        <f t="shared" si="1"/>
        <v>35.1</v>
      </c>
      <c r="H35" s="279">
        <f t="shared" si="4"/>
        <v>101.47</v>
      </c>
      <c r="I35" s="279">
        <f t="shared" si="9"/>
        <v>236.1</v>
      </c>
      <c r="J35" s="127">
        <f t="shared" si="2"/>
        <v>41.81</v>
      </c>
      <c r="K35" s="279">
        <f t="shared" si="5"/>
        <v>415.42</v>
      </c>
      <c r="L35" s="279">
        <f t="shared" si="6"/>
        <v>497.09</v>
      </c>
      <c r="M35" s="127">
        <f t="shared" si="10"/>
        <v>134.63</v>
      </c>
      <c r="V35" s="86"/>
      <c r="W35" s="86"/>
      <c r="X35" s="86"/>
      <c r="Y35" s="86"/>
      <c r="Z35" s="86"/>
      <c r="AA35" s="86"/>
      <c r="AB35" s="86"/>
      <c r="AC35" s="118"/>
      <c r="AD35" s="118"/>
      <c r="AE35" s="86"/>
      <c r="AF35" s="86"/>
    </row>
    <row r="36" spans="2:32">
      <c r="B36" s="275">
        <f t="shared" si="0"/>
        <v>2042</v>
      </c>
      <c r="C36" s="280"/>
      <c r="D36" s="127">
        <f t="shared" si="7"/>
        <v>121.8</v>
      </c>
      <c r="E36" s="127">
        <f t="shared" si="3"/>
        <v>15.73</v>
      </c>
      <c r="F36" s="127">
        <f t="shared" si="8"/>
        <v>0</v>
      </c>
      <c r="G36" s="127">
        <f t="shared" si="1"/>
        <v>35.86</v>
      </c>
      <c r="H36" s="279">
        <f t="shared" si="4"/>
        <v>103.66</v>
      </c>
      <c r="I36" s="279">
        <f t="shared" si="9"/>
        <v>241.19</v>
      </c>
      <c r="J36" s="127">
        <f t="shared" si="2"/>
        <v>42.71</v>
      </c>
      <c r="K36" s="279">
        <f t="shared" si="5"/>
        <v>424.37</v>
      </c>
      <c r="L36" s="279">
        <f t="shared" si="6"/>
        <v>507.8</v>
      </c>
      <c r="M36" s="127">
        <f t="shared" si="10"/>
        <v>137.53</v>
      </c>
      <c r="V36" s="86"/>
      <c r="W36" s="86"/>
      <c r="X36" s="86"/>
      <c r="Y36" s="86"/>
      <c r="Z36" s="86"/>
      <c r="AA36" s="86"/>
      <c r="AB36" s="86"/>
      <c r="AC36" s="118"/>
      <c r="AD36" s="118"/>
      <c r="AE36" s="86"/>
      <c r="AF36" s="86"/>
    </row>
    <row r="37" spans="2:32">
      <c r="N37" s="275"/>
      <c r="P37" s="284"/>
      <c r="V37" s="86"/>
      <c r="W37" s="86"/>
      <c r="X37" s="86"/>
      <c r="Y37" s="86"/>
      <c r="Z37" s="86"/>
      <c r="AA37" s="86"/>
      <c r="AB37" s="86"/>
      <c r="AC37" s="118"/>
      <c r="AD37" s="118"/>
      <c r="AE37" s="86"/>
      <c r="AF37" s="86"/>
    </row>
    <row r="38" spans="2:32" ht="13.8">
      <c r="B38" s="4" t="s">
        <v>25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75"/>
      <c r="O38" s="284"/>
      <c r="P38" s="284"/>
      <c r="V38" s="86"/>
      <c r="W38" s="86"/>
      <c r="X38" s="86"/>
      <c r="Y38" s="86"/>
      <c r="Z38" s="86"/>
      <c r="AA38" s="86"/>
      <c r="AB38" s="86"/>
      <c r="AC38" s="118"/>
      <c r="AD38" s="118"/>
      <c r="AE38" s="86"/>
      <c r="AF38" s="86"/>
    </row>
    <row r="39" spans="2:32">
      <c r="V39" s="86"/>
      <c r="W39" s="86"/>
      <c r="X39" s="86"/>
      <c r="Y39" s="86"/>
      <c r="Z39" s="86"/>
      <c r="AA39" s="86"/>
      <c r="AB39" s="86"/>
      <c r="AC39" s="118"/>
      <c r="AD39" s="118"/>
      <c r="AE39" s="86"/>
      <c r="AF39" s="86"/>
    </row>
    <row r="40" spans="2:32">
      <c r="B40" s="85" t="s">
        <v>105</v>
      </c>
      <c r="D40" s="285" t="s">
        <v>183</v>
      </c>
      <c r="V40" s="86"/>
      <c r="W40" s="86"/>
      <c r="X40" s="86"/>
      <c r="Y40" s="86"/>
      <c r="Z40" s="86"/>
      <c r="AA40" s="86"/>
      <c r="AB40" s="86"/>
      <c r="AC40" s="118"/>
      <c r="AD40" s="118"/>
      <c r="AE40" s="86"/>
      <c r="AF40" s="86"/>
    </row>
    <row r="41" spans="2:32">
      <c r="C41" s="286" t="str">
        <f>D10</f>
        <v>(b)</v>
      </c>
      <c r="D41" s="279" t="str">
        <f>"= "&amp;C10&amp;" x "&amp;C70</f>
        <v>= (a) x 0.0749741404851062</v>
      </c>
      <c r="V41" s="86"/>
      <c r="W41" s="86"/>
      <c r="X41" s="86"/>
      <c r="Y41" s="86"/>
      <c r="Z41" s="86"/>
      <c r="AA41" s="86"/>
      <c r="AB41" s="86"/>
      <c r="AC41" s="118"/>
      <c r="AD41" s="118"/>
      <c r="AE41" s="86"/>
      <c r="AF41" s="86"/>
    </row>
    <row r="42" spans="2:32">
      <c r="C42" s="286" t="str">
        <f>H10</f>
        <v>(f)</v>
      </c>
      <c r="D42" s="279" t="str">
        <f>"= "&amp;$G$10&amp;" x  (8.76 x "&amp;TEXT(H59,"0.0%")&amp;") + "&amp;$F$10</f>
        <v>= (e) x  (8.76 x 33.0%) + (d)</v>
      </c>
      <c r="V42" s="86"/>
      <c r="W42" s="86"/>
      <c r="X42" s="86"/>
      <c r="Y42" s="86"/>
      <c r="Z42" s="86"/>
      <c r="AA42" s="86"/>
      <c r="AB42" s="86"/>
      <c r="AC42" s="118"/>
      <c r="AD42" s="118"/>
      <c r="AE42" s="86"/>
      <c r="AF42" s="86"/>
    </row>
    <row r="43" spans="2:32">
      <c r="C43" s="286" t="str">
        <f>I10</f>
        <v>(g)</v>
      </c>
      <c r="D43" s="279" t="str">
        <f>"= "&amp;D10&amp;" + "&amp;H10</f>
        <v>= (b) + (f)</v>
      </c>
      <c r="V43" s="86"/>
      <c r="W43" s="86"/>
      <c r="X43" s="86"/>
      <c r="Y43" s="86"/>
      <c r="Z43" s="86"/>
      <c r="AA43" s="86"/>
      <c r="AB43" s="86"/>
      <c r="AC43" s="118"/>
      <c r="AD43" s="118"/>
      <c r="AE43" s="86"/>
      <c r="AF43" s="86"/>
    </row>
    <row r="44" spans="2:32">
      <c r="C44" s="286" t="str">
        <f>J10</f>
        <v>(h)</v>
      </c>
      <c r="D44" s="287" t="str">
        <f>'Table 4'!B3&amp;" - "&amp;'Table 4'!B4</f>
        <v>Table 4 - Burnertip Natural Gas Price Forecast</v>
      </c>
      <c r="V44" s="86"/>
      <c r="W44" s="86"/>
      <c r="X44" s="86"/>
      <c r="Y44" s="86"/>
      <c r="Z44" s="86"/>
      <c r="AA44" s="86"/>
      <c r="AB44" s="86"/>
      <c r="AC44" s="118"/>
      <c r="AD44" s="118"/>
      <c r="AE44" s="86"/>
      <c r="AF44" s="86"/>
    </row>
    <row r="45" spans="2:32">
      <c r="C45" s="286" t="str">
        <f>K10</f>
        <v>(i)</v>
      </c>
      <c r="D45" s="279" t="str">
        <f>"= "&amp;TEXT(L59,"?,0")&amp;" MMBtu/MWH x "&amp;J9</f>
        <v>= 9,936 MMBtu/MWH x $/MMBtu</v>
      </c>
      <c r="V45" s="86"/>
      <c r="W45" s="86"/>
      <c r="X45" s="86"/>
      <c r="Y45" s="86"/>
      <c r="Z45" s="86"/>
      <c r="AA45" s="86"/>
      <c r="AB45" s="86"/>
      <c r="AC45" s="118"/>
      <c r="AD45" s="118"/>
      <c r="AE45" s="86"/>
      <c r="AF45" s="86"/>
    </row>
    <row r="46" spans="2:32">
      <c r="C46" s="286" t="str">
        <f>L10</f>
        <v>(i)</v>
      </c>
      <c r="D46" s="279" t="str">
        <f>"= "&amp;I10&amp;" / (8.76 x 'Capacity Factor' ) + "&amp;K10</f>
        <v>= (g) / (8.76 x 'Capacity Factor' ) + (i)</v>
      </c>
      <c r="V46" s="86"/>
      <c r="W46" s="86"/>
      <c r="X46" s="86"/>
      <c r="Y46" s="86"/>
      <c r="Z46" s="86"/>
      <c r="AA46" s="86"/>
      <c r="AB46" s="86"/>
      <c r="AC46" s="118"/>
      <c r="AD46" s="118"/>
      <c r="AE46" s="86"/>
      <c r="AF46" s="86"/>
    </row>
    <row r="47" spans="2:32" ht="13.8" thickBot="1">
      <c r="V47" s="86"/>
      <c r="W47" s="86"/>
      <c r="X47" s="86"/>
      <c r="Y47" s="86"/>
      <c r="Z47" s="86"/>
      <c r="AA47" s="86"/>
      <c r="AB47" s="86"/>
      <c r="AC47" s="118"/>
      <c r="AD47" s="118"/>
      <c r="AE47" s="86"/>
      <c r="AF47" s="86"/>
    </row>
    <row r="48" spans="2:32" ht="13.8" thickBot="1">
      <c r="C48" s="42" t="s">
        <v>189</v>
      </c>
      <c r="D48" s="288"/>
      <c r="E48" s="288"/>
      <c r="F48" s="288"/>
      <c r="G48" s="288"/>
      <c r="H48" s="288"/>
      <c r="I48" s="288"/>
      <c r="J48" s="288"/>
      <c r="K48" s="289"/>
      <c r="L48" s="290"/>
    </row>
    <row r="49" spans="2:22" ht="5.25" customHeight="1"/>
    <row r="50" spans="2:22" ht="5.25" customHeight="1"/>
    <row r="51" spans="2:22">
      <c r="C51" s="291" t="s">
        <v>106</v>
      </c>
      <c r="D51" s="292"/>
      <c r="E51" s="291"/>
      <c r="F51" s="291"/>
      <c r="G51" s="293" t="s">
        <v>32</v>
      </c>
      <c r="H51" s="293" t="s">
        <v>107</v>
      </c>
      <c r="I51" s="293" t="s">
        <v>108</v>
      </c>
      <c r="J51" s="293" t="s">
        <v>33</v>
      </c>
    </row>
    <row r="52" spans="2:22">
      <c r="C52" s="283" t="s">
        <v>109</v>
      </c>
      <c r="G52" s="294">
        <f>C63</f>
        <v>195.5964123</v>
      </c>
      <c r="H52" s="41">
        <f>G52/G54</f>
        <v>1</v>
      </c>
      <c r="I52" s="295">
        <f>C64</f>
        <v>1340.892350999477</v>
      </c>
      <c r="J52" s="296">
        <f>C67</f>
        <v>0</v>
      </c>
      <c r="Q52" s="116"/>
      <c r="R52" s="116"/>
      <c r="S52" s="116"/>
      <c r="T52" s="116"/>
      <c r="U52" s="116"/>
      <c r="V52" s="116"/>
    </row>
    <row r="53" spans="2:22">
      <c r="C53" s="283"/>
      <c r="G53" s="297">
        <f>D63</f>
        <v>0</v>
      </c>
      <c r="H53" s="298">
        <f>1-H52</f>
        <v>0</v>
      </c>
      <c r="I53" s="299">
        <f>D64</f>
        <v>0</v>
      </c>
      <c r="J53" s="300">
        <f>D67</f>
        <v>0</v>
      </c>
      <c r="Q53" s="383"/>
      <c r="R53" s="116"/>
      <c r="S53" s="116"/>
      <c r="T53" s="116"/>
      <c r="U53" s="116"/>
      <c r="V53" s="116"/>
    </row>
    <row r="54" spans="2:22">
      <c r="C54" s="283" t="s">
        <v>110</v>
      </c>
      <c r="G54" s="294">
        <f>G52+G53</f>
        <v>195.5964123</v>
      </c>
      <c r="H54" s="41">
        <f>H52+H53</f>
        <v>1</v>
      </c>
      <c r="I54" s="295">
        <f>ROUND(((G52*I52)+(G53*I53))/G54,0)</f>
        <v>1341</v>
      </c>
      <c r="J54" s="296">
        <f>ROUND(((G52*J52)+(G53*J53))/G54,2)</f>
        <v>0</v>
      </c>
      <c r="Q54" s="383"/>
      <c r="R54" s="116"/>
      <c r="S54" s="116"/>
      <c r="T54" s="118"/>
      <c r="U54" s="116"/>
      <c r="V54" s="116"/>
    </row>
    <row r="55" spans="2:22">
      <c r="C55" s="283"/>
      <c r="G55" s="294"/>
      <c r="H55" s="41"/>
      <c r="I55" s="301"/>
      <c r="J55" s="302"/>
      <c r="Q55" s="116"/>
      <c r="R55" s="116"/>
      <c r="S55" s="329"/>
      <c r="T55" s="116"/>
      <c r="U55" s="116"/>
      <c r="V55" s="116"/>
    </row>
    <row r="56" spans="2:22">
      <c r="C56" s="303" t="s">
        <v>106</v>
      </c>
      <c r="D56" s="292"/>
      <c r="E56" s="291"/>
      <c r="F56" s="291"/>
      <c r="G56" s="293" t="s">
        <v>32</v>
      </c>
      <c r="H56" s="293" t="s">
        <v>34</v>
      </c>
      <c r="I56" s="293" t="s">
        <v>111</v>
      </c>
      <c r="J56" s="293" t="s">
        <v>107</v>
      </c>
      <c r="K56" s="293" t="s">
        <v>112</v>
      </c>
      <c r="L56" s="293" t="s">
        <v>113</v>
      </c>
    </row>
    <row r="57" spans="2:22">
      <c r="C57" s="304" t="str">
        <f>C52</f>
        <v>SCCT Dry "F" - Turbine</v>
      </c>
      <c r="D57" s="305"/>
      <c r="E57" s="305"/>
      <c r="F57" s="305"/>
      <c r="G57" s="85">
        <f>C63</f>
        <v>195.5964123</v>
      </c>
      <c r="H57" s="41">
        <f>C71</f>
        <v>0.33</v>
      </c>
      <c r="I57" s="306">
        <f>H57*G57</f>
        <v>64.546816059000008</v>
      </c>
      <c r="J57" s="41">
        <f>I57/I59</f>
        <v>1</v>
      </c>
      <c r="K57" s="302">
        <f>C68</f>
        <v>22.439</v>
      </c>
      <c r="L57" s="307">
        <f>C69</f>
        <v>9936</v>
      </c>
    </row>
    <row r="58" spans="2:22">
      <c r="C58" s="304">
        <f>C53</f>
        <v>0</v>
      </c>
      <c r="D58" s="305"/>
      <c r="E58" s="305"/>
      <c r="F58" s="305"/>
      <c r="G58" s="308">
        <f>D63</f>
        <v>0</v>
      </c>
      <c r="H58" s="298">
        <f>D71</f>
        <v>0</v>
      </c>
      <c r="I58" s="309">
        <f>H58*G58</f>
        <v>0</v>
      </c>
      <c r="J58" s="298">
        <f>1-J57</f>
        <v>0</v>
      </c>
      <c r="K58" s="310">
        <f>D68</f>
        <v>0</v>
      </c>
      <c r="L58" s="311">
        <f>D69</f>
        <v>0</v>
      </c>
    </row>
    <row r="59" spans="2:22">
      <c r="C59" s="283" t="s">
        <v>114</v>
      </c>
      <c r="G59" s="85">
        <f>G57+G58</f>
        <v>195.5964123</v>
      </c>
      <c r="H59" s="312">
        <f>ROUND(I59/G59,3)</f>
        <v>0.33</v>
      </c>
      <c r="I59" s="306">
        <f>SUM(I57:I58)</f>
        <v>64.546816059000008</v>
      </c>
      <c r="J59" s="41">
        <f>J57+J58</f>
        <v>1</v>
      </c>
      <c r="K59" s="302">
        <f>ROUND(($J57*K57)+($J58*K58),2)</f>
        <v>22.44</v>
      </c>
      <c r="L59" s="313">
        <f>ROUND(($J57*L57)+($J58*L58),0)</f>
        <v>9936</v>
      </c>
    </row>
    <row r="60" spans="2:22">
      <c r="H60" s="312"/>
      <c r="J60" s="41"/>
      <c r="K60" s="302"/>
      <c r="L60" s="314" t="s">
        <v>115</v>
      </c>
    </row>
    <row r="62" spans="2:22">
      <c r="C62" s="293" t="s">
        <v>116</v>
      </c>
      <c r="D62" s="293" t="s">
        <v>117</v>
      </c>
      <c r="E62" s="377"/>
      <c r="F62" s="315" t="str">
        <f>D40</f>
        <v xml:space="preserve">Plant Costs  - 2019 IRP - Table 7.1 &amp; 7.2 </v>
      </c>
      <c r="G62" s="316"/>
      <c r="H62" s="316"/>
      <c r="I62" s="316"/>
      <c r="J62" s="316"/>
      <c r="K62" s="316"/>
      <c r="L62" s="317"/>
    </row>
    <row r="63" spans="2:22">
      <c r="C63" s="85">
        <v>195.5964123</v>
      </c>
      <c r="F63" s="85" t="s">
        <v>118</v>
      </c>
      <c r="I63" s="318"/>
    </row>
    <row r="64" spans="2:22">
      <c r="B64" s="85" t="s">
        <v>182</v>
      </c>
      <c r="C64" s="301">
        <f>262273.73313601/C63</f>
        <v>1340.892350999477</v>
      </c>
      <c r="D64" s="301"/>
      <c r="F64" s="85" t="s">
        <v>119</v>
      </c>
    </row>
    <row r="65" spans="2:30">
      <c r="C65" s="302">
        <v>0</v>
      </c>
      <c r="D65" s="302"/>
      <c r="F65" s="85" t="s">
        <v>120</v>
      </c>
    </row>
    <row r="66" spans="2:30">
      <c r="C66" s="319">
        <v>0</v>
      </c>
      <c r="D66" s="319"/>
      <c r="F66" s="85" t="s">
        <v>121</v>
      </c>
    </row>
    <row r="67" spans="2:30">
      <c r="B67" s="85" t="s">
        <v>160</v>
      </c>
      <c r="C67" s="302">
        <f>C65+C66</f>
        <v>0</v>
      </c>
      <c r="D67" s="302"/>
      <c r="F67" s="85" t="s">
        <v>122</v>
      </c>
    </row>
    <row r="68" spans="2:30">
      <c r="B68" s="85" t="s">
        <v>160</v>
      </c>
      <c r="C68" s="432">
        <v>22.439</v>
      </c>
      <c r="D68" s="302"/>
      <c r="F68" s="85" t="s">
        <v>123</v>
      </c>
    </row>
    <row r="69" spans="2:30">
      <c r="C69" s="313">
        <v>9936</v>
      </c>
      <c r="D69" s="313"/>
      <c r="F69" s="85" t="s">
        <v>124</v>
      </c>
    </row>
    <row r="70" spans="2:30">
      <c r="C70" s="320">
        <v>7.4974140485106158E-2</v>
      </c>
      <c r="D70" s="320"/>
      <c r="F70" s="85" t="s">
        <v>36</v>
      </c>
      <c r="AC70" s="118"/>
      <c r="AD70" s="118"/>
    </row>
    <row r="71" spans="2:30">
      <c r="C71" s="321">
        <v>0.33</v>
      </c>
      <c r="D71" s="321"/>
      <c r="F71" s="85" t="s">
        <v>37</v>
      </c>
      <c r="AC71" s="118"/>
      <c r="AD71" s="118"/>
    </row>
    <row r="72" spans="2:30">
      <c r="D72" s="41">
        <f>ROUND(I59/G59,3)</f>
        <v>0.33</v>
      </c>
      <c r="F72" s="85" t="s">
        <v>125</v>
      </c>
      <c r="AC72" s="118"/>
      <c r="AD72" s="118"/>
    </row>
    <row r="73" spans="2:30">
      <c r="B73" s="346" t="str">
        <f>LEFT(RIGHT(INDEX('Table 3 TransCost'!$39:$39,1,MATCH(E73,'Table 3 TransCost'!$4:$4,0)),6),5)</f>
        <v>2031$</v>
      </c>
      <c r="C73" s="151">
        <f>INDEX('Table 3 TransCost'!$39:$39,1,MATCH(E73,'Table 3 TransCost'!$4:$4,0)+2)</f>
        <v>12.45513744317196</v>
      </c>
      <c r="D73" s="116" t="s">
        <v>153</v>
      </c>
      <c r="E73" s="116" t="s">
        <v>146</v>
      </c>
      <c r="F73" s="116"/>
      <c r="AC73" s="118"/>
      <c r="AD73" s="118"/>
    </row>
    <row r="74" spans="2:30" ht="13.8" thickBot="1">
      <c r="B74" s="49"/>
      <c r="C74" s="433">
        <v>26.724569206547603</v>
      </c>
      <c r="D74" s="49"/>
      <c r="F74" s="85" t="s">
        <v>185</v>
      </c>
      <c r="G74" s="434"/>
      <c r="AC74" s="118"/>
      <c r="AD74" s="118"/>
    </row>
    <row r="75" spans="2:30" s="86" customFormat="1">
      <c r="O75" s="85"/>
      <c r="P75" s="85"/>
      <c r="AC75" s="116"/>
      <c r="AD75" s="116"/>
    </row>
    <row r="76" spans="2:30">
      <c r="D76" s="322"/>
    </row>
    <row r="77" spans="2:30">
      <c r="D77" s="322"/>
    </row>
  </sheetData>
  <printOptions horizontalCentered="1"/>
  <pageMargins left="0.25" right="0.25" top="0.75" bottom="0.75" header="0.3" footer="0.3"/>
  <pageSetup scale="87" fitToHeight="0" orientation="portrait" r:id="rId1"/>
  <headerFooter alignWithMargins="0"/>
  <rowBreaks count="1" manualBreakCount="1">
    <brk id="4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1"/>
  <sheetViews>
    <sheetView tabSelected="1" view="pageBreakPreview" topLeftCell="A2" zoomScale="60" zoomScaleNormal="80" workbookViewId="0">
      <selection activeCell="F20" sqref="F20"/>
    </sheetView>
  </sheetViews>
  <sheetFormatPr defaultColWidth="9.33203125" defaultRowHeight="13.2"/>
  <cols>
    <col min="1" max="1" width="2.77734375" style="3" customWidth="1"/>
    <col min="2" max="2" width="7" style="3" customWidth="1"/>
    <col min="3" max="12" width="10.21875" style="3" customWidth="1"/>
    <col min="13" max="13" width="10.21875" style="5" customWidth="1"/>
    <col min="14" max="15" width="10.21875" style="3" customWidth="1"/>
    <col min="16" max="16" width="1.6640625" style="3" customWidth="1"/>
    <col min="17" max="16384" width="9.33203125" style="3"/>
  </cols>
  <sheetData>
    <row r="1" spans="2:16" s="210" customFormat="1" ht="15.6" hidden="1">
      <c r="B1" s="1" t="s">
        <v>35</v>
      </c>
      <c r="C1" s="1"/>
      <c r="D1" s="1"/>
      <c r="E1" s="1"/>
      <c r="F1" s="1"/>
      <c r="G1" s="207"/>
      <c r="H1" s="1"/>
      <c r="I1" s="1"/>
      <c r="J1" s="1"/>
      <c r="K1" s="1"/>
      <c r="L1" s="208"/>
      <c r="M1" s="209"/>
      <c r="N1" s="209"/>
      <c r="O1" s="209"/>
      <c r="P1" s="209"/>
    </row>
    <row r="2" spans="2:16" s="210" customFormat="1" ht="5.25" customHeight="1">
      <c r="B2" s="1"/>
      <c r="C2" s="1"/>
      <c r="D2" s="1"/>
      <c r="E2" s="1"/>
      <c r="F2" s="1"/>
      <c r="G2" s="207"/>
      <c r="H2" s="1"/>
      <c r="I2" s="1"/>
      <c r="J2" s="1"/>
      <c r="K2" s="1"/>
      <c r="L2" s="208"/>
      <c r="M2" s="209"/>
      <c r="N2" s="209"/>
      <c r="O2" s="209"/>
      <c r="P2" s="209"/>
    </row>
    <row r="3" spans="2:16" s="210" customFormat="1" ht="15.6">
      <c r="B3" s="1" t="s">
        <v>93</v>
      </c>
      <c r="C3" s="1"/>
      <c r="D3" s="1"/>
      <c r="E3" s="1"/>
      <c r="F3" s="1"/>
      <c r="G3" s="207"/>
      <c r="H3" s="1"/>
      <c r="I3" s="1"/>
      <c r="J3" s="1"/>
      <c r="K3" s="1"/>
      <c r="L3" s="208"/>
      <c r="M3" s="209"/>
      <c r="N3" s="209"/>
      <c r="O3" s="209"/>
      <c r="P3" s="209"/>
    </row>
    <row r="4" spans="2:16" s="212" customFormat="1" ht="13.8">
      <c r="B4" s="4" t="s">
        <v>94</v>
      </c>
      <c r="C4" s="4"/>
      <c r="D4" s="4"/>
      <c r="E4" s="4"/>
      <c r="F4" s="4"/>
      <c r="G4" s="4"/>
      <c r="H4" s="4"/>
      <c r="I4" s="4"/>
      <c r="J4" s="4"/>
      <c r="K4" s="4"/>
      <c r="L4" s="4"/>
      <c r="M4" s="211"/>
      <c r="N4" s="211"/>
      <c r="O4" s="211"/>
      <c r="P4" s="211"/>
    </row>
    <row r="5" spans="2:16" s="212" customFormat="1" ht="13.8">
      <c r="B5" s="4" t="str">
        <f ca="1">'Table 1'!B5</f>
        <v>Utah 2021.Q4 - 100.0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12" customFormat="1" ht="13.8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11"/>
      <c r="N6" s="211"/>
      <c r="O6" s="211"/>
      <c r="P6" s="211"/>
    </row>
    <row r="7" spans="2:16">
      <c r="D7" s="213"/>
      <c r="E7" s="213"/>
      <c r="F7" s="213"/>
      <c r="G7" s="214"/>
      <c r="H7" s="214"/>
      <c r="I7" s="214"/>
      <c r="J7" s="214"/>
      <c r="K7" s="214"/>
      <c r="L7" s="214"/>
      <c r="M7" s="215"/>
    </row>
    <row r="8" spans="2:16">
      <c r="B8" s="216"/>
      <c r="C8" s="216"/>
      <c r="D8" s="217" t="s">
        <v>95</v>
      </c>
      <c r="E8" s="218"/>
      <c r="F8" s="218"/>
      <c r="G8" s="217"/>
      <c r="H8" s="217"/>
      <c r="I8" s="219" t="s">
        <v>96</v>
      </c>
      <c r="J8" s="220"/>
      <c r="K8" s="220"/>
      <c r="L8" s="221"/>
      <c r="M8" s="222" t="s">
        <v>95</v>
      </c>
      <c r="N8" s="223"/>
      <c r="O8" s="224"/>
    </row>
    <row r="9" spans="2:16">
      <c r="B9" s="225" t="s">
        <v>0</v>
      </c>
      <c r="C9" s="225" t="s">
        <v>246</v>
      </c>
      <c r="D9" s="226" t="s">
        <v>247</v>
      </c>
      <c r="E9" s="227" t="s">
        <v>248</v>
      </c>
      <c r="F9" s="227" t="s">
        <v>249</v>
      </c>
      <c r="G9" s="227" t="s">
        <v>250</v>
      </c>
      <c r="H9" s="228" t="s">
        <v>251</v>
      </c>
      <c r="I9" s="168" t="s">
        <v>252</v>
      </c>
      <c r="J9" s="168" t="s">
        <v>253</v>
      </c>
      <c r="K9" s="168" t="s">
        <v>254</v>
      </c>
      <c r="L9" s="168" t="s">
        <v>255</v>
      </c>
      <c r="M9" s="226" t="s">
        <v>256</v>
      </c>
      <c r="N9" s="227" t="s">
        <v>257</v>
      </c>
      <c r="O9" s="228" t="s">
        <v>258</v>
      </c>
    </row>
    <row r="10" spans="2:16" ht="12.75" customHeight="1">
      <c r="B10" s="206"/>
      <c r="C10" s="206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5"/>
    </row>
    <row r="11" spans="2:16" ht="12.75" customHeight="1">
      <c r="B11" s="230" t="s">
        <v>97</v>
      </c>
      <c r="C11" s="230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5"/>
    </row>
    <row r="12" spans="2:16" ht="12.75" hidden="1" customHeight="1">
      <c r="B12" s="231"/>
      <c r="C12" s="232"/>
      <c r="D12" s="8"/>
      <c r="E12" s="8"/>
      <c r="F12" s="8"/>
      <c r="G12" s="8"/>
      <c r="H12" s="13"/>
      <c r="I12" s="233"/>
      <c r="J12" s="234"/>
      <c r="K12" s="234"/>
      <c r="L12" s="235"/>
      <c r="M12" s="233"/>
      <c r="N12" s="234"/>
      <c r="O12" s="235"/>
    </row>
    <row r="13" spans="2:16" ht="12.75" customHeight="1">
      <c r="B13" s="236">
        <v>2022</v>
      </c>
      <c r="C13" s="237">
        <v>34.176884685777097</v>
      </c>
      <c r="D13" s="238">
        <v>66.086242003757306</v>
      </c>
      <c r="E13" s="238">
        <v>23.317297990312134</v>
      </c>
      <c r="F13" s="238">
        <v>21.011302867261794</v>
      </c>
      <c r="G13" s="238">
        <v>19.191706240080297</v>
      </c>
      <c r="H13" s="239">
        <v>16.544495299699044</v>
      </c>
      <c r="I13" s="240">
        <v>19.696178251753665</v>
      </c>
      <c r="J13" s="238">
        <v>77.496393963071682</v>
      </c>
      <c r="K13" s="238">
        <v>52.509479316154355</v>
      </c>
      <c r="L13" s="239">
        <v>35.115845632987721</v>
      </c>
      <c r="M13" s="240">
        <v>24.411960456030425</v>
      </c>
      <c r="N13" s="238">
        <v>22.920762797305983</v>
      </c>
      <c r="O13" s="239">
        <v>29.486699607451598</v>
      </c>
    </row>
    <row r="14" spans="2:16" ht="12.75" customHeight="1">
      <c r="B14" s="253">
        <v>2023</v>
      </c>
      <c r="C14" s="241">
        <v>30.228965736096853</v>
      </c>
      <c r="D14" s="242">
        <v>20.264186429154648</v>
      </c>
      <c r="E14" s="242">
        <v>25.197325135079833</v>
      </c>
      <c r="F14" s="242">
        <v>23.346391356009789</v>
      </c>
      <c r="G14" s="242">
        <v>19.960591942640434</v>
      </c>
      <c r="H14" s="243">
        <v>18.605937583664211</v>
      </c>
      <c r="I14" s="244">
        <v>20.897049881108519</v>
      </c>
      <c r="J14" s="242">
        <v>76.384021567111049</v>
      </c>
      <c r="K14" s="242">
        <v>45.741224846938849</v>
      </c>
      <c r="L14" s="243">
        <v>36.696668787767074</v>
      </c>
      <c r="M14" s="244">
        <v>22.894430390811895</v>
      </c>
      <c r="N14" s="242">
        <v>23.011830963556136</v>
      </c>
      <c r="O14" s="243">
        <v>28.604554363118226</v>
      </c>
    </row>
    <row r="15" spans="2:16" ht="12.75" customHeight="1">
      <c r="B15" s="253">
        <v>2024</v>
      </c>
      <c r="C15" s="241">
        <v>32.164512348755082</v>
      </c>
      <c r="D15" s="242">
        <v>30.004414664478873</v>
      </c>
      <c r="E15" s="242">
        <v>32.781199246887972</v>
      </c>
      <c r="F15" s="242">
        <v>26.014583719339903</v>
      </c>
      <c r="G15" s="242">
        <v>19.167130985463658</v>
      </c>
      <c r="H15" s="243">
        <v>17.883284318301104</v>
      </c>
      <c r="I15" s="244">
        <v>18.992575123905514</v>
      </c>
      <c r="J15" s="242">
        <v>48.511433859434661</v>
      </c>
      <c r="K15" s="242">
        <v>51.615368420641907</v>
      </c>
      <c r="L15" s="243">
        <v>39.553811189649423</v>
      </c>
      <c r="M15" s="244">
        <v>26.429122467549739</v>
      </c>
      <c r="N15" s="242">
        <v>32.339255617373105</v>
      </c>
      <c r="O15" s="243">
        <v>42.121584614539337</v>
      </c>
    </row>
    <row r="16" spans="2:16" ht="12.75" customHeight="1">
      <c r="B16" s="253">
        <v>2025</v>
      </c>
      <c r="C16" s="241">
        <v>27.852830281407595</v>
      </c>
      <c r="D16" s="242">
        <v>17.16960460861684</v>
      </c>
      <c r="E16" s="242">
        <v>25.641007797830916</v>
      </c>
      <c r="F16" s="242">
        <v>20.837179046269625</v>
      </c>
      <c r="G16" s="242">
        <v>18.242849767113103</v>
      </c>
      <c r="H16" s="243">
        <v>16.291596161857928</v>
      </c>
      <c r="I16" s="244">
        <v>17.198111965055059</v>
      </c>
      <c r="J16" s="242">
        <v>43.811601803010149</v>
      </c>
      <c r="K16" s="242">
        <v>52.342960897474597</v>
      </c>
      <c r="L16" s="243">
        <v>34.975790672114741</v>
      </c>
      <c r="M16" s="244">
        <v>21.515264411176886</v>
      </c>
      <c r="N16" s="242">
        <v>31.399359299596814</v>
      </c>
      <c r="O16" s="243">
        <v>34.28506672508334</v>
      </c>
    </row>
    <row r="17" spans="2:15" ht="12.75" customHeight="1">
      <c r="B17" s="253">
        <v>2026</v>
      </c>
      <c r="C17" s="241">
        <v>36.213150991757985</v>
      </c>
      <c r="D17" s="242">
        <v>33.777529909081196</v>
      </c>
      <c r="E17" s="242">
        <v>34.721158069211633</v>
      </c>
      <c r="F17" s="242">
        <v>27.065238862798541</v>
      </c>
      <c r="G17" s="242">
        <v>21.243650821853016</v>
      </c>
      <c r="H17" s="243">
        <v>15.992442352170706</v>
      </c>
      <c r="I17" s="244">
        <v>16.709927081811344</v>
      </c>
      <c r="J17" s="242">
        <v>52.774359283156855</v>
      </c>
      <c r="K17" s="242">
        <v>74.54611442505653</v>
      </c>
      <c r="L17" s="243">
        <v>44.639124628738188</v>
      </c>
      <c r="M17" s="244">
        <v>26.736322738663443</v>
      </c>
      <c r="N17" s="242">
        <v>39.262939560744499</v>
      </c>
      <c r="O17" s="243">
        <v>46.202780276145788</v>
      </c>
    </row>
    <row r="18" spans="2:15" ht="12.75" customHeight="1">
      <c r="B18" s="253">
        <v>2027</v>
      </c>
      <c r="C18" s="241">
        <v>37.332598292099284</v>
      </c>
      <c r="D18" s="242">
        <v>41.740215752797539</v>
      </c>
      <c r="E18" s="242">
        <v>36.103192717997757</v>
      </c>
      <c r="F18" s="242">
        <v>26.902935257925382</v>
      </c>
      <c r="G18" s="242">
        <v>18.943161317275838</v>
      </c>
      <c r="H18" s="243">
        <v>19.018683707423268</v>
      </c>
      <c r="I18" s="244">
        <v>17.82199052452172</v>
      </c>
      <c r="J18" s="242">
        <v>54.11733006141359</v>
      </c>
      <c r="K18" s="242">
        <v>70.855671850727489</v>
      </c>
      <c r="L18" s="243">
        <v>44.919215603970713</v>
      </c>
      <c r="M18" s="244">
        <v>26.644932650205909</v>
      </c>
      <c r="N18" s="242">
        <v>42.780553257476953</v>
      </c>
      <c r="O18" s="243">
        <v>47.22221005547091</v>
      </c>
    </row>
    <row r="19" spans="2:15" ht="12.75" customHeight="1">
      <c r="B19" s="253">
        <v>2028</v>
      </c>
      <c r="C19" s="241">
        <v>39.95088653022637</v>
      </c>
      <c r="D19" s="242">
        <v>35.518906769720857</v>
      </c>
      <c r="E19" s="242">
        <v>34.102066832165306</v>
      </c>
      <c r="F19" s="242">
        <v>28.195918263272851</v>
      </c>
      <c r="G19" s="242">
        <v>19.430436157313487</v>
      </c>
      <c r="H19" s="243">
        <v>16.569496124694425</v>
      </c>
      <c r="I19" s="244">
        <v>16.220933432360905</v>
      </c>
      <c r="J19" s="242">
        <v>60.507401862319519</v>
      </c>
      <c r="K19" s="242">
        <v>80.728017582659845</v>
      </c>
      <c r="L19" s="243">
        <v>54.434574177664807</v>
      </c>
      <c r="M19" s="244">
        <v>29.406313695936834</v>
      </c>
      <c r="N19" s="242">
        <v>44.514994746347064</v>
      </c>
      <c r="O19" s="243">
        <v>58.591248169765478</v>
      </c>
    </row>
    <row r="20" spans="2:15" ht="12.75" customHeight="1">
      <c r="B20" s="253">
        <v>2029</v>
      </c>
      <c r="C20" s="241">
        <v>40.666801760830289</v>
      </c>
      <c r="D20" s="242">
        <v>41.41258138649566</v>
      </c>
      <c r="E20" s="242">
        <v>37.832693748408929</v>
      </c>
      <c r="F20" s="242">
        <v>29.553073301516996</v>
      </c>
      <c r="G20" s="242">
        <v>20.047609716585942</v>
      </c>
      <c r="H20" s="243">
        <v>18.509234819455493</v>
      </c>
      <c r="I20" s="244">
        <v>18.774270011557061</v>
      </c>
      <c r="J20" s="242">
        <v>58.897190469226409</v>
      </c>
      <c r="K20" s="242">
        <v>77.890340352487627</v>
      </c>
      <c r="L20" s="243">
        <v>53.777750713446487</v>
      </c>
      <c r="M20" s="244">
        <v>28.613729881729771</v>
      </c>
      <c r="N20" s="242">
        <v>40.786045420073798</v>
      </c>
      <c r="O20" s="243">
        <v>60.688267269656862</v>
      </c>
    </row>
    <row r="21" spans="2:15" ht="12.75" customHeight="1">
      <c r="B21" s="253">
        <v>2030</v>
      </c>
      <c r="C21" s="241">
        <v>40.112935185241916</v>
      </c>
      <c r="D21" s="242">
        <v>45.808590595107724</v>
      </c>
      <c r="E21" s="242">
        <v>37.038610718153592</v>
      </c>
      <c r="F21" s="242">
        <v>29.665497630403369</v>
      </c>
      <c r="G21" s="242">
        <v>17.916108444324177</v>
      </c>
      <c r="H21" s="243">
        <v>14.256509949943272</v>
      </c>
      <c r="I21" s="244">
        <v>17.364500193115322</v>
      </c>
      <c r="J21" s="242">
        <v>58.801694811620017</v>
      </c>
      <c r="K21" s="242">
        <v>77.570115865476993</v>
      </c>
      <c r="L21" s="243">
        <v>52.310957822787266</v>
      </c>
      <c r="M21" s="244">
        <v>29.831867318427772</v>
      </c>
      <c r="N21" s="242">
        <v>47.697942595278846</v>
      </c>
      <c r="O21" s="243">
        <v>51.983626114176488</v>
      </c>
    </row>
    <row r="22" spans="2:15" ht="12.75" customHeight="1">
      <c r="B22" s="253">
        <v>2031</v>
      </c>
      <c r="C22" s="241">
        <v>36.905629916782658</v>
      </c>
      <c r="D22" s="242">
        <v>42.939092286601465</v>
      </c>
      <c r="E22" s="242">
        <v>35.378292698040163</v>
      </c>
      <c r="F22" s="242">
        <v>27.193450489663068</v>
      </c>
      <c r="G22" s="242">
        <v>16.76313017781472</v>
      </c>
      <c r="H22" s="243">
        <v>14.806580041259206</v>
      </c>
      <c r="I22" s="244">
        <v>16.480151705989822</v>
      </c>
      <c r="J22" s="242">
        <v>53.938272214537704</v>
      </c>
      <c r="K22" s="242">
        <v>72.352618305179419</v>
      </c>
      <c r="L22" s="243">
        <v>45.633501880117592</v>
      </c>
      <c r="M22" s="244">
        <v>25.858517607332519</v>
      </c>
      <c r="N22" s="242">
        <v>43.396024401242947</v>
      </c>
      <c r="O22" s="243">
        <v>47.162387736895951</v>
      </c>
    </row>
    <row r="23" spans="2:15" ht="12.75" customHeight="1">
      <c r="B23" s="253">
        <v>2032</v>
      </c>
      <c r="C23" s="241">
        <v>36.873580417352677</v>
      </c>
      <c r="D23" s="242">
        <v>43.527767522202666</v>
      </c>
      <c r="E23" s="242">
        <v>32.641750021603642</v>
      </c>
      <c r="F23" s="242">
        <v>27.238914218187052</v>
      </c>
      <c r="G23" s="242">
        <v>15.434421763418863</v>
      </c>
      <c r="H23" s="243">
        <v>12.509013410030954</v>
      </c>
      <c r="I23" s="244">
        <v>14.182276412713446</v>
      </c>
      <c r="J23" s="242">
        <v>53.716075014653462</v>
      </c>
      <c r="K23" s="242">
        <v>72.916264225896441</v>
      </c>
      <c r="L23" s="243">
        <v>46.096318699616731</v>
      </c>
      <c r="M23" s="244">
        <v>27.98095698691424</v>
      </c>
      <c r="N23" s="242">
        <v>43.073686333607881</v>
      </c>
      <c r="O23" s="243">
        <v>51.966446875141912</v>
      </c>
    </row>
    <row r="24" spans="2:15" ht="12.75" customHeight="1">
      <c r="B24" s="253">
        <v>2033</v>
      </c>
      <c r="C24" s="241">
        <v>36.47052123329275</v>
      </c>
      <c r="D24" s="242">
        <v>44.253975381427992</v>
      </c>
      <c r="E24" s="242">
        <v>38.457330195069133</v>
      </c>
      <c r="F24" s="242">
        <v>25.837541697020292</v>
      </c>
      <c r="G24" s="242">
        <v>13.650486236438466</v>
      </c>
      <c r="H24" s="243">
        <v>12.624398418560483</v>
      </c>
      <c r="I24" s="244">
        <v>12.950461148761626</v>
      </c>
      <c r="J24" s="242">
        <v>51.154116726911234</v>
      </c>
      <c r="K24" s="242">
        <v>69.326292521008241</v>
      </c>
      <c r="L24" s="243">
        <v>44.049625787990578</v>
      </c>
      <c r="M24" s="244">
        <v>26.761126888476273</v>
      </c>
      <c r="N24" s="242">
        <v>43.621908139987539</v>
      </c>
      <c r="O24" s="243">
        <v>54.131598859966523</v>
      </c>
    </row>
    <row r="25" spans="2:15" ht="12.75" customHeight="1">
      <c r="B25" s="253">
        <v>2034</v>
      </c>
      <c r="C25" s="241">
        <v>38.583410999630274</v>
      </c>
      <c r="D25" s="242">
        <v>57.708348715874735</v>
      </c>
      <c r="E25" s="242">
        <v>39.90045064894305</v>
      </c>
      <c r="F25" s="242">
        <v>28.473277731422055</v>
      </c>
      <c r="G25" s="242">
        <v>14.363621831972463</v>
      </c>
      <c r="H25" s="243">
        <v>11.923797969600106</v>
      </c>
      <c r="I25" s="244">
        <v>12.50677308057973</v>
      </c>
      <c r="J25" s="242">
        <v>50.437746286398422</v>
      </c>
      <c r="K25" s="242">
        <v>72.197207016206633</v>
      </c>
      <c r="L25" s="243">
        <v>47.042990507599377</v>
      </c>
      <c r="M25" s="244">
        <v>27.270078022433744</v>
      </c>
      <c r="N25" s="242">
        <v>43.957402174471156</v>
      </c>
      <c r="O25" s="243">
        <v>56.170472285676226</v>
      </c>
    </row>
    <row r="26" spans="2:15" ht="12.75" customHeight="1">
      <c r="B26" s="253">
        <v>2035</v>
      </c>
      <c r="C26" s="241">
        <v>39.515241587886393</v>
      </c>
      <c r="D26" s="242">
        <v>57.320189051712831</v>
      </c>
      <c r="E26" s="242">
        <v>41.069263451850659</v>
      </c>
      <c r="F26" s="242">
        <v>27.890959937551649</v>
      </c>
      <c r="G26" s="242">
        <v>14.930989819178151</v>
      </c>
      <c r="H26" s="243">
        <v>13.148030828844997</v>
      </c>
      <c r="I26" s="244">
        <v>15.510424018832751</v>
      </c>
      <c r="J26" s="242">
        <v>56.874502583882744</v>
      </c>
      <c r="K26" s="242">
        <v>68.269793684456744</v>
      </c>
      <c r="L26" s="243">
        <v>47.360155811075536</v>
      </c>
      <c r="M26" s="244">
        <v>27.382958435693617</v>
      </c>
      <c r="N26" s="242">
        <v>45.419794638580335</v>
      </c>
      <c r="O26" s="243">
        <v>58.032367874525725</v>
      </c>
    </row>
    <row r="27" spans="2:15" ht="12.75" customHeight="1">
      <c r="B27" s="253">
        <v>2036</v>
      </c>
      <c r="C27" s="241">
        <v>42.160896157110571</v>
      </c>
      <c r="D27" s="242">
        <v>61.038582810586696</v>
      </c>
      <c r="E27" s="242">
        <v>36.231780887594041</v>
      </c>
      <c r="F27" s="242">
        <v>28.997418385695024</v>
      </c>
      <c r="G27" s="242">
        <v>14.568946205290862</v>
      </c>
      <c r="H27" s="243">
        <v>12.640687944899584</v>
      </c>
      <c r="I27" s="244">
        <v>15.542885458266362</v>
      </c>
      <c r="J27" s="242">
        <v>56.127316539252718</v>
      </c>
      <c r="K27" s="242">
        <v>80.485051641445807</v>
      </c>
      <c r="L27" s="243">
        <v>54.014332594876905</v>
      </c>
      <c r="M27" s="244">
        <v>32.681664651092241</v>
      </c>
      <c r="N27" s="242">
        <v>54.299370222144447</v>
      </c>
      <c r="O27" s="243">
        <v>57.945417167183855</v>
      </c>
    </row>
    <row r="28" spans="2:15" ht="12.75" customHeight="1">
      <c r="B28" s="253">
        <v>2037</v>
      </c>
      <c r="C28" s="241">
        <v>48.741190817785046</v>
      </c>
      <c r="D28" s="242">
        <v>74.850020811603841</v>
      </c>
      <c r="E28" s="242">
        <v>51.113609460165634</v>
      </c>
      <c r="F28" s="242">
        <v>32.767234435119938</v>
      </c>
      <c r="G28" s="242">
        <v>14.587285087730114</v>
      </c>
      <c r="H28" s="243">
        <v>13.207841124674406</v>
      </c>
      <c r="I28" s="244">
        <v>16.858183046338461</v>
      </c>
      <c r="J28" s="242">
        <v>61.349313870368384</v>
      </c>
      <c r="K28" s="242">
        <v>93.123083905824814</v>
      </c>
      <c r="L28" s="243">
        <v>66.166626600485301</v>
      </c>
      <c r="M28" s="244">
        <v>37.136129553702773</v>
      </c>
      <c r="N28" s="242">
        <v>56.68584009685533</v>
      </c>
      <c r="O28" s="243">
        <v>65.966877545948307</v>
      </c>
    </row>
    <row r="29" spans="2:15" ht="12.75" customHeight="1">
      <c r="B29" s="253">
        <v>2038</v>
      </c>
      <c r="C29" s="241">
        <v>47.141838923041952</v>
      </c>
      <c r="D29" s="242">
        <v>68.388250313996068</v>
      </c>
      <c r="E29" s="242">
        <v>48.289018079568855</v>
      </c>
      <c r="F29" s="242">
        <v>31.09992427523969</v>
      </c>
      <c r="G29" s="242">
        <v>12.439632087548677</v>
      </c>
      <c r="H29" s="243">
        <v>9.9882995465926587</v>
      </c>
      <c r="I29" s="244">
        <v>13.389075512869283</v>
      </c>
      <c r="J29" s="242">
        <v>64.852306147680011</v>
      </c>
      <c r="K29" s="242">
        <v>91.323303214282362</v>
      </c>
      <c r="L29" s="243">
        <v>63.955722453296602</v>
      </c>
      <c r="M29" s="244">
        <v>35.957646729073694</v>
      </c>
      <c r="N29" s="242">
        <v>56.668514750142478</v>
      </c>
      <c r="O29" s="243">
        <v>68.102861920448561</v>
      </c>
    </row>
    <row r="30" spans="2:15" ht="12.75" customHeight="1">
      <c r="B30" s="254">
        <v>2039</v>
      </c>
      <c r="C30" s="246">
        <v>51.470993627368046</v>
      </c>
      <c r="D30" s="247">
        <v>74.991991241727305</v>
      </c>
      <c r="E30" s="247">
        <v>50.793106326480348</v>
      </c>
      <c r="F30" s="247">
        <v>33.265537934130236</v>
      </c>
      <c r="G30" s="247">
        <v>12.236090177082767</v>
      </c>
      <c r="H30" s="248">
        <v>11.953020594042314</v>
      </c>
      <c r="I30" s="249">
        <v>14.885539809295286</v>
      </c>
      <c r="J30" s="247">
        <v>70.08150493648705</v>
      </c>
      <c r="K30" s="247">
        <v>100.49386197172146</v>
      </c>
      <c r="L30" s="248">
        <v>77.051723598541074</v>
      </c>
      <c r="M30" s="249">
        <v>40.475419675977804</v>
      </c>
      <c r="N30" s="247">
        <v>59.464503841588069</v>
      </c>
      <c r="O30" s="248">
        <v>70.531243454067294</v>
      </c>
    </row>
    <row r="31" spans="2:15" ht="12.75" hidden="1" customHeight="1">
      <c r="B31" s="15"/>
      <c r="C31" s="241"/>
      <c r="D31" s="242"/>
      <c r="E31" s="242"/>
      <c r="F31" s="242"/>
      <c r="G31" s="242"/>
      <c r="H31" s="243"/>
      <c r="I31" s="244"/>
      <c r="J31" s="242"/>
      <c r="K31" s="242"/>
      <c r="L31" s="243"/>
      <c r="M31" s="244"/>
      <c r="N31" s="242"/>
      <c r="O31" s="243"/>
    </row>
    <row r="32" spans="2:15" ht="12.75" hidden="1" customHeight="1">
      <c r="B32" s="245"/>
      <c r="C32" s="246"/>
      <c r="D32" s="247"/>
      <c r="E32" s="247"/>
      <c r="F32" s="247"/>
      <c r="G32" s="247"/>
      <c r="H32" s="248"/>
      <c r="I32" s="249"/>
      <c r="J32" s="247"/>
      <c r="K32" s="247"/>
      <c r="L32" s="248"/>
      <c r="M32" s="249"/>
      <c r="N32" s="247"/>
      <c r="O32" s="248"/>
    </row>
    <row r="33" spans="2:16" ht="12.75" customHeight="1">
      <c r="D33" s="10"/>
      <c r="E33" s="10"/>
      <c r="F33" s="10"/>
      <c r="M33" s="250"/>
    </row>
    <row r="34" spans="2:16">
      <c r="B34" s="251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</row>
    <row r="38" spans="2:16" hidden="1">
      <c r="C38" s="252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52"/>
    </row>
    <row r="40" spans="2:16">
      <c r="C40" s="252"/>
    </row>
    <row r="41" spans="2:16">
      <c r="C41" s="252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B1:R345"/>
  <sheetViews>
    <sheetView tabSelected="1" view="pageBreakPreview" topLeftCell="A10" zoomScale="80" zoomScaleNormal="100" zoomScaleSheetLayoutView="80" workbookViewId="0">
      <selection activeCell="F20" sqref="F20"/>
    </sheetView>
  </sheetViews>
  <sheetFormatPr defaultColWidth="9.33203125" defaultRowHeight="13.2"/>
  <cols>
    <col min="1" max="1" width="9.33203125" style="3"/>
    <col min="2" max="2" width="15" style="3" customWidth="1"/>
    <col min="3" max="4" width="27" style="3" customWidth="1"/>
    <col min="5" max="5" width="19.4414062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2187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77734375" style="94" hidden="1" customWidth="1"/>
    <col min="16" max="16" width="12.7773437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6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6">
      <c r="B3" s="1" t="s">
        <v>55</v>
      </c>
      <c r="C3" s="1"/>
      <c r="D3" s="1"/>
      <c r="H3" s="29"/>
    </row>
    <row r="4" spans="2:18" ht="15.6">
      <c r="B4" s="1" t="s">
        <v>30</v>
      </c>
      <c r="C4" s="1"/>
      <c r="D4" s="1"/>
      <c r="H4" s="95" t="s">
        <v>29</v>
      </c>
    </row>
    <row r="5" spans="2:18" ht="15.6">
      <c r="B5" s="1" t="str">
        <f ca="1">'Table 1'!$B$5</f>
        <v>Utah 2021.Q4 - 100.0 MW and 100.0% CF</v>
      </c>
      <c r="C5" s="1"/>
      <c r="D5" s="1"/>
      <c r="H5" s="96">
        <v>44561</v>
      </c>
    </row>
    <row r="6" spans="2:18">
      <c r="B6" s="11"/>
      <c r="C6" s="11"/>
      <c r="D6" s="11"/>
      <c r="H6" s="29"/>
    </row>
    <row r="7" spans="2:18" ht="13.8">
      <c r="B7" s="21"/>
      <c r="C7" s="28" t="s">
        <v>26</v>
      </c>
      <c r="D7" s="211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8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127</v>
      </c>
    </row>
    <row r="16" spans="2:18" ht="13.8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126</v>
      </c>
      <c r="K16" s="34" t="s">
        <v>27</v>
      </c>
      <c r="L16" s="34" t="s">
        <v>27</v>
      </c>
      <c r="M16" s="102" t="s">
        <v>0</v>
      </c>
      <c r="O16" s="103" t="s">
        <v>59</v>
      </c>
      <c r="P16" s="103" t="s">
        <v>89</v>
      </c>
      <c r="Q16" s="103" t="s">
        <v>61</v>
      </c>
      <c r="R16" s="3" t="s">
        <v>126</v>
      </c>
    </row>
    <row r="17" spans="2:18" ht="13.8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4.1500000000000004</v>
      </c>
      <c r="D19" s="27">
        <f t="shared" si="1"/>
        <v>4.16</v>
      </c>
      <c r="E19" s="27">
        <f t="shared" si="2"/>
        <v>4.03</v>
      </c>
      <c r="F19" s="27">
        <f t="shared" si="3"/>
        <v>6.36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4.12</v>
      </c>
      <c r="D20" s="27">
        <f t="shared" si="1"/>
        <v>4.13</v>
      </c>
      <c r="E20" s="27">
        <f t="shared" si="2"/>
        <v>3.85</v>
      </c>
      <c r="F20" s="27">
        <f t="shared" si="3"/>
        <v>3.62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3.41</v>
      </c>
      <c r="D21" s="27">
        <f t="shared" si="1"/>
        <v>3.42</v>
      </c>
      <c r="E21" s="27">
        <f t="shared" si="2"/>
        <v>3.18</v>
      </c>
      <c r="F21" s="27">
        <f t="shared" si="3"/>
        <v>3.16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3.1</v>
      </c>
      <c r="D22" s="27">
        <f t="shared" si="1"/>
        <v>3.11</v>
      </c>
      <c r="E22" s="27">
        <f t="shared" si="2"/>
        <v>2.94</v>
      </c>
      <c r="F22" s="27">
        <f t="shared" si="3"/>
        <v>2.92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2.97</v>
      </c>
      <c r="D23" s="27">
        <f t="shared" si="1"/>
        <v>2.98</v>
      </c>
      <c r="E23" s="27">
        <f t="shared" si="2"/>
        <v>2.89</v>
      </c>
      <c r="F23" s="27">
        <f t="shared" si="3"/>
        <v>2.81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2.85</v>
      </c>
      <c r="D24" s="27">
        <f t="shared" si="1"/>
        <v>2.86</v>
      </c>
      <c r="E24" s="27">
        <f t="shared" si="2"/>
        <v>2.85</v>
      </c>
      <c r="F24" s="27">
        <f t="shared" si="3"/>
        <v>2.68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2.85</v>
      </c>
      <c r="D25" s="27">
        <f t="shared" si="1"/>
        <v>2.87</v>
      </c>
      <c r="E25" s="27">
        <f t="shared" si="2"/>
        <v>2.88</v>
      </c>
      <c r="F25" s="27">
        <f t="shared" si="3"/>
        <v>2.69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2.92</v>
      </c>
      <c r="D26" s="27">
        <f t="shared" si="1"/>
        <v>2.93</v>
      </c>
      <c r="E26" s="27">
        <f t="shared" si="2"/>
        <v>2.96</v>
      </c>
      <c r="F26" s="27">
        <f t="shared" si="3"/>
        <v>2.76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2.99</v>
      </c>
      <c r="D27" s="27">
        <f t="shared" si="1"/>
        <v>3</v>
      </c>
      <c r="E27" s="27">
        <f t="shared" si="2"/>
        <v>3.09</v>
      </c>
      <c r="F27" s="27">
        <f t="shared" si="3"/>
        <v>2.83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3.16</v>
      </c>
      <c r="D28" s="27">
        <f t="shared" si="1"/>
        <v>3.17</v>
      </c>
      <c r="E28" s="27">
        <f t="shared" si="2"/>
        <v>3.23</v>
      </c>
      <c r="F28" s="27">
        <f t="shared" si="3"/>
        <v>3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3.31</v>
      </c>
      <c r="D29" s="27">
        <f t="shared" si="1"/>
        <v>3.32</v>
      </c>
      <c r="E29" s="27">
        <f t="shared" si="2"/>
        <v>3.33</v>
      </c>
      <c r="F29" s="27">
        <f t="shared" si="3"/>
        <v>3.14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3.37</v>
      </c>
      <c r="D30" s="27">
        <f t="shared" si="1"/>
        <v>3.38</v>
      </c>
      <c r="E30" s="27">
        <f t="shared" si="2"/>
        <v>3.39</v>
      </c>
      <c r="F30" s="27">
        <f t="shared" si="3"/>
        <v>3.21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3.36</v>
      </c>
      <c r="D31" s="27">
        <f t="shared" si="1"/>
        <v>3.37</v>
      </c>
      <c r="E31" s="27">
        <f t="shared" si="2"/>
        <v>3.39</v>
      </c>
      <c r="F31" s="27">
        <f t="shared" si="3"/>
        <v>3.2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3.51</v>
      </c>
      <c r="D32" s="27">
        <f t="shared" si="1"/>
        <v>3.52</v>
      </c>
      <c r="E32" s="27">
        <f t="shared" si="2"/>
        <v>3.52</v>
      </c>
      <c r="F32" s="27">
        <f t="shared" si="3"/>
        <v>3.34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3.62</v>
      </c>
      <c r="D33" s="27">
        <f t="shared" si="1"/>
        <v>3.63</v>
      </c>
      <c r="E33" s="27">
        <f t="shared" si="2"/>
        <v>3.58</v>
      </c>
      <c r="F33" s="27">
        <f t="shared" si="3"/>
        <v>3.45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3.69</v>
      </c>
      <c r="D34" s="27">
        <f t="shared" si="1"/>
        <v>3.7</v>
      </c>
      <c r="E34" s="27">
        <f t="shared" si="2"/>
        <v>3.64</v>
      </c>
      <c r="F34" s="27">
        <f t="shared" si="3"/>
        <v>3.52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3.8</v>
      </c>
      <c r="D35" s="27">
        <f t="shared" si="1"/>
        <v>3.81</v>
      </c>
      <c r="E35" s="27">
        <f t="shared" si="2"/>
        <v>3.76</v>
      </c>
      <c r="F35" s="27">
        <f t="shared" si="3"/>
        <v>3.63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3.98</v>
      </c>
      <c r="D36" s="27">
        <f t="shared" si="1"/>
        <v>3.99</v>
      </c>
      <c r="E36" s="27">
        <f t="shared" si="2"/>
        <v>3.92</v>
      </c>
      <c r="F36" s="27">
        <f t="shared" si="3"/>
        <v>3.8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4.17</v>
      </c>
      <c r="D37" s="27">
        <f t="shared" si="1"/>
        <v>4.18</v>
      </c>
      <c r="E37" s="27">
        <f t="shared" si="2"/>
        <v>4.13</v>
      </c>
      <c r="F37" s="27">
        <f t="shared" si="3"/>
        <v>4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4.33</v>
      </c>
      <c r="D38" s="27">
        <f t="shared" si="1"/>
        <v>4.34</v>
      </c>
      <c r="E38" s="27">
        <f t="shared" si="2"/>
        <v>4.3</v>
      </c>
      <c r="F38" s="27">
        <f t="shared" si="3"/>
        <v>4.1500000000000004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Dec 31,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3.6601892357883661</v>
      </c>
      <c r="J83" s="35">
        <v>3.6703281387590647</v>
      </c>
      <c r="K83" s="35">
        <v>3.7243527515257937</v>
      </c>
      <c r="L83" s="35">
        <v>3.5448450013436821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3.8716235198891473</v>
      </c>
      <c r="J84" s="35">
        <v>3.881762422859846</v>
      </c>
      <c r="K84" s="35">
        <v>3.9382424014831718</v>
      </c>
      <c r="L84" s="35">
        <v>3.7983636655625812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5.1982989736050556</v>
      </c>
      <c r="J85" s="35">
        <v>5.2084378765757542</v>
      </c>
      <c r="K85" s="35">
        <v>5.3908184336048866</v>
      </c>
      <c r="L85" s="35">
        <v>4.7251260196058755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5.5162626021985064</v>
      </c>
      <c r="J86" s="35">
        <v>5.526401505169205</v>
      </c>
      <c r="K86" s="35">
        <v>5.7676211178699015</v>
      </c>
      <c r="L86" s="35">
        <v>5.1766892767756802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5.024824674558694</v>
      </c>
      <c r="J87" s="35">
        <v>5.0349635775293926</v>
      </c>
      <c r="K87" s="35">
        <v>5.2208035836387641</v>
      </c>
      <c r="L87" s="35">
        <v>4.7651072836160457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5.340630637835118</v>
      </c>
      <c r="J88" s="35">
        <v>5.3507695408058167</v>
      </c>
      <c r="K88" s="35">
        <v>5.7566802572121851</v>
      </c>
      <c r="L88" s="35">
        <v>3.5286560700397911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7.7551613210990569</v>
      </c>
      <c r="J89" s="35">
        <v>7.7653002240697555</v>
      </c>
      <c r="K89" s="35">
        <v>8.2222992521523324</v>
      </c>
      <c r="L89" s="35">
        <v>5.3872425173140615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5.2356439328804623</v>
      </c>
      <c r="J90" s="35">
        <v>5.2457828358511609</v>
      </c>
      <c r="K90" s="35">
        <v>4.7067201022792764</v>
      </c>
      <c r="L90" s="35">
        <v>4.2374884271805682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3.6712112045016729</v>
      </c>
      <c r="J91" s="35">
        <v>3.681350107472372</v>
      </c>
      <c r="K91" s="35">
        <v>3.4570850644419959</v>
      </c>
      <c r="L91" s="35">
        <v>3.4114320184683327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3.1845438619081414</v>
      </c>
      <c r="J92" s="35">
        <v>3.1946827648788405</v>
      </c>
      <c r="K92" s="35">
        <v>3.0237802123049904</v>
      </c>
      <c r="L92" s="35">
        <v>3.0952621901033823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3.0963354060630639</v>
      </c>
      <c r="J93" s="35">
        <v>3.1064743090337625</v>
      </c>
      <c r="K93" s="35">
        <v>2.8835050157897957</v>
      </c>
      <c r="L93" s="35">
        <v>3.0054298102981032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3.2727523177532194</v>
      </c>
      <c r="J94" s="35">
        <v>3.282891220723918</v>
      </c>
      <c r="K94" s="35">
        <v>2.9722061644167903</v>
      </c>
      <c r="L94" s="35">
        <v>3.1098160393455783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3.5328151789516378</v>
      </c>
      <c r="J95" s="35">
        <v>3.5429540819223364</v>
      </c>
      <c r="K95" s="35">
        <v>3.1996290743816242</v>
      </c>
      <c r="L95" s="35">
        <v>3.3346479172939878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3.6737459302443476</v>
      </c>
      <c r="J96" s="35">
        <v>3.6838848332150462</v>
      </c>
      <c r="K96" s="35">
        <v>3.3039681371273302</v>
      </c>
      <c r="L96" s="35">
        <v>3.4691455585666966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3.6184889090540402</v>
      </c>
      <c r="J97" s="35">
        <v>3.6286278120247393</v>
      </c>
      <c r="K97" s="35">
        <v>3.2202897622404514</v>
      </c>
      <c r="L97" s="35">
        <v>3.3391646291277728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3.4826276092466797</v>
      </c>
      <c r="J98" s="35">
        <v>3.4927665122173783</v>
      </c>
      <c r="K98" s="35">
        <v>3.2688087209465193</v>
      </c>
      <c r="L98" s="35">
        <v>3.3075476462912774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4.1746077369968573</v>
      </c>
      <c r="J99" s="35">
        <v>4.1847466399675559</v>
      </c>
      <c r="K99" s="35">
        <v>3.7469560685365177</v>
      </c>
      <c r="L99" s="35">
        <v>3.6387731807688444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4.736809906722093</v>
      </c>
      <c r="J100" s="35">
        <v>4.7469488096927916</v>
      </c>
      <c r="K100" s="35">
        <v>4.1653479429709117</v>
      </c>
      <c r="L100" s="35">
        <v>4.0673589481079988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4.7413724130589072</v>
      </c>
      <c r="J101" s="35">
        <v>4.7515113160296059</v>
      </c>
      <c r="K101" s="35">
        <v>4.0364128232504122</v>
      </c>
      <c r="L101" s="35">
        <v>4.3077483890394461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4.5588721595863326</v>
      </c>
      <c r="J102" s="35">
        <v>4.5690110625570313</v>
      </c>
      <c r="K102" s="35">
        <v>4.2585022724396584</v>
      </c>
      <c r="L102" s="35">
        <v>4.1898120244906156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3.9388782429281148</v>
      </c>
      <c r="J103" s="35">
        <v>3.9490171458988139</v>
      </c>
      <c r="K103" s="35">
        <v>3.5093840487462957</v>
      </c>
      <c r="L103" s="35">
        <v>3.5660039345578642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2.7455293632768938</v>
      </c>
      <c r="J104" s="35">
        <v>2.7556682662475924</v>
      </c>
      <c r="K104" s="35">
        <v>2.6727556433952433</v>
      </c>
      <c r="L104" s="35">
        <v>2.6932748368965167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2.6796264939673526</v>
      </c>
      <c r="J105" s="35">
        <v>2.6897653969380513</v>
      </c>
      <c r="K105" s="35">
        <v>2.5461506764407766</v>
      </c>
      <c r="L105" s="35">
        <v>2.5753384723476866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2.7217029412957516</v>
      </c>
      <c r="J106" s="35">
        <v>2.7318418442664507</v>
      </c>
      <c r="K106" s="35">
        <v>2.6002102206127451</v>
      </c>
      <c r="L106" s="35">
        <v>2.5944090334236676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3.0025505535841024</v>
      </c>
      <c r="J107" s="35">
        <v>3.012689456554801</v>
      </c>
      <c r="K107" s="35">
        <v>2.8334326219063728</v>
      </c>
      <c r="L107" s="35">
        <v>2.8021777777777777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3.0223214143769641</v>
      </c>
      <c r="J108" s="35">
        <v>3.0324603173476632</v>
      </c>
      <c r="K108" s="35">
        <v>2.8718542519596304</v>
      </c>
      <c r="L108" s="35">
        <v>2.8192409113720767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3.0040713890297073</v>
      </c>
      <c r="J109" s="35">
        <v>3.0142102920004059</v>
      </c>
      <c r="K109" s="35">
        <v>2.879983896054457</v>
      </c>
      <c r="L109" s="35">
        <v>2.8162297701495533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2.9234671104126537</v>
      </c>
      <c r="J110" s="35">
        <v>2.9336060133833524</v>
      </c>
      <c r="K110" s="35">
        <v>2.9138487829208053</v>
      </c>
      <c r="L110" s="35">
        <v>2.816731627019974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3.6027736094494576</v>
      </c>
      <c r="J111" s="35">
        <v>3.6129125124201567</v>
      </c>
      <c r="K111" s="35">
        <v>3.3568367143299929</v>
      </c>
      <c r="L111" s="35">
        <v>3.2207264077085211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3.9510449264929535</v>
      </c>
      <c r="J112" s="35">
        <v>3.9611838294636521</v>
      </c>
      <c r="K112" s="35">
        <v>3.7405352031367824</v>
      </c>
      <c r="L112" s="35">
        <v>3.5102978219411822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4.0763617672107886</v>
      </c>
      <c r="J113" s="35">
        <v>4.0865006701814863</v>
      </c>
      <c r="K113" s="35">
        <v>3.5428346862320153</v>
      </c>
      <c r="L113" s="35">
        <v>3.8309843621399176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4.0185700202778056</v>
      </c>
      <c r="J114" s="35">
        <v>4.0287089232485052</v>
      </c>
      <c r="K114" s="35">
        <v>3.7814423294738084</v>
      </c>
      <c r="L114" s="35">
        <v>3.732118558667068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3.1777507969177736</v>
      </c>
      <c r="J115" s="35">
        <v>3.1878896998884723</v>
      </c>
      <c r="K115" s="35">
        <v>3.0793931916543142</v>
      </c>
      <c r="L115" s="35">
        <v>3.1434404496637556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2.44156505221535</v>
      </c>
      <c r="J116" s="35">
        <v>2.4517039551860491</v>
      </c>
      <c r="K116" s="35">
        <v>2.4412420207967074</v>
      </c>
      <c r="L116" s="35">
        <v>2.4373278329820334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2.3914788715400994</v>
      </c>
      <c r="J117" s="35">
        <v>2.4016177745107981</v>
      </c>
      <c r="K117" s="35">
        <v>2.3653826029691842</v>
      </c>
      <c r="L117" s="35">
        <v>2.3595400180668471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2.5363637949913818</v>
      </c>
      <c r="J118" s="35">
        <v>2.5465026979620808</v>
      </c>
      <c r="K118" s="35">
        <v>2.4384458374774671</v>
      </c>
      <c r="L118" s="35">
        <v>2.4057108501455384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2.9095768133427966</v>
      </c>
      <c r="J119" s="35">
        <v>2.9197157163134952</v>
      </c>
      <c r="K119" s="35">
        <v>2.6462954642076228</v>
      </c>
      <c r="L119" s="35">
        <v>2.6315464418347889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2.9610824404339451</v>
      </c>
      <c r="J120" s="35">
        <v>2.9712213434046437</v>
      </c>
      <c r="K120" s="35">
        <v>2.7048081892213434</v>
      </c>
      <c r="L120" s="35">
        <v>2.6686838502459098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2.918701826016425</v>
      </c>
      <c r="J121" s="35">
        <v>2.9288407289871237</v>
      </c>
      <c r="K121" s="35">
        <v>2.7121093345549143</v>
      </c>
      <c r="L121" s="35">
        <v>2.6706912777275917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2.7386349092568185</v>
      </c>
      <c r="J122" s="35">
        <v>2.7487738122275172</v>
      </c>
      <c r="K122" s="35">
        <v>2.7513076821968494</v>
      </c>
      <c r="L122" s="35">
        <v>2.6812302720064234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3.3296315634188383</v>
      </c>
      <c r="J123" s="35">
        <v>3.3397704663895369</v>
      </c>
      <c r="K123" s="35">
        <v>3.2515138093052958</v>
      </c>
      <c r="L123" s="35">
        <v>3.101284472548429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3.7373168518706277</v>
      </c>
      <c r="J124" s="35">
        <v>3.7474557548413263</v>
      </c>
      <c r="K124" s="35">
        <v>3.6182280735063324</v>
      </c>
      <c r="L124" s="35">
        <v>3.4289970089330519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3.8428628317956002</v>
      </c>
      <c r="J125" s="35">
        <v>3.8530017347662988</v>
      </c>
      <c r="K125" s="35">
        <v>3.4909499513083446</v>
      </c>
      <c r="L125" s="35">
        <v>3.7777875338753386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3.6207194677075942</v>
      </c>
      <c r="J126" s="35">
        <v>3.6308583706782929</v>
      </c>
      <c r="K126" s="35">
        <v>3.5700715830083141</v>
      </c>
      <c r="L126" s="35">
        <v>3.3382612867610155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2.9276240606306398</v>
      </c>
      <c r="J127" s="35">
        <v>2.9377629636013385</v>
      </c>
      <c r="K127" s="35">
        <v>3.023521306442098</v>
      </c>
      <c r="L127" s="35">
        <v>2.8958242697982532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2.4469386707898204</v>
      </c>
      <c r="J128" s="35">
        <v>2.4570775737605195</v>
      </c>
      <c r="K128" s="35">
        <v>2.4440382041159467</v>
      </c>
      <c r="L128" s="35">
        <v>2.4426475158084915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2.4297025357396329</v>
      </c>
      <c r="J129" s="35">
        <v>2.439841438710332</v>
      </c>
      <c r="K129" s="35">
        <v>2.4292287887584916</v>
      </c>
      <c r="L129" s="35">
        <v>2.3972796547224733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2.5195332160600223</v>
      </c>
      <c r="J130" s="35">
        <v>2.529672119030721</v>
      </c>
      <c r="K130" s="35">
        <v>2.4764014369775178</v>
      </c>
      <c r="L130" s="35">
        <v>2.389049202047576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2.7952099878333168</v>
      </c>
      <c r="J131" s="35">
        <v>2.8053488908040154</v>
      </c>
      <c r="K131" s="35">
        <v>2.6377515707321675</v>
      </c>
      <c r="L131" s="35">
        <v>2.5183275318679113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2.8569559069248704</v>
      </c>
      <c r="J132" s="35">
        <v>2.8670948098955695</v>
      </c>
      <c r="K132" s="35">
        <v>2.704704626876187</v>
      </c>
      <c r="L132" s="35">
        <v>2.5656024490615277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2.8288711456960356</v>
      </c>
      <c r="J133" s="35">
        <v>2.8390100486667347</v>
      </c>
      <c r="K133" s="35">
        <v>2.6439653114415895</v>
      </c>
      <c r="L133" s="35">
        <v>2.5816618689149853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2.7468474206630842</v>
      </c>
      <c r="J134" s="35">
        <v>2.7569863236337828</v>
      </c>
      <c r="K134" s="35">
        <v>2.6825422850125822</v>
      </c>
      <c r="L134" s="35">
        <v>2.6893603533072366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3.1611229960458278</v>
      </c>
      <c r="J135" s="35">
        <v>3.1712618990165269</v>
      </c>
      <c r="K135" s="35">
        <v>3.1542687672028462</v>
      </c>
      <c r="L135" s="35">
        <v>2.9345676201947204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3.5105095924161005</v>
      </c>
      <c r="J136" s="35">
        <v>3.5206484953867991</v>
      </c>
      <c r="K136" s="35">
        <v>3.4688393906173185</v>
      </c>
      <c r="L136" s="35">
        <v>3.2044662451068953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3.6277153107573761</v>
      </c>
      <c r="J137" s="35">
        <v>3.6378542137280752</v>
      </c>
      <c r="K137" s="35">
        <v>3.538640411253156</v>
      </c>
      <c r="L137" s="35">
        <v>3.5647994780688546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3.2227675261076754</v>
      </c>
      <c r="J138" s="35">
        <v>3.232906429078374</v>
      </c>
      <c r="K138" s="35">
        <v>3.3587526177153979</v>
      </c>
      <c r="L138" s="35">
        <v>2.9443036434808794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2.6774973243435056</v>
      </c>
      <c r="J139" s="35">
        <v>2.6876362273142047</v>
      </c>
      <c r="K139" s="35">
        <v>2.96770120240246</v>
      </c>
      <c r="L139" s="35">
        <v>2.6482080899327514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2.4522109003345838</v>
      </c>
      <c r="J140" s="35">
        <v>2.4623498033052824</v>
      </c>
      <c r="K140" s="35">
        <v>2.4468343874351861</v>
      </c>
      <c r="L140" s="35">
        <v>2.447866827260865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2.4678248109094594</v>
      </c>
      <c r="J141" s="35">
        <v>2.4779637138801585</v>
      </c>
      <c r="K141" s="35">
        <v>2.4930749745477998</v>
      </c>
      <c r="L141" s="35">
        <v>2.4351196627521832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2.5027026371286629</v>
      </c>
      <c r="J142" s="35">
        <v>2.5128415400993616</v>
      </c>
      <c r="K142" s="35">
        <v>2.5143052553049903</v>
      </c>
      <c r="L142" s="35">
        <v>2.3723875539496135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2.6808431623238365</v>
      </c>
      <c r="J143" s="35">
        <v>2.6909820652945355</v>
      </c>
      <c r="K143" s="35">
        <v>2.629207677256713</v>
      </c>
      <c r="L143" s="35">
        <v>2.405108621901034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2.7529307624455033</v>
      </c>
      <c r="J144" s="35">
        <v>2.7630696654162024</v>
      </c>
      <c r="K144" s="35">
        <v>2.7046528457036079</v>
      </c>
      <c r="L144" s="35">
        <v>2.4626214192512292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2.7389390763459391</v>
      </c>
      <c r="J145" s="35">
        <v>2.7490779793166378</v>
      </c>
      <c r="K145" s="35">
        <v>2.5758212883282647</v>
      </c>
      <c r="L145" s="35">
        <v>2.492732831476463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2.7550599320693503</v>
      </c>
      <c r="J146" s="35">
        <v>2.7651988350400489</v>
      </c>
      <c r="K146" s="35">
        <v>2.613673325483159</v>
      </c>
      <c r="L146" s="35">
        <v>2.6974904346080493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2.9927158177025244</v>
      </c>
      <c r="J147" s="35">
        <v>3.0028547206732235</v>
      </c>
      <c r="K147" s="35">
        <v>3.0569201627552394</v>
      </c>
      <c r="L147" s="35">
        <v>2.7677503964669277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3.2837023329615733</v>
      </c>
      <c r="J148" s="35">
        <v>3.2938412359322724</v>
      </c>
      <c r="K148" s="35">
        <v>3.3193989265557269</v>
      </c>
      <c r="L148" s="35">
        <v>2.9799354812807386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3.4125677897191524</v>
      </c>
      <c r="J149" s="35">
        <v>3.4227066926898511</v>
      </c>
      <c r="K149" s="35">
        <v>3.5862790900253887</v>
      </c>
      <c r="L149" s="35">
        <v>3.3519117936364546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3.2834995549021597</v>
      </c>
      <c r="J150" s="35">
        <v>3.2936384578728584</v>
      </c>
      <c r="K150" s="35">
        <v>3.4216667423982927</v>
      </c>
      <c r="L150" s="35">
        <v>3.0044260965572618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2.6896640079083443</v>
      </c>
      <c r="J151" s="35">
        <v>2.6998029108790429</v>
      </c>
      <c r="K151" s="35">
        <v>2.9555326268465087</v>
      </c>
      <c r="L151" s="35">
        <v>2.6602526548228447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2.5164915451688126</v>
      </c>
      <c r="J152" s="35">
        <v>2.5266304481395117</v>
      </c>
      <c r="K152" s="35">
        <v>2.5064862982456351</v>
      </c>
      <c r="L152" s="35">
        <v>2.5115022784301915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2.5333221241001724</v>
      </c>
      <c r="J153" s="35">
        <v>2.5434610270708711</v>
      </c>
      <c r="K153" s="35">
        <v>2.4896056359850394</v>
      </c>
      <c r="L153" s="35">
        <v>2.4998591990364347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2.5528902068336206</v>
      </c>
      <c r="J154" s="35">
        <v>2.5630291098043192</v>
      </c>
      <c r="K154" s="35">
        <v>2.4614884592749062</v>
      </c>
      <c r="L154" s="35">
        <v>2.4220713841212484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2.6993973547602153</v>
      </c>
      <c r="J155" s="35">
        <v>2.7095362577309139</v>
      </c>
      <c r="K155" s="35">
        <v>2.6405477540514077</v>
      </c>
      <c r="L155" s="35">
        <v>2.4233762119843418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2.7593182713170434</v>
      </c>
      <c r="J156" s="35">
        <v>2.7694571742877425</v>
      </c>
      <c r="K156" s="35">
        <v>2.7495989035017581</v>
      </c>
      <c r="L156" s="35">
        <v>2.4689448158185288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2.7261640586028588</v>
      </c>
      <c r="J157" s="35">
        <v>2.7363029615735579</v>
      </c>
      <c r="K157" s="35">
        <v>2.609064801123671</v>
      </c>
      <c r="L157" s="35">
        <v>2.4799856669677807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2.7470501987224982</v>
      </c>
      <c r="J158" s="35">
        <v>2.7571891016931969</v>
      </c>
      <c r="K158" s="35">
        <v>2.6353178556209778</v>
      </c>
      <c r="L158" s="35">
        <v>2.6895610960554048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3.0406728287539289</v>
      </c>
      <c r="J159" s="35">
        <v>3.0508117317246275</v>
      </c>
      <c r="K159" s="35">
        <v>3.0893869579619677</v>
      </c>
      <c r="L159" s="35">
        <v>2.8152260564087119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3.2978967971205519</v>
      </c>
      <c r="J160" s="35">
        <v>3.3080357000912506</v>
      </c>
      <c r="K160" s="35">
        <v>3.3826237382740927</v>
      </c>
      <c r="L160" s="35">
        <v>2.9938871022784301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3.3295301743891308</v>
      </c>
      <c r="J161" s="35">
        <v>3.3396690773598299</v>
      </c>
      <c r="K161" s="35">
        <v>3.4577064385129388</v>
      </c>
      <c r="L161" s="35">
        <v>3.2696072668874838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3.1487535344215756</v>
      </c>
      <c r="J162" s="35">
        <v>3.1588924373922747</v>
      </c>
      <c r="K162" s="35">
        <v>3.3064018522385199</v>
      </c>
      <c r="L162" s="35">
        <v>2.8710325403994781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2.6944292923045725</v>
      </c>
      <c r="J163" s="35">
        <v>2.7045681952752716</v>
      </c>
      <c r="K163" s="35">
        <v>2.9484386062032524</v>
      </c>
      <c r="L163" s="35">
        <v>2.6649701094047975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2.6113916769745513</v>
      </c>
      <c r="J164" s="35">
        <v>2.62153057994525</v>
      </c>
      <c r="K164" s="35">
        <v>2.5936340116952739</v>
      </c>
      <c r="L164" s="35">
        <v>2.6054498845729195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2.5933444296867081</v>
      </c>
      <c r="J165" s="35">
        <v>2.6034833326574067</v>
      </c>
      <c r="K165" s="35">
        <v>2.5735429167348105</v>
      </c>
      <c r="L165" s="35">
        <v>2.5593794238683123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2.615954183311366</v>
      </c>
      <c r="J166" s="35">
        <v>2.6260930862820646</v>
      </c>
      <c r="K166" s="35">
        <v>2.5791352833732901</v>
      </c>
      <c r="L166" s="35">
        <v>2.4845023788015657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2.7454279742471863</v>
      </c>
      <c r="J167" s="35">
        <v>2.7555668772178854</v>
      </c>
      <c r="K167" s="35">
        <v>2.7531718044096758</v>
      </c>
      <c r="L167" s="35">
        <v>2.4690451871926125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2.8253225296562912</v>
      </c>
      <c r="J168" s="35">
        <v>2.8354614326269902</v>
      </c>
      <c r="K168" s="35">
        <v>2.8137557763265373</v>
      </c>
      <c r="L168" s="35">
        <v>2.5343869517213693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2.8420517195579436</v>
      </c>
      <c r="J169" s="35">
        <v>2.8521906225286426</v>
      </c>
      <c r="K169" s="35">
        <v>2.7454046285228983</v>
      </c>
      <c r="L169" s="35">
        <v>2.5948105189200041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2.8639517499746527</v>
      </c>
      <c r="J170" s="35">
        <v>2.8740906529453518</v>
      </c>
      <c r="K170" s="35">
        <v>2.7779749860747844</v>
      </c>
      <c r="L170" s="35">
        <v>2.8052892903743851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3.2255050299097636</v>
      </c>
      <c r="J171" s="35">
        <v>3.2356439328804627</v>
      </c>
      <c r="K171" s="35">
        <v>3.3369009628872655</v>
      </c>
      <c r="L171" s="35">
        <v>2.9982030713640468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3.5472124211700296</v>
      </c>
      <c r="J172" s="35">
        <v>3.5573513241407282</v>
      </c>
      <c r="K172" s="35">
        <v>3.6422545375827626</v>
      </c>
      <c r="L172" s="35">
        <v>3.2408006825253435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3.4729956514245157</v>
      </c>
      <c r="J173" s="35">
        <v>3.4831345543952148</v>
      </c>
      <c r="K173" s="35">
        <v>3.6590316374982015</v>
      </c>
      <c r="L173" s="35">
        <v>3.4116327612165009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3.395635821758086</v>
      </c>
      <c r="J174" s="35">
        <v>3.4057747247287846</v>
      </c>
      <c r="K174" s="35">
        <v>3.541488375744974</v>
      </c>
      <c r="L174" s="35">
        <v>3.1154368362942888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2.8159947389232483</v>
      </c>
      <c r="J175" s="35">
        <v>2.8261336418939473</v>
      </c>
      <c r="K175" s="35">
        <v>3.2004057919703017</v>
      </c>
      <c r="L175" s="35">
        <v>2.7853153869316469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2.6106819537666026</v>
      </c>
      <c r="J176" s="35">
        <v>2.6208208567373013</v>
      </c>
      <c r="K176" s="35">
        <v>2.6794354146578718</v>
      </c>
      <c r="L176" s="35">
        <v>2.6046469135802468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2.5826985815674743</v>
      </c>
      <c r="J177" s="35">
        <v>2.5928374845381734</v>
      </c>
      <c r="K177" s="35">
        <v>2.6521985178815735</v>
      </c>
      <c r="L177" s="35">
        <v>2.5488404295894811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2.602570831390044</v>
      </c>
      <c r="J178" s="35">
        <v>2.6127097343607426</v>
      </c>
      <c r="K178" s="35">
        <v>2.6343857945145643</v>
      </c>
      <c r="L178" s="35">
        <v>2.4712533574224631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2.7850710848626177</v>
      </c>
      <c r="J179" s="35">
        <v>2.7952099878333168</v>
      </c>
      <c r="K179" s="35">
        <v>2.7983249868981397</v>
      </c>
      <c r="L179" s="35">
        <v>2.5082903944594999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2.8972073517185444</v>
      </c>
      <c r="J180" s="35">
        <v>2.907346254689243</v>
      </c>
      <c r="K180" s="35">
        <v>2.8952593419651187</v>
      </c>
      <c r="L180" s="35">
        <v>2.6054498845729195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2.9216421078779278</v>
      </c>
      <c r="J181" s="35">
        <v>2.9317810108486264</v>
      </c>
      <c r="K181" s="35">
        <v>2.8316202808661251</v>
      </c>
      <c r="L181" s="35">
        <v>2.6736020475760314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2.9441504724728786</v>
      </c>
      <c r="J182" s="35">
        <v>2.9542893754435773</v>
      </c>
      <c r="K182" s="35">
        <v>2.8963985277618458</v>
      </c>
      <c r="L182" s="35">
        <v>2.8846830472749172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3.2891773405657512</v>
      </c>
      <c r="J183" s="35">
        <v>3.2993162435364498</v>
      </c>
      <c r="K183" s="35">
        <v>3.4665092378512861</v>
      </c>
      <c r="L183" s="35">
        <v>3.0612362942888685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3.5727624566561897</v>
      </c>
      <c r="J184" s="35">
        <v>3.5829013596268884</v>
      </c>
      <c r="K184" s="35">
        <v>3.7711896573032626</v>
      </c>
      <c r="L184" s="35">
        <v>3.2660942687945393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3.5613054962993003</v>
      </c>
      <c r="J185" s="35">
        <v>3.5714443992699993</v>
      </c>
      <c r="K185" s="35">
        <v>3.6980228604498224</v>
      </c>
      <c r="L185" s="35">
        <v>3.4991565994178457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3.4669123096420971</v>
      </c>
      <c r="J186" s="35">
        <v>3.4770512126127957</v>
      </c>
      <c r="K186" s="35">
        <v>3.5807385045594877</v>
      </c>
      <c r="L186" s="35">
        <v>3.1859979122754192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3.002753331643516</v>
      </c>
      <c r="J187" s="35">
        <v>3.0128922346142151</v>
      </c>
      <c r="K187" s="35">
        <v>3.2912299686730155</v>
      </c>
      <c r="L187" s="35">
        <v>2.9701994579945796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2.8387058815776132</v>
      </c>
      <c r="J188" s="35">
        <v>2.8488447845483122</v>
      </c>
      <c r="K188" s="35">
        <v>2.8622747350326052</v>
      </c>
      <c r="L188" s="35">
        <v>2.8304825052694973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2.7926752620906421</v>
      </c>
      <c r="J189" s="35">
        <v>2.8028141650613407</v>
      </c>
      <c r="K189" s="35">
        <v>2.8450833857365385</v>
      </c>
      <c r="L189" s="35">
        <v>2.7566091739435912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2.8101141752002432</v>
      </c>
      <c r="J190" s="35">
        <v>2.8202530781709423</v>
      </c>
      <c r="K190" s="35">
        <v>2.861083768063299</v>
      </c>
      <c r="L190" s="35">
        <v>2.6767135601726388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3.004679723207949</v>
      </c>
      <c r="J191" s="35">
        <v>3.0148186261786476</v>
      </c>
      <c r="K191" s="35">
        <v>3.0035855549993697</v>
      </c>
      <c r="L191" s="35">
        <v>2.7255944193516006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3.0821409419040862</v>
      </c>
      <c r="J192" s="35">
        <v>3.0922798448747848</v>
      </c>
      <c r="K192" s="35">
        <v>3.0585253791051739</v>
      </c>
      <c r="L192" s="35">
        <v>2.7885272709023385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3.1018104136672413</v>
      </c>
      <c r="J193" s="35">
        <v>3.1119493166379399</v>
      </c>
      <c r="K193" s="35">
        <v>3.0067959876992378</v>
      </c>
      <c r="L193" s="35">
        <v>2.8519619793234967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3.1264479478860387</v>
      </c>
      <c r="J194" s="35">
        <v>3.1365868508567374</v>
      </c>
      <c r="K194" s="35">
        <v>3.037450441865718</v>
      </c>
      <c r="L194" s="35">
        <v>3.065150777878149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3.4330483737199633</v>
      </c>
      <c r="J195" s="35">
        <v>3.4431872766906624</v>
      </c>
      <c r="K195" s="35">
        <v>3.5883503369285297</v>
      </c>
      <c r="L195" s="35">
        <v>3.2036632741142226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3.7175459910777655</v>
      </c>
      <c r="J196" s="35">
        <v>3.7276848940484641</v>
      </c>
      <c r="K196" s="35">
        <v>3.8733539108006707</v>
      </c>
      <c r="L196" s="35">
        <v>3.4094245909866507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3.7628668873567879</v>
      </c>
      <c r="J197" s="35">
        <v>3.7730057903274865</v>
      </c>
      <c r="K197" s="35">
        <v>3.8769785928811675</v>
      </c>
      <c r="L197" s="35">
        <v>3.6985945197229748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3.6026722204197505</v>
      </c>
      <c r="J198" s="35">
        <v>3.6128111233904492</v>
      </c>
      <c r="K198" s="35">
        <v>3.7256740066067486</v>
      </c>
      <c r="L198" s="35">
        <v>3.3203951821740438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3.0495950633681432</v>
      </c>
      <c r="J199" s="35">
        <v>3.0597339663388423</v>
      </c>
      <c r="K199" s="35">
        <v>3.3914265376124404</v>
      </c>
      <c r="L199" s="35">
        <v>3.0165710328214392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2.9797380219000305</v>
      </c>
      <c r="J200" s="35">
        <v>2.9898769248707291</v>
      </c>
      <c r="K200" s="35">
        <v>2.9509241024870212</v>
      </c>
      <c r="L200" s="35">
        <v>2.9700990866204959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2.9661518919192944</v>
      </c>
      <c r="J201" s="35">
        <v>2.9762907948899935</v>
      </c>
      <c r="K201" s="35">
        <v>2.9312990380797643</v>
      </c>
      <c r="L201" s="35">
        <v>2.9283445950015059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2.9897755358410221</v>
      </c>
      <c r="J202" s="35">
        <v>2.9999144388117207</v>
      </c>
      <c r="K202" s="35">
        <v>2.9397911503826406</v>
      </c>
      <c r="L202" s="35">
        <v>2.8545716350496839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3.1674091158876609</v>
      </c>
      <c r="J203" s="35">
        <v>3.1775480188583596</v>
      </c>
      <c r="K203" s="35">
        <v>3.1267729645636546</v>
      </c>
      <c r="L203" s="35">
        <v>2.8867908461306833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3.2185091868599818</v>
      </c>
      <c r="J204" s="35">
        <v>3.2286480898306809</v>
      </c>
      <c r="K204" s="35">
        <v>3.1778292007260696</v>
      </c>
      <c r="L204" s="35">
        <v>2.923526769045468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3.2220578028997262</v>
      </c>
      <c r="J205" s="35">
        <v>3.2321967058704248</v>
      </c>
      <c r="K205" s="35">
        <v>3.0148220694489072</v>
      </c>
      <c r="L205" s="35">
        <v>2.9710024289872528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3.2469995042076447</v>
      </c>
      <c r="J206" s="35">
        <v>3.2571384071783434</v>
      </c>
      <c r="K206" s="35">
        <v>3.0997431924776704</v>
      </c>
      <c r="L206" s="35">
        <v>3.1844923416641575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3.5817860803001116</v>
      </c>
      <c r="J207" s="35">
        <v>3.5919249832708102</v>
      </c>
      <c r="K207" s="35">
        <v>3.6856989413761356</v>
      </c>
      <c r="L207" s="35">
        <v>3.3509080798956137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3.8828101095001522</v>
      </c>
      <c r="J208" s="35">
        <v>3.8929490124708508</v>
      </c>
      <c r="K208" s="35">
        <v>4.004619183287204</v>
      </c>
      <c r="L208" s="35">
        <v>3.5730299307437514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3.9176879357193553</v>
      </c>
      <c r="J209" s="35">
        <v>3.9278268386900543</v>
      </c>
      <c r="K209" s="35">
        <v>4.0013569694147577</v>
      </c>
      <c r="L209" s="35">
        <v>3.8519619793234972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3.7204862729392678</v>
      </c>
      <c r="J210" s="35">
        <v>3.7306251759099669</v>
      </c>
      <c r="K210" s="35">
        <v>3.8163946209643056</v>
      </c>
      <c r="L210" s="35">
        <v>3.4370267188597809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3.2628161928419344</v>
      </c>
      <c r="J211" s="35">
        <v>3.2729550958126334</v>
      </c>
      <c r="K211" s="35">
        <v>3.5277663650116682</v>
      </c>
      <c r="L211" s="35">
        <v>3.2276520325203251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3.0340825418229747</v>
      </c>
      <c r="J212" s="35">
        <v>3.0442214447936733</v>
      </c>
      <c r="K212" s="35">
        <v>2.9888797019870719</v>
      </c>
      <c r="L212" s="35">
        <v>3.0238981431295793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2.9689907847510897</v>
      </c>
      <c r="J213" s="35">
        <v>2.9791296877217888</v>
      </c>
      <c r="K213" s="35">
        <v>2.9623677416268732</v>
      </c>
      <c r="L213" s="35">
        <v>2.9312553648499446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2.9933241518807665</v>
      </c>
      <c r="J214" s="35">
        <v>3.0034630548514651</v>
      </c>
      <c r="K214" s="35">
        <v>2.9550665962933018</v>
      </c>
      <c r="L214" s="35">
        <v>2.8580846331426275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3.2003605505424315</v>
      </c>
      <c r="J215" s="35">
        <v>3.2104994535131302</v>
      </c>
      <c r="K215" s="35">
        <v>3.1504887416046143</v>
      </c>
      <c r="L215" s="35">
        <v>2.9193111713339355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3.2621064696339857</v>
      </c>
      <c r="J216" s="35">
        <v>3.2722453726046843</v>
      </c>
      <c r="K216" s="35">
        <v>3.2260892535692447</v>
      </c>
      <c r="L216" s="35">
        <v>2.966686459901636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3.2784301034168104</v>
      </c>
      <c r="J217" s="35">
        <v>3.288569006387509</v>
      </c>
      <c r="K217" s="35">
        <v>3.0809984080042483</v>
      </c>
      <c r="L217" s="35">
        <v>3.0267085416039343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3.2823842755753825</v>
      </c>
      <c r="J218" s="35">
        <v>3.2925231785460816</v>
      </c>
      <c r="K218" s="35">
        <v>3.1673176226926314</v>
      </c>
      <c r="L218" s="35">
        <v>3.2195219512195119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3.6152444601034168</v>
      </c>
      <c r="J219" s="35">
        <v>3.6253833630741155</v>
      </c>
      <c r="K219" s="35">
        <v>3.7466453815010476</v>
      </c>
      <c r="L219" s="35">
        <v>3.3840306333433703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3.9509435374632464</v>
      </c>
      <c r="J220" s="35">
        <v>3.9610824404339455</v>
      </c>
      <c r="K220" s="35">
        <v>4.0737988298520991</v>
      </c>
      <c r="L220" s="35">
        <v>3.6404794941282743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3.9907894261380918</v>
      </c>
      <c r="J221" s="35">
        <v>4.0009283291087909</v>
      </c>
      <c r="K221" s="35">
        <v>4.0830158785710742</v>
      </c>
      <c r="L221" s="35">
        <v>3.9243297400381412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3.8146766815370579</v>
      </c>
      <c r="J222" s="35">
        <v>3.8248155845077569</v>
      </c>
      <c r="K222" s="35">
        <v>3.880913961997134</v>
      </c>
      <c r="L222" s="35">
        <v>3.5302717253839204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3.1986369370374126</v>
      </c>
      <c r="J223" s="35">
        <v>3.2087758400081112</v>
      </c>
      <c r="K223" s="35">
        <v>3.4866521139843281</v>
      </c>
      <c r="L223" s="35">
        <v>3.1640165813509986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2.9458740859778976</v>
      </c>
      <c r="J224" s="35">
        <v>2.9560129889485962</v>
      </c>
      <c r="K224" s="35">
        <v>2.9402571809358471</v>
      </c>
      <c r="L224" s="35">
        <v>2.9365750476764028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2.8947740150055763</v>
      </c>
      <c r="J225" s="35">
        <v>2.9049129179762754</v>
      </c>
      <c r="K225" s="35">
        <v>2.9039585789583091</v>
      </c>
      <c r="L225" s="35">
        <v>2.8577835190203755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2.907244865659536</v>
      </c>
      <c r="J226" s="35">
        <v>2.9173837686302346</v>
      </c>
      <c r="K226" s="35">
        <v>2.9001785533600777</v>
      </c>
      <c r="L226" s="35">
        <v>2.7728693365452175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3.1735938466997871</v>
      </c>
      <c r="J227" s="35">
        <v>3.1837327496704857</v>
      </c>
      <c r="K227" s="35">
        <v>3.1059569331870924</v>
      </c>
      <c r="L227" s="35">
        <v>2.8928131285757304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3.2455800577917469</v>
      </c>
      <c r="J228" s="35">
        <v>3.2557189607624459</v>
      </c>
      <c r="K228" s="35">
        <v>3.19175833614969</v>
      </c>
      <c r="L228" s="35">
        <v>2.9503259259259256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3.2713328713373211</v>
      </c>
      <c r="J229" s="35">
        <v>3.2814717743080202</v>
      </c>
      <c r="K229" s="35">
        <v>3.0992771619244639</v>
      </c>
      <c r="L229" s="35">
        <v>3.0197829167921308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3.2720425945452702</v>
      </c>
      <c r="J230" s="35">
        <v>3.2821814975159693</v>
      </c>
      <c r="K230" s="35">
        <v>3.1715118976714907</v>
      </c>
      <c r="L230" s="35">
        <v>3.2092840710629327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3.6538736804217784</v>
      </c>
      <c r="J231" s="35">
        <v>3.664012583392477</v>
      </c>
      <c r="K231" s="35">
        <v>3.7854812609349322</v>
      </c>
      <c r="L231" s="35">
        <v>3.4222721268694167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3.9981908253067018</v>
      </c>
      <c r="J232" s="35">
        <v>4.0083297282774009</v>
      </c>
      <c r="K232" s="35">
        <v>4.1774647373542839</v>
      </c>
      <c r="L232" s="35">
        <v>3.6872525544514705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4.0332714295853194</v>
      </c>
      <c r="J233" s="35">
        <v>4.043410332556018</v>
      </c>
      <c r="K233" s="35">
        <v>4.1704224978836058</v>
      </c>
      <c r="L233" s="35">
        <v>3.9662849744052995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3.9325921230862821</v>
      </c>
      <c r="J234" s="35">
        <v>3.9427310260569808</v>
      </c>
      <c r="K234" s="35">
        <v>4.034445138692428</v>
      </c>
      <c r="L234" s="35">
        <v>3.6470036334437417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3.4458233914630436</v>
      </c>
      <c r="J235" s="35">
        <v>3.4559622944337423</v>
      </c>
      <c r="K235" s="35">
        <v>3.6984371098304507</v>
      </c>
      <c r="L235" s="35">
        <v>3.4088223627421459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3.108299311568488</v>
      </c>
      <c r="J236" s="35">
        <v>3.1184382145391871</v>
      </c>
      <c r="K236" s="35">
        <v>3.0786164740656368</v>
      </c>
      <c r="L236" s="35">
        <v>3.0973699889591488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3.0146158481192336</v>
      </c>
      <c r="J237" s="35">
        <v>3.0247547510899322</v>
      </c>
      <c r="K237" s="35">
        <v>3.0325312304707599</v>
      </c>
      <c r="L237" s="35">
        <v>2.9763221118137104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3.0361103224171146</v>
      </c>
      <c r="J238" s="35">
        <v>3.0462492253878133</v>
      </c>
      <c r="K238" s="35">
        <v>3.0124401355102961</v>
      </c>
      <c r="L238" s="35">
        <v>2.9004413530061228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3.2944495701105141</v>
      </c>
      <c r="J239" s="35">
        <v>3.3045884730812132</v>
      </c>
      <c r="K239" s="35">
        <v>3.1777256383809127</v>
      </c>
      <c r="L239" s="35">
        <v>3.0125561778580749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3.4038483331643516</v>
      </c>
      <c r="J240" s="35">
        <v>3.4139872361350503</v>
      </c>
      <c r="K240" s="35">
        <v>3.281080858847627</v>
      </c>
      <c r="L240" s="35">
        <v>3.1070056408712237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3.4230108597789717</v>
      </c>
      <c r="J241" s="35">
        <v>3.4331497627496708</v>
      </c>
      <c r="K241" s="35">
        <v>3.2167686425051123</v>
      </c>
      <c r="L241" s="35">
        <v>3.1699384924219611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3.428181700294028</v>
      </c>
      <c r="J242" s="35">
        <v>3.4383206032647271</v>
      </c>
      <c r="K242" s="35">
        <v>3.2948546507535115</v>
      </c>
      <c r="L242" s="35">
        <v>3.3638559871524643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3.8465128368650512</v>
      </c>
      <c r="J243" s="35">
        <v>3.8566517398357498</v>
      </c>
      <c r="K243" s="35">
        <v>3.9485919545572514</v>
      </c>
      <c r="L243" s="35">
        <v>3.6129777376292278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4.1792716323633785</v>
      </c>
      <c r="J244" s="35">
        <v>4.1894105353340771</v>
      </c>
      <c r="K244" s="35">
        <v>4.3159275928292304</v>
      </c>
      <c r="L244" s="35">
        <v>3.8665158285656931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4.2170897404440844</v>
      </c>
      <c r="J245" s="35">
        <v>4.227228643414783</v>
      </c>
      <c r="K245" s="35">
        <v>4.3274230131416607</v>
      </c>
      <c r="L245" s="35">
        <v>4.1483586469938771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4.0678450887154014</v>
      </c>
      <c r="J246" s="35">
        <v>4.0779839916861</v>
      </c>
      <c r="K246" s="35">
        <v>4.1150684243971742</v>
      </c>
      <c r="L246" s="35">
        <v>3.7808990464719461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3.3625829980736088</v>
      </c>
      <c r="J247" s="35">
        <v>3.3727219010443075</v>
      </c>
      <c r="K247" s="35">
        <v>3.6050238744988112</v>
      </c>
      <c r="L247" s="35">
        <v>3.3264174646190905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3.2662634198519722</v>
      </c>
      <c r="J248" s="35">
        <v>3.2764023228226709</v>
      </c>
      <c r="K248" s="35">
        <v>3.1687157143522517</v>
      </c>
      <c r="L248" s="35">
        <v>3.2537485897821941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3.2507508983068032</v>
      </c>
      <c r="J249" s="35">
        <v>3.2608898012775023</v>
      </c>
      <c r="K249" s="35">
        <v>3.1660748745507474</v>
      </c>
      <c r="L249" s="35">
        <v>3.2101874134296895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3.20208416404745</v>
      </c>
      <c r="J250" s="35">
        <v>3.2122230670181491</v>
      </c>
      <c r="K250" s="35">
        <v>3.1316921759586136</v>
      </c>
      <c r="L250" s="35">
        <v>3.0647492923818129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3.4825262202169722</v>
      </c>
      <c r="J251" s="35">
        <v>3.4926651231876713</v>
      </c>
      <c r="K251" s="35">
        <v>3.2925762791600568</v>
      </c>
      <c r="L251" s="35">
        <v>3.198745076784101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3.621936136064078</v>
      </c>
      <c r="J252" s="35">
        <v>3.6320750390347767</v>
      </c>
      <c r="K252" s="35">
        <v>3.4280358266254498</v>
      </c>
      <c r="L252" s="35">
        <v>3.3229044665261469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3.5081776447328399</v>
      </c>
      <c r="J253" s="35">
        <v>3.5183165477035385</v>
      </c>
      <c r="K253" s="35">
        <v>3.2648215706579733</v>
      </c>
      <c r="L253" s="35">
        <v>3.2542504466526148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3.5077720886140118</v>
      </c>
      <c r="J254" s="35">
        <v>3.5179109915847109</v>
      </c>
      <c r="K254" s="35">
        <v>3.349587350169001</v>
      </c>
      <c r="L254" s="35">
        <v>3.4426475158084915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3.7969336013383352</v>
      </c>
      <c r="J255" s="35">
        <v>3.8070725043090343</v>
      </c>
      <c r="K255" s="35">
        <v>3.8794123079923573</v>
      </c>
      <c r="L255" s="35">
        <v>3.5639965070761819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4.150375758896887</v>
      </c>
      <c r="J256" s="35">
        <v>4.1605146618675857</v>
      </c>
      <c r="K256" s="35">
        <v>4.2768328075324531</v>
      </c>
      <c r="L256" s="35">
        <v>3.837909986951721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4.2031994433742268</v>
      </c>
      <c r="J257" s="35">
        <v>4.2133383463449254</v>
      </c>
      <c r="K257" s="35">
        <v>4.28946741364161</v>
      </c>
      <c r="L257" s="35">
        <v>4.1345073973702702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4.0547659038832</v>
      </c>
      <c r="J258" s="35">
        <v>4.0649048068538987</v>
      </c>
      <c r="K258" s="35">
        <v>4.0300437390232542</v>
      </c>
      <c r="L258" s="35">
        <v>3.7679511392150955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3.4685345341174085</v>
      </c>
      <c r="J259" s="35">
        <v>3.4786734370881076</v>
      </c>
      <c r="K259" s="35">
        <v>3.7042883823318222</v>
      </c>
      <c r="L259" s="35">
        <v>3.4313055505369867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3.2797481608030012</v>
      </c>
      <c r="J260" s="35">
        <v>3.2898870637736999</v>
      </c>
      <c r="K260" s="35">
        <v>3.1555632965173088</v>
      </c>
      <c r="L260" s="35">
        <v>3.2670979825353808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3.2721439835749773</v>
      </c>
      <c r="J261" s="35">
        <v>3.2822828865456759</v>
      </c>
      <c r="K261" s="35">
        <v>3.1613627878461021</v>
      </c>
      <c r="L261" s="35">
        <v>3.2312654019873528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3.2359480999695833</v>
      </c>
      <c r="J262" s="35">
        <v>3.246087002940282</v>
      </c>
      <c r="K262" s="35">
        <v>3.1355757639020023</v>
      </c>
      <c r="L262" s="35">
        <v>3.0981729599518215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3.4762401003751395</v>
      </c>
      <c r="J263" s="35">
        <v>3.4863790033458382</v>
      </c>
      <c r="K263" s="35">
        <v>3.2859482890700074</v>
      </c>
      <c r="L263" s="35">
        <v>3.1924216802168019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3.6105805647368956</v>
      </c>
      <c r="J264" s="35">
        <v>3.6207194677075942</v>
      </c>
      <c r="K264" s="35">
        <v>3.3992972758443742</v>
      </c>
      <c r="L264" s="35">
        <v>3.3116628726287263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3.6062208364594954</v>
      </c>
      <c r="J265" s="35">
        <v>3.6163597394301941</v>
      </c>
      <c r="K265" s="35">
        <v>3.3724228472761255</v>
      </c>
      <c r="L265" s="35">
        <v>3.3513095653919502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3.5956763773699687</v>
      </c>
      <c r="J266" s="35">
        <v>3.6058152803406673</v>
      </c>
      <c r="K266" s="35">
        <v>3.4845808670811871</v>
      </c>
      <c r="L266" s="35">
        <v>3.529669497139416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4.0900492862212312</v>
      </c>
      <c r="J267" s="35">
        <v>4.100188189191929</v>
      </c>
      <c r="K267" s="35">
        <v>4.1590306399163328</v>
      </c>
      <c r="L267" s="35">
        <v>3.8540697781792632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4.4271678099969582</v>
      </c>
      <c r="J268" s="35">
        <v>4.437306712967656</v>
      </c>
      <c r="K268" s="35">
        <v>4.5215506291385097</v>
      </c>
      <c r="L268" s="35">
        <v>4.1119238382013448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4.4761387113454321</v>
      </c>
      <c r="J269" s="35">
        <v>4.4862776143161307</v>
      </c>
      <c r="K269" s="35">
        <v>4.5663413434189248</v>
      </c>
      <c r="L269" s="35">
        <v>4.4048075077787816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4.3714038436581166</v>
      </c>
      <c r="J270" s="35">
        <v>4.3815427466288144</v>
      </c>
      <c r="K270" s="35">
        <v>4.374802786051001</v>
      </c>
      <c r="L270" s="35">
        <v>4.0814109404797749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3.6218347470343706</v>
      </c>
      <c r="J271" s="35">
        <v>3.6319736500050697</v>
      </c>
      <c r="K271" s="35">
        <v>3.8494310090693973</v>
      </c>
      <c r="L271" s="35">
        <v>3.5830670681521628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3.343724638548109</v>
      </c>
      <c r="J272" s="35">
        <v>3.3538635415188081</v>
      </c>
      <c r="K272" s="35">
        <v>3.2354098646333775</v>
      </c>
      <c r="L272" s="35">
        <v>3.3304323195824552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3.3289218402108891</v>
      </c>
      <c r="J273" s="35">
        <v>3.3390607431815877</v>
      </c>
      <c r="K273" s="35">
        <v>3.2381024856074605</v>
      </c>
      <c r="L273" s="35">
        <v>3.2875737428485396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3.3090495903883199</v>
      </c>
      <c r="J274" s="35">
        <v>3.3191884933590186</v>
      </c>
      <c r="K274" s="35">
        <v>3.2080176243393432</v>
      </c>
      <c r="L274" s="35">
        <v>3.1706410920405497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3.5070623654060631</v>
      </c>
      <c r="J275" s="35">
        <v>3.5172012683767617</v>
      </c>
      <c r="K275" s="35">
        <v>3.359581116476654</v>
      </c>
      <c r="L275" s="35">
        <v>3.2229345779383718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3.6785112146405758</v>
      </c>
      <c r="J276" s="35">
        <v>3.6886501176112749</v>
      </c>
      <c r="K276" s="35">
        <v>3.5057593666657989</v>
      </c>
      <c r="L276" s="35">
        <v>3.3789116932650805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3.6539750694514854</v>
      </c>
      <c r="J277" s="35">
        <v>3.6641139724221845</v>
      </c>
      <c r="K277" s="35">
        <v>3.4134335359583088</v>
      </c>
      <c r="L277" s="35">
        <v>3.3985844825855662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3.6510347875899831</v>
      </c>
      <c r="J278" s="35">
        <v>3.6611736905606818</v>
      </c>
      <c r="K278" s="35">
        <v>3.5515339232252061</v>
      </c>
      <c r="L278" s="35">
        <v>3.5844722673893403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4.1583854922437391</v>
      </c>
      <c r="J279" s="35">
        <v>4.1685243952144377</v>
      </c>
      <c r="K279" s="35">
        <v>4.233647309601972</v>
      </c>
      <c r="L279" s="35">
        <v>3.9218204556860381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4.5019929139207138</v>
      </c>
      <c r="J280" s="35">
        <v>4.5121318168914124</v>
      </c>
      <c r="K280" s="35">
        <v>4.575610173310479</v>
      </c>
      <c r="L280" s="35">
        <v>4.1859979122754192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4.6913876214133632</v>
      </c>
      <c r="J281" s="35">
        <v>4.7015265243840609</v>
      </c>
      <c r="K281" s="35">
        <v>4.7128820618161189</v>
      </c>
      <c r="L281" s="35">
        <v>4.6177955635852648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4.5021956919801278</v>
      </c>
      <c r="J282" s="35">
        <v>4.5123345949508264</v>
      </c>
      <c r="K282" s="35">
        <v>4.5010452847974189</v>
      </c>
      <c r="L282" s="35">
        <v>4.2108900130482789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3.7932835962688838</v>
      </c>
      <c r="J283" s="35">
        <v>3.8034224992395829</v>
      </c>
      <c r="K283" s="35">
        <v>4.041435596990528</v>
      </c>
      <c r="L283" s="35">
        <v>3.7527950617283947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3.5230818320997668</v>
      </c>
      <c r="J284" s="35">
        <v>3.5332207350704654</v>
      </c>
      <c r="K284" s="35">
        <v>3.4271037655190368</v>
      </c>
      <c r="L284" s="35">
        <v>3.5079892803372474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3.500979023623644</v>
      </c>
      <c r="J285" s="35">
        <v>3.5111179265943426</v>
      </c>
      <c r="K285" s="35">
        <v>3.4271037655190368</v>
      </c>
      <c r="L285" s="35">
        <v>3.457903964669276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3.4710692598600832</v>
      </c>
      <c r="J286" s="35">
        <v>3.4812081628307818</v>
      </c>
      <c r="K286" s="35">
        <v>3.3902873518157133</v>
      </c>
      <c r="L286" s="35">
        <v>3.3309341764528755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3.6789167707594039</v>
      </c>
      <c r="J287" s="35">
        <v>3.6890556737301026</v>
      </c>
      <c r="K287" s="35">
        <v>3.5380708183547922</v>
      </c>
      <c r="L287" s="35">
        <v>3.3931644283850244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3.8206586342897699</v>
      </c>
      <c r="J288" s="35">
        <v>3.830797537260469</v>
      </c>
      <c r="K288" s="35">
        <v>3.6626563195786974</v>
      </c>
      <c r="L288" s="35">
        <v>3.5196323597310046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3.8175155743688531</v>
      </c>
      <c r="J289" s="35">
        <v>3.8276544773395522</v>
      </c>
      <c r="K289" s="35">
        <v>3.5627186565021649</v>
      </c>
      <c r="L289" s="35">
        <v>3.5604835089832378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3.8280600334583799</v>
      </c>
      <c r="J290" s="35">
        <v>3.8381989364290789</v>
      </c>
      <c r="K290" s="35">
        <v>3.6487789653276552</v>
      </c>
      <c r="L290" s="35">
        <v>3.7597206865401986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4.3538635415188081</v>
      </c>
      <c r="J291" s="35">
        <v>4.3640024444895067</v>
      </c>
      <c r="K291" s="35">
        <v>4.3844340841506053</v>
      </c>
      <c r="L291" s="35">
        <v>4.1152360935461205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4.7340724029200043</v>
      </c>
      <c r="J292" s="35">
        <v>4.7442113058907029</v>
      </c>
      <c r="K292" s="35">
        <v>4.7890003855065348</v>
      </c>
      <c r="L292" s="35">
        <v>4.4157479875539494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4.7934863743282987</v>
      </c>
      <c r="J293" s="35">
        <v>4.8036252772989965</v>
      </c>
      <c r="K293" s="35">
        <v>4.8090914804669991</v>
      </c>
      <c r="L293" s="35">
        <v>4.7188695372879659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4.6502236753523274</v>
      </c>
      <c r="J294" s="35">
        <v>4.660362578323026</v>
      </c>
      <c r="K294" s="35">
        <v>4.6150674268153065</v>
      </c>
      <c r="L294" s="35">
        <v>4.3574322192110815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3.9657463358004668</v>
      </c>
      <c r="J295" s="35">
        <v>3.9758852387711654</v>
      </c>
      <c r="K295" s="35">
        <v>4.2126759347076739</v>
      </c>
      <c r="L295" s="35">
        <v>3.923526769045468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3.7207904400283893</v>
      </c>
      <c r="J296" s="35">
        <v>3.730929342999088</v>
      </c>
      <c r="K296" s="35">
        <v>3.6320536465847955</v>
      </c>
      <c r="L296" s="35">
        <v>3.7037134598012647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3.7126793176518302</v>
      </c>
      <c r="J297" s="35">
        <v>3.7228182206225293</v>
      </c>
      <c r="K297" s="35">
        <v>3.6380602626039034</v>
      </c>
      <c r="L297" s="35">
        <v>3.6674793937569006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3.7190668265233704</v>
      </c>
      <c r="J298" s="35">
        <v>3.729205729494069</v>
      </c>
      <c r="K298" s="35">
        <v>3.6002600066215877</v>
      </c>
      <c r="L298" s="35">
        <v>3.5765429288366959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3.8957879053026461</v>
      </c>
      <c r="J299" s="35">
        <v>3.9059268082733452</v>
      </c>
      <c r="K299" s="35">
        <v>3.7519270611040554</v>
      </c>
      <c r="L299" s="35">
        <v>3.6077584261768543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4.0401658836053942</v>
      </c>
      <c r="J300" s="35">
        <v>4.0503047865760928</v>
      </c>
      <c r="K300" s="35">
        <v>3.8775481857795304</v>
      </c>
      <c r="L300" s="35">
        <v>3.7369363846231054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4.0283033671296762</v>
      </c>
      <c r="J301" s="35">
        <v>4.0384422701003757</v>
      </c>
      <c r="K301" s="35">
        <v>3.8243171403688181</v>
      </c>
      <c r="L301" s="35">
        <v>3.769055224330021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4.0400644945756872</v>
      </c>
      <c r="J302" s="35">
        <v>4.0502033975463858</v>
      </c>
      <c r="K302" s="35">
        <v>3.9931755441473524</v>
      </c>
      <c r="L302" s="35">
        <v>3.9695972297500752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4.5761082946365201</v>
      </c>
      <c r="J303" s="35">
        <v>4.5862471976072188</v>
      </c>
      <c r="K303" s="35">
        <v>4.6362459263999192</v>
      </c>
      <c r="L303" s="35">
        <v>4.3352501455384926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4.9310712876406777</v>
      </c>
      <c r="J304" s="35">
        <v>4.9412101906113763</v>
      </c>
      <c r="K304" s="35">
        <v>5.020358664587337</v>
      </c>
      <c r="L304" s="35">
        <v>4.6107695673993776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5.1491590905404037</v>
      </c>
      <c r="J305" s="35">
        <v>5.1592979935111023</v>
      </c>
      <c r="K305" s="35">
        <v>5.1075581592095531</v>
      </c>
      <c r="L305" s="35">
        <v>5.070972317575027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4.8536100689445405</v>
      </c>
      <c r="J306" s="35">
        <v>4.8637489719152383</v>
      </c>
      <c r="K306" s="35">
        <v>4.8911646390039429</v>
      </c>
      <c r="L306" s="35">
        <v>4.5587771956238079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4.185354974145798</v>
      </c>
      <c r="J307" s="35">
        <v>4.1954938771164958</v>
      </c>
      <c r="K307" s="35">
        <v>4.4264286151117798</v>
      </c>
      <c r="L307" s="35">
        <v>4.1409311653116534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3.839922549934097</v>
      </c>
      <c r="J308" s="35">
        <v>3.8500614529047961</v>
      </c>
      <c r="K308" s="35">
        <v>3.7686005986743369</v>
      </c>
      <c r="L308" s="35">
        <v>3.8216498243500951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3.8294794798742777</v>
      </c>
      <c r="J309" s="35">
        <v>3.8396183828449764</v>
      </c>
      <c r="K309" s="35">
        <v>3.7693255350904362</v>
      </c>
      <c r="L309" s="35">
        <v>3.7831072167017967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3.8222808587650818</v>
      </c>
      <c r="J310" s="35">
        <v>3.8324197617357805</v>
      </c>
      <c r="K310" s="35">
        <v>3.7340625565644685</v>
      </c>
      <c r="L310" s="35">
        <v>3.6787209876543208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3.9940338750887157</v>
      </c>
      <c r="J311" s="35">
        <v>4.0041727780594147</v>
      </c>
      <c r="K311" s="35">
        <v>3.8636708315284887</v>
      </c>
      <c r="L311" s="35">
        <v>3.7051186590384422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4.1021145807563624</v>
      </c>
      <c r="J312" s="35">
        <v>4.1122534837270601</v>
      </c>
      <c r="K312" s="35">
        <v>3.9921917018683604</v>
      </c>
      <c r="L312" s="35">
        <v>3.7982632941884975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4.134964626381425</v>
      </c>
      <c r="J313" s="35">
        <v>4.1451035293521237</v>
      </c>
      <c r="K313" s="35">
        <v>3.9400480610817974</v>
      </c>
      <c r="L313" s="35">
        <v>3.8746459098665058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4.162035497313191</v>
      </c>
      <c r="J314" s="35">
        <v>4.1721744002838888</v>
      </c>
      <c r="K314" s="35">
        <v>4.0923882708077857</v>
      </c>
      <c r="L314" s="35">
        <v>4.0903439927732617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4.7462390864848425</v>
      </c>
      <c r="J315" s="35">
        <v>4.7563779894555402</v>
      </c>
      <c r="K315" s="35">
        <v>4.8314091658483385</v>
      </c>
      <c r="L315" s="35">
        <v>4.5036733112516307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5.1023173588157764</v>
      </c>
      <c r="J316" s="35">
        <v>5.1124562617864751</v>
      </c>
      <c r="K316" s="35">
        <v>5.2197161790146156</v>
      </c>
      <c r="L316" s="35">
        <v>4.7802968182274412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5.1866730315319884</v>
      </c>
      <c r="J317" s="35">
        <v>5.1968119345026871</v>
      </c>
      <c r="K317" s="35">
        <v>5.2125185960262019</v>
      </c>
      <c r="L317" s="35">
        <v>5.1081097259861483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5.043511721585725</v>
      </c>
      <c r="J318" s="35">
        <v>5.0536506245564237</v>
      </c>
      <c r="K318" s="35">
        <v>5.035530548152841</v>
      </c>
      <c r="L318" s="35">
        <v>4.746772779283349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4.3298343414782527</v>
      </c>
      <c r="J319" s="35">
        <v>4.3399732444489505</v>
      </c>
      <c r="K319" s="35">
        <v>4.5718819288848254</v>
      </c>
      <c r="L319" s="35">
        <v>4.2839603733815119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4.0260728084761235</v>
      </c>
      <c r="J320" s="35">
        <v>4.0362117114468221</v>
      </c>
      <c r="K320" s="35">
        <v>3.9427406820558799</v>
      </c>
      <c r="L320" s="35">
        <v>4.0059316671685234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3.9813602463753419</v>
      </c>
      <c r="J321" s="35">
        <v>3.991499149346041</v>
      </c>
      <c r="K321" s="35">
        <v>3.9445530230961277</v>
      </c>
      <c r="L321" s="35">
        <v>3.9334635350797953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3.9799407999594445</v>
      </c>
      <c r="J322" s="35">
        <v>3.9900797029301431</v>
      </c>
      <c r="K322" s="35">
        <v>3.8606157423463561</v>
      </c>
      <c r="L322" s="35">
        <v>3.834798474355114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4.1523021504613205</v>
      </c>
      <c r="J323" s="35">
        <v>4.1624410534320182</v>
      </c>
      <c r="K323" s="35">
        <v>3.9916738901425761</v>
      </c>
      <c r="L323" s="35">
        <v>3.8617983739837398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4.2763009337929638</v>
      </c>
      <c r="J324" s="35">
        <v>4.2864398367636625</v>
      </c>
      <c r="K324" s="35">
        <v>4.1498135911973577</v>
      </c>
      <c r="L324" s="35">
        <v>3.9707013148650008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4.3153357102301531</v>
      </c>
      <c r="J325" s="35">
        <v>4.3254746132008517</v>
      </c>
      <c r="K325" s="35">
        <v>4.0337719834489079</v>
      </c>
      <c r="L325" s="35">
        <v>4.0532065843621394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4.3437246385481094</v>
      </c>
      <c r="J326" s="35">
        <v>4.3538635415188081</v>
      </c>
      <c r="K326" s="35">
        <v>4.1936204631987799</v>
      </c>
      <c r="L326" s="35">
        <v>4.2702094951319882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4.8961934614214737</v>
      </c>
      <c r="J327" s="35">
        <v>4.9063323643921724</v>
      </c>
      <c r="K327" s="35">
        <v>4.8987764713729849</v>
      </c>
      <c r="L327" s="35">
        <v>4.6521225735220311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5.2452758907026267</v>
      </c>
      <c r="J328" s="35">
        <v>5.2554147936733244</v>
      </c>
      <c r="K328" s="35">
        <v>5.284235520047444</v>
      </c>
      <c r="L328" s="35">
        <v>4.9218204556860377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5.4263566977593021</v>
      </c>
      <c r="J329" s="35">
        <v>5.4364956007300007</v>
      </c>
      <c r="K329" s="35">
        <v>5.3576612227637765</v>
      </c>
      <c r="L329" s="35">
        <v>5.3454880256950714</v>
      </c>
      <c r="M329" s="104">
        <f t="shared" ref="M329:M340" si="13">YEAR(H329)</f>
        <v>2042</v>
      </c>
    </row>
    <row r="330" spans="8:15">
      <c r="H330" s="31">
        <v>51898</v>
      </c>
      <c r="I330" s="35">
        <v>5.265655085673731</v>
      </c>
      <c r="J330" s="35">
        <v>5.2757939886444287</v>
      </c>
      <c r="K330" s="35">
        <v>5.2060459494538875</v>
      </c>
      <c r="L330" s="35">
        <v>4.966686459901636</v>
      </c>
      <c r="M330" s="104">
        <f t="shared" si="13"/>
        <v>2042</v>
      </c>
    </row>
    <row r="331" spans="8:15">
      <c r="H331" s="31">
        <v>51926</v>
      </c>
      <c r="I331" s="35">
        <v>4.4462289475818721</v>
      </c>
      <c r="J331" s="35">
        <v>4.4563678505525699</v>
      </c>
      <c r="K331" s="35">
        <v>4.6368673004708612</v>
      </c>
      <c r="L331" s="35">
        <v>4.3991867108300715</v>
      </c>
      <c r="M331" s="104">
        <f t="shared" si="13"/>
        <v>2042</v>
      </c>
    </row>
    <row r="332" spans="8:15">
      <c r="H332" s="31">
        <v>51957</v>
      </c>
      <c r="I332" s="35">
        <v>4.1072854212714187</v>
      </c>
      <c r="J332" s="35">
        <v>4.1174243242421174</v>
      </c>
      <c r="K332" s="35">
        <v>4.0019783434856997</v>
      </c>
      <c r="L332" s="35">
        <v>4.086329137809896</v>
      </c>
      <c r="M332" s="104">
        <f t="shared" si="13"/>
        <v>2042</v>
      </c>
    </row>
    <row r="333" spans="8:15">
      <c r="H333" s="31">
        <v>51987</v>
      </c>
      <c r="I333" s="35">
        <v>4.0588214650714791</v>
      </c>
      <c r="J333" s="35">
        <v>4.0689603680421778</v>
      </c>
      <c r="K333" s="35">
        <v>3.9963341956746419</v>
      </c>
      <c r="L333" s="35">
        <v>4.0101472648800565</v>
      </c>
      <c r="M333" s="104">
        <f t="shared" si="13"/>
        <v>2042</v>
      </c>
    </row>
    <row r="334" spans="8:15">
      <c r="H334" s="31">
        <v>52018</v>
      </c>
      <c r="I334" s="35">
        <v>4.0438158886748452</v>
      </c>
      <c r="J334" s="35">
        <v>4.0539547916455447</v>
      </c>
      <c r="K334" s="35">
        <v>3.8889400437468038</v>
      </c>
      <c r="L334" s="35">
        <v>3.8980324400281039</v>
      </c>
      <c r="M334" s="104">
        <f t="shared" si="13"/>
        <v>2042</v>
      </c>
    </row>
    <row r="335" spans="8:15">
      <c r="H335" s="31">
        <v>52048</v>
      </c>
      <c r="I335" s="35">
        <v>4.2584564645645342</v>
      </c>
      <c r="J335" s="35">
        <v>4.2685953675352328</v>
      </c>
      <c r="K335" s="35">
        <v>4.0485296176337844</v>
      </c>
      <c r="L335" s="35">
        <v>3.9667868312757202</v>
      </c>
      <c r="M335" s="104">
        <f t="shared" si="13"/>
        <v>2042</v>
      </c>
    </row>
    <row r="336" spans="8:15">
      <c r="H336" s="31">
        <v>52079</v>
      </c>
      <c r="I336" s="35">
        <v>4.3757635719355159</v>
      </c>
      <c r="J336" s="35">
        <v>4.3859024749062145</v>
      </c>
      <c r="K336" s="35">
        <v>4.1986950181114748</v>
      </c>
      <c r="L336" s="35">
        <v>4.0691656328415133</v>
      </c>
      <c r="M336" s="104">
        <f t="shared" si="13"/>
        <v>2042</v>
      </c>
    </row>
    <row r="337" spans="8:13">
      <c r="H337" s="31">
        <v>52110</v>
      </c>
      <c r="I337" s="35">
        <v>4.4001983280949002</v>
      </c>
      <c r="J337" s="35">
        <v>4.4103372310655988</v>
      </c>
      <c r="K337" s="35">
        <v>4.096945013994695</v>
      </c>
      <c r="L337" s="35">
        <v>4.1373177958446243</v>
      </c>
      <c r="M337" s="104">
        <f t="shared" si="13"/>
        <v>2042</v>
      </c>
    </row>
    <row r="338" spans="8:13">
      <c r="H338" s="31">
        <v>52140</v>
      </c>
      <c r="I338" s="35">
        <v>4.4321358724526005</v>
      </c>
      <c r="J338" s="35">
        <v>4.4422747754232992</v>
      </c>
      <c r="K338" s="35">
        <v>4.2864123244594783</v>
      </c>
      <c r="L338" s="35">
        <v>4.3577333333333339</v>
      </c>
      <c r="M338" s="104">
        <f t="shared" si="13"/>
        <v>2042</v>
      </c>
    </row>
    <row r="339" spans="8:13">
      <c r="H339" s="31">
        <v>52171</v>
      </c>
      <c r="I339" s="35">
        <v>4.9987991594849444</v>
      </c>
      <c r="J339" s="35">
        <v>5.0089380624556421</v>
      </c>
      <c r="K339" s="35">
        <v>5.056760828910031</v>
      </c>
      <c r="L339" s="35">
        <v>4.753698404095152</v>
      </c>
      <c r="M339" s="104">
        <f t="shared" si="13"/>
        <v>2042</v>
      </c>
    </row>
    <row r="340" spans="8:13">
      <c r="H340" s="31">
        <v>52201</v>
      </c>
      <c r="I340" s="35">
        <v>5.4592067433843656</v>
      </c>
      <c r="J340" s="35">
        <v>5.4693456463550643</v>
      </c>
      <c r="K340" s="35">
        <v>5.4269444316738289</v>
      </c>
      <c r="L340" s="35">
        <v>5.1336040550035129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workbookViewId="0"/>
  </sheetViews>
  <sheetFormatPr defaultRowHeight="13.2"/>
  <cols>
    <col min="1" max="2" width="12" customWidth="1"/>
    <col min="3" max="3" width="13.33203125" customWidth="1"/>
    <col min="4" max="4" width="13.77734375" customWidth="1"/>
    <col min="5" max="6" width="14.21875" customWidth="1"/>
    <col min="7" max="8" width="14.44140625" customWidth="1"/>
    <col min="9" max="10" width="13.77734375" customWidth="1"/>
    <col min="11" max="13" width="14.33203125" customWidth="1"/>
    <col min="14" max="14" width="36.6640625" customWidth="1"/>
  </cols>
  <sheetData>
    <row r="1" spans="1:14">
      <c r="B1" s="442" t="s">
        <v>130</v>
      </c>
      <c r="C1" s="442"/>
      <c r="D1" s="442"/>
      <c r="E1" s="442"/>
      <c r="F1" s="442"/>
      <c r="G1" s="442"/>
      <c r="H1" s="442"/>
      <c r="I1" s="442"/>
      <c r="J1" s="442"/>
      <c r="K1" s="442"/>
      <c r="M1" s="338"/>
    </row>
    <row r="2" spans="1:14">
      <c r="B2" s="162"/>
      <c r="C2" s="162"/>
      <c r="D2" s="162"/>
      <c r="E2" s="162"/>
      <c r="F2" s="162"/>
      <c r="G2" s="162"/>
      <c r="H2" s="162"/>
      <c r="I2" s="162"/>
      <c r="J2" s="162"/>
      <c r="K2" s="162"/>
      <c r="M2" s="162"/>
    </row>
    <row r="3" spans="1:14">
      <c r="A3" s="335" t="s">
        <v>98</v>
      </c>
      <c r="B3" s="336">
        <v>2024</v>
      </c>
      <c r="C3" s="336">
        <v>2030</v>
      </c>
      <c r="D3" s="336">
        <v>2024</v>
      </c>
      <c r="E3" s="336">
        <v>2024</v>
      </c>
      <c r="F3" s="336">
        <v>2024</v>
      </c>
      <c r="G3" s="336">
        <v>2024</v>
      </c>
      <c r="H3" s="336">
        <v>2029</v>
      </c>
      <c r="I3" s="336">
        <v>2024</v>
      </c>
      <c r="J3" s="336">
        <v>2030</v>
      </c>
      <c r="K3" s="336">
        <v>2026</v>
      </c>
      <c r="L3" s="336">
        <v>2029</v>
      </c>
      <c r="M3" s="336">
        <v>2032</v>
      </c>
    </row>
    <row r="4" spans="1:14" ht="52.8">
      <c r="B4" s="199" t="s">
        <v>129</v>
      </c>
      <c r="C4" s="199" t="s">
        <v>137</v>
      </c>
      <c r="D4" s="199" t="s">
        <v>136</v>
      </c>
      <c r="E4" s="199" t="s">
        <v>135</v>
      </c>
      <c r="F4" s="199" t="s">
        <v>133</v>
      </c>
      <c r="G4" s="199" t="s">
        <v>134</v>
      </c>
      <c r="H4" s="199" t="s">
        <v>134</v>
      </c>
      <c r="I4" s="199" t="s">
        <v>132</v>
      </c>
      <c r="J4" s="199" t="s">
        <v>132</v>
      </c>
      <c r="K4" s="199" t="s">
        <v>138</v>
      </c>
      <c r="L4" s="199" t="s">
        <v>141</v>
      </c>
      <c r="M4" s="199" t="s">
        <v>140</v>
      </c>
    </row>
    <row r="5" spans="1:14" hidden="1">
      <c r="A5" s="134">
        <v>2018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4" hidden="1">
      <c r="A6" s="134">
        <f>A5+1</f>
        <v>2019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14" hidden="1">
      <c r="A7" s="134">
        <f t="shared" ref="A7:A46" si="0">A6+1</f>
        <v>2020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4" hidden="1">
      <c r="A8" s="134">
        <f t="shared" si="0"/>
        <v>2021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4" hidden="1">
      <c r="A9" s="134">
        <f t="shared" si="0"/>
        <v>2022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spans="1:14" hidden="1">
      <c r="A10" s="134">
        <f t="shared" si="0"/>
        <v>2023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1:14">
      <c r="A11" s="134">
        <f t="shared" si="0"/>
        <v>2024</v>
      </c>
      <c r="B11" s="129">
        <f>INDEX('Table 3 WYE Wind_2030'!$J$10:$J$36,MATCH($A11,'Table 3 WYE Wind_2030'!$B$10:$B$36,0),1)</f>
        <v>0</v>
      </c>
      <c r="C11" s="129"/>
      <c r="D11" s="129" t="e">
        <f>INDEX(#REF!,MATCH($A11,#REF!,0),1)</f>
        <v>#REF!</v>
      </c>
      <c r="E11" s="129" t="e">
        <f>INDEX(#REF!,MATCH($A11,#REF!,0),1)</f>
        <v>#REF!</v>
      </c>
      <c r="F11" s="129" t="e">
        <f>INDEX(#REF!,MATCH($A11,#REF!,0),1)</f>
        <v>#REF!</v>
      </c>
      <c r="G11" s="129" t="e">
        <f>INDEX(#REF!,MATCH($A11,#REF!,0),1)</f>
        <v>#REF!</v>
      </c>
      <c r="H11" s="129"/>
      <c r="I11" s="129">
        <f>INDEX('Table 3 PV wS Borah_2026'!$I$10:$I$36,MATCH($A11,'Table 3 PV wS Borah_2026'!$B$10:$B$36,0),1)</f>
        <v>0</v>
      </c>
      <c r="J11" s="129"/>
      <c r="K11" s="129"/>
      <c r="L11" s="129"/>
      <c r="M11" s="129"/>
    </row>
    <row r="12" spans="1:14">
      <c r="A12" s="134">
        <f t="shared" si="0"/>
        <v>2025</v>
      </c>
      <c r="B12" s="129">
        <f>INDEX('Table 3 WYE Wind_2030'!$J$10:$J$36,MATCH($A12,'Table 3 WYE Wind_2030'!$B$10:$B$36,0),1)</f>
        <v>0</v>
      </c>
      <c r="C12" s="129"/>
      <c r="D12" s="129" t="e">
        <f>INDEX(#REF!,MATCH($A12,#REF!,0),1)</f>
        <v>#REF!</v>
      </c>
      <c r="E12" s="129" t="e">
        <f>INDEX(#REF!,MATCH($A12,#REF!,0),1)</f>
        <v>#REF!</v>
      </c>
      <c r="F12" s="129" t="e">
        <f>INDEX(#REF!,MATCH($A12,#REF!,0),1)</f>
        <v>#REF!</v>
      </c>
      <c r="G12" s="129" t="e">
        <f>INDEX(#REF!,MATCH($A12,#REF!,0),1)</f>
        <v>#REF!</v>
      </c>
      <c r="H12" s="129"/>
      <c r="I12" s="129">
        <f>INDEX('Table 3 PV wS Borah_2026'!$I$10:$I$36,MATCH($A12,'Table 3 PV wS Borah_2026'!$B$10:$B$36,0),1)</f>
        <v>0</v>
      </c>
      <c r="J12" s="129"/>
      <c r="K12" s="129"/>
      <c r="L12" s="129"/>
      <c r="M12" s="129"/>
    </row>
    <row r="13" spans="1:14">
      <c r="A13" s="134">
        <f t="shared" si="0"/>
        <v>2026</v>
      </c>
      <c r="B13" s="129">
        <f>INDEX('Table 3 WYE Wind_2030'!$J$10:$J$36,MATCH($A13,'Table 3 WYE Wind_2030'!$B$10:$B$36,0),1)</f>
        <v>0</v>
      </c>
      <c r="C13" s="129"/>
      <c r="D13" s="129" t="e">
        <f>INDEX(#REF!,MATCH($A13,#REF!,0),1)</f>
        <v>#REF!</v>
      </c>
      <c r="E13" s="129" t="e">
        <f>INDEX(#REF!,MATCH($A13,#REF!,0),1)</f>
        <v>#REF!</v>
      </c>
      <c r="F13" s="129" t="e">
        <f>INDEX(#REF!,MATCH($A13,#REF!,0),1)</f>
        <v>#REF!</v>
      </c>
      <c r="G13" s="129" t="e">
        <f>INDEX(#REF!,MATCH($A13,#REF!,0),1)</f>
        <v>#REF!</v>
      </c>
      <c r="H13" s="129"/>
      <c r="I13" s="129">
        <f>INDEX('Table 3 PV wS Borah_2026'!$I$10:$I$36,MATCH($A13,'Table 3 PV wS Borah_2026'!$B$10:$B$36,0),1)</f>
        <v>75.13913358228838</v>
      </c>
      <c r="J13" s="129"/>
      <c r="K13" s="129">
        <f>INDEX('Table 3 NonE 206MW (UTN) 2033'!$L$14:$L$37,MATCH($A13,'Table 3 NonE 206MW (UTN) 2033'!$B$14:$B$37,0),1)</f>
        <v>0</v>
      </c>
      <c r="L13" s="129"/>
      <c r="M13" s="129"/>
      <c r="N13" t="s">
        <v>139</v>
      </c>
    </row>
    <row r="14" spans="1:14">
      <c r="A14" s="134">
        <f t="shared" si="0"/>
        <v>2027</v>
      </c>
      <c r="B14" s="129">
        <f>INDEX('Table 3 WYE Wind_2030'!$J$10:$J$36,MATCH($A14,'Table 3 WYE Wind_2030'!$B$10:$B$36,0),1)</f>
        <v>0</v>
      </c>
      <c r="C14" s="129"/>
      <c r="D14" s="129" t="e">
        <f>INDEX(#REF!,MATCH($A14,#REF!,0),1)</f>
        <v>#REF!</v>
      </c>
      <c r="E14" s="129" t="e">
        <f>INDEX(#REF!,MATCH($A14,#REF!,0),1)</f>
        <v>#REF!</v>
      </c>
      <c r="F14" s="129" t="e">
        <f>INDEX(#REF!,MATCH($A14,#REF!,0),1)</f>
        <v>#REF!</v>
      </c>
      <c r="G14" s="129" t="e">
        <f>INDEX(#REF!,MATCH($A14,#REF!,0),1)</f>
        <v>#REF!</v>
      </c>
      <c r="H14" s="129"/>
      <c r="I14" s="129">
        <f>INDEX('Table 3 PV wS Borah_2026'!$I$10:$I$36,MATCH($A14,'Table 3 PV wS Borah_2026'!$B$10:$B$36,0),1)</f>
        <v>76.762246117084814</v>
      </c>
      <c r="J14" s="129"/>
      <c r="K14" s="129">
        <f>INDEX('Table 3 NonE 206MW (UTN) 2033'!$L$14:$L$37,MATCH($A14,'Table 3 NonE 206MW (UTN) 2033'!$B$14:$B$37,0),1)</f>
        <v>0</v>
      </c>
      <c r="L14" s="129"/>
      <c r="M14" s="129"/>
      <c r="N14" s="268">
        <v>2.2750000000000006E-2</v>
      </c>
    </row>
    <row r="15" spans="1:14">
      <c r="A15" s="134">
        <f t="shared" si="0"/>
        <v>2028</v>
      </c>
      <c r="B15" s="129">
        <f>INDEX('Table 3 WYE Wind_2030'!$J$10:$J$36,MATCH($A15,'Table 3 WYE Wind_2030'!$B$10:$B$36,0),1)</f>
        <v>0</v>
      </c>
      <c r="C15" s="129"/>
      <c r="D15" s="129" t="e">
        <f>INDEX(#REF!,MATCH($A15,#REF!,0),1)</f>
        <v>#REF!</v>
      </c>
      <c r="E15" s="129" t="e">
        <f>INDEX(#REF!,MATCH($A15,#REF!,0),1)</f>
        <v>#REF!</v>
      </c>
      <c r="F15" s="129" t="e">
        <f>INDEX(#REF!,MATCH($A15,#REF!,0),1)</f>
        <v>#REF!</v>
      </c>
      <c r="G15" s="129" t="e">
        <f>INDEX(#REF!,MATCH($A15,#REF!,0),1)</f>
        <v>#REF!</v>
      </c>
      <c r="H15" s="129"/>
      <c r="I15" s="129">
        <f>INDEX('Table 3 PV wS Borah_2026'!$I$10:$I$36,MATCH($A15,'Table 3 PV wS Borah_2026'!$B$10:$B$36,0),1)</f>
        <v>78.419338472365425</v>
      </c>
      <c r="J15" s="129"/>
      <c r="K15" s="129">
        <f>INDEX('Table 3 NonE 206MW (UTN) 2033'!$L$14:$L$37,MATCH($A15,'Table 3 NonE 206MW (UTN) 2033'!$B$14:$B$37,0),1)</f>
        <v>0</v>
      </c>
      <c r="L15" s="129"/>
      <c r="M15" s="129"/>
    </row>
    <row r="16" spans="1:14">
      <c r="A16" s="134">
        <f t="shared" si="0"/>
        <v>2029</v>
      </c>
      <c r="B16" s="129">
        <f>INDEX('Table 3 WYE Wind_2030'!$J$10:$J$36,MATCH($A16,'Table 3 WYE Wind_2030'!$B$10:$B$36,0),1)</f>
        <v>0</v>
      </c>
      <c r="C16" s="129"/>
      <c r="D16" s="129" t="e">
        <f>INDEX(#REF!,MATCH($A16,#REF!,0),1)</f>
        <v>#REF!</v>
      </c>
      <c r="E16" s="129" t="e">
        <f>INDEX(#REF!,MATCH($A16,#REF!,0),1)</f>
        <v>#REF!</v>
      </c>
      <c r="F16" s="129" t="e">
        <f>INDEX(#REF!,MATCH($A16,#REF!,0),1)</f>
        <v>#REF!</v>
      </c>
      <c r="G16" s="129" t="e">
        <f>INDEX(#REF!,MATCH($A16,#REF!,0),1)</f>
        <v>#REF!</v>
      </c>
      <c r="H16" s="129" t="e">
        <f>INDEX(#REF!,MATCH($A16,#REF!,0),1)</f>
        <v>#REF!</v>
      </c>
      <c r="I16" s="129">
        <f>INDEX('Table 3 PV wS Borah_2026'!$I$10:$I$36,MATCH($A16,'Table 3 PV wS Borah_2026'!$B$10:$B$36,0),1)</f>
        <v>80.109163516145401</v>
      </c>
      <c r="J16" s="129"/>
      <c r="K16" s="129">
        <f>INDEX('Table 3 NonE 206MW (UTN) 2033'!$L$14:$L$37,MATCH($A16,'Table 3 NonE 206MW (UTN) 2033'!$B$14:$B$37,0),1)</f>
        <v>0</v>
      </c>
      <c r="L16" s="129" t="e">
        <f>INDEX(#REF!,MATCH($A16,#REF!,0),1)</f>
        <v>#REF!</v>
      </c>
      <c r="M16" s="129"/>
    </row>
    <row r="17" spans="1:13">
      <c r="A17" s="134">
        <f t="shared" si="0"/>
        <v>2030</v>
      </c>
      <c r="B17" s="129">
        <f>INDEX('Table 3 WYE Wind_2030'!$J$10:$J$36,MATCH($A17,'Table 3 WYE Wind_2030'!$B$10:$B$36,0),1)</f>
        <v>54.575213862693296</v>
      </c>
      <c r="C17" s="129" t="e">
        <f>IF($A17&lt;C$3,0,INDEX(#REF!,MATCH($A17,#REF!,0),1))</f>
        <v>#REF!</v>
      </c>
      <c r="D17" s="129" t="e">
        <f>INDEX(#REF!,MATCH($A17,#REF!,0),1)</f>
        <v>#REF!</v>
      </c>
      <c r="E17" s="129" t="e">
        <f>INDEX(#REF!,MATCH($A17,#REF!,0),1)</f>
        <v>#REF!</v>
      </c>
      <c r="F17" s="129" t="e">
        <f>INDEX(#REF!,MATCH($A17,#REF!,0),1)</f>
        <v>#REF!</v>
      </c>
      <c r="G17" s="129" t="e">
        <f>INDEX(#REF!,MATCH($A17,#REF!,0),1)</f>
        <v>#REF!</v>
      </c>
      <c r="H17" s="129" t="e">
        <f>INDEX(#REF!,MATCH($A17,#REF!,0),1)</f>
        <v>#REF!</v>
      </c>
      <c r="I17" s="129">
        <f>INDEX('Table 3 PV wS Borah_2026'!$I$10:$I$36,MATCH($A17,'Table 3 PV wS Borah_2026'!$B$10:$B$36,0),1)</f>
        <v>81.835812834487143</v>
      </c>
      <c r="J17" s="129" t="e">
        <f>INDEX(#REF!,MATCH($A17,#REF!,0),1)</f>
        <v>#REF!</v>
      </c>
      <c r="K17" s="129">
        <f>INDEX('Table 3 NonE 206MW (UTN) 2033'!$L$14:$L$37,MATCH($A17,'Table 3 NonE 206MW (UTN) 2033'!$B$14:$B$37,0),1)</f>
        <v>0</v>
      </c>
      <c r="L17" s="129" t="e">
        <f>INDEX(#REF!,MATCH($A17,#REF!,0),1)</f>
        <v>#REF!</v>
      </c>
      <c r="M17" s="129"/>
    </row>
    <row r="18" spans="1:13">
      <c r="A18" s="134">
        <f t="shared" si="0"/>
        <v>2031</v>
      </c>
      <c r="B18" s="129">
        <f>INDEX('Table 3 WYE Wind_2030'!$J$10:$J$36,MATCH($A18,'Table 3 WYE Wind_2030'!$B$10:$B$36,0),1)</f>
        <v>55.749036364252142</v>
      </c>
      <c r="C18" s="129" t="e">
        <f>IF($A18&lt;C$3,0,INDEX(#REF!,MATCH($A18,#REF!,0),1))</f>
        <v>#REF!</v>
      </c>
      <c r="D18" s="129" t="e">
        <f>INDEX(#REF!,MATCH($A18,#REF!,0),1)</f>
        <v>#REF!</v>
      </c>
      <c r="E18" s="129" t="e">
        <f>INDEX(#REF!,MATCH($A18,#REF!,0),1)</f>
        <v>#REF!</v>
      </c>
      <c r="F18" s="129" t="e">
        <f>INDEX(#REF!,MATCH($A18,#REF!,0),1)</f>
        <v>#REF!</v>
      </c>
      <c r="G18" s="129" t="e">
        <f>INDEX(#REF!,MATCH($A18,#REF!,0),1)</f>
        <v>#REF!</v>
      </c>
      <c r="H18" s="129" t="e">
        <f>INDEX(#REF!,MATCH($A18,#REF!,0),1)</f>
        <v>#REF!</v>
      </c>
      <c r="I18" s="129">
        <f>INDEX('Table 3 PV wS Borah_2026'!$I$10:$I$36,MATCH($A18,'Table 3 PV wS Borah_2026'!$B$10:$B$36,0),1)</f>
        <v>83.599286427390709</v>
      </c>
      <c r="J18" s="129" t="e">
        <f>INDEX(#REF!,MATCH($A18,#REF!,0),1)</f>
        <v>#REF!</v>
      </c>
      <c r="K18" s="129">
        <f>INDEX('Table 3 NonE 206MW (UTN) 2033'!$L$14:$L$37,MATCH($A18,'Table 3 NonE 206MW (UTN) 2033'!$B$14:$B$37,0),1)</f>
        <v>0</v>
      </c>
      <c r="L18" s="129" t="e">
        <f>INDEX(#REF!,MATCH($A18,#REF!,0),1)</f>
        <v>#REF!</v>
      </c>
      <c r="M18" s="129"/>
    </row>
    <row r="19" spans="1:13">
      <c r="A19" s="134">
        <f t="shared" si="0"/>
        <v>2032</v>
      </c>
      <c r="B19" s="129">
        <f>INDEX('Table 3 WYE Wind_2030'!$J$10:$J$36,MATCH($A19,'Table 3 WYE Wind_2030'!$B$10:$B$36,0),1)</f>
        <v>56.951938095475263</v>
      </c>
      <c r="C19" s="129" t="e">
        <f>IF($A19&lt;C$3,0,INDEX(#REF!,MATCH($A19,#REF!,0),1))</f>
        <v>#REF!</v>
      </c>
      <c r="D19" s="129" t="e">
        <f>INDEX(#REF!,MATCH($A19,#REF!,0),1)</f>
        <v>#REF!</v>
      </c>
      <c r="E19" s="129" t="e">
        <f>INDEX(#REF!,MATCH($A19,#REF!,0),1)</f>
        <v>#REF!</v>
      </c>
      <c r="F19" s="129" t="e">
        <f>INDEX(#REF!,MATCH($A19,#REF!,0),1)</f>
        <v>#REF!</v>
      </c>
      <c r="G19" s="129" t="e">
        <f>INDEX(#REF!,MATCH($A19,#REF!,0),1)</f>
        <v>#REF!</v>
      </c>
      <c r="H19" s="129" t="e">
        <f>INDEX(#REF!,MATCH($A19,#REF!,0),1)</f>
        <v>#REF!</v>
      </c>
      <c r="I19" s="129">
        <f>INDEX('Table 3 PV wS Borah_2026'!$I$10:$I$36,MATCH($A19,'Table 3 PV wS Borah_2026'!$B$10:$B$36,0),1)</f>
        <v>85.399584294856055</v>
      </c>
      <c r="J19" s="129" t="e">
        <f>INDEX(#REF!,MATCH($A19,#REF!,0),1)</f>
        <v>#REF!</v>
      </c>
      <c r="K19" s="129">
        <f>INDEX('Table 3 NonE 206MW (UTN) 2033'!$L$14:$L$37,MATCH($A19,'Table 3 NonE 206MW (UTN) 2033'!$B$14:$B$37,0),1)</f>
        <v>0</v>
      </c>
      <c r="L19" s="129" t="e">
        <f>INDEX(#REF!,MATCH($A19,#REF!,0),1)</f>
        <v>#REF!</v>
      </c>
      <c r="M19" s="129" t="e">
        <f>INDEX(#REF!,MATCH($A19,#REF!,0),1)</f>
        <v>#REF!</v>
      </c>
    </row>
    <row r="20" spans="1:13">
      <c r="A20" s="134">
        <f t="shared" si="0"/>
        <v>2033</v>
      </c>
      <c r="B20" s="129">
        <f>INDEX('Table 3 WYE Wind_2030'!$J$10:$J$36,MATCH($A20,'Table 3 WYE Wind_2030'!$B$10:$B$36,0),1)</f>
        <v>58.181010218982081</v>
      </c>
      <c r="C20" s="129" t="e">
        <f>IF($A20&lt;C$3,0,INDEX(#REF!,MATCH($A20,#REF!,0),1))</f>
        <v>#REF!</v>
      </c>
      <c r="D20" s="129" t="e">
        <f>INDEX(#REF!,MATCH($A20,#REF!,0),1)</f>
        <v>#REF!</v>
      </c>
      <c r="E20" s="129" t="e">
        <f>INDEX(#REF!,MATCH($A20,#REF!,0),1)</f>
        <v>#REF!</v>
      </c>
      <c r="F20" s="129" t="e">
        <f>INDEX(#REF!,MATCH($A20,#REF!,0),1)</f>
        <v>#REF!</v>
      </c>
      <c r="G20" s="129" t="e">
        <f>INDEX(#REF!,MATCH($A20,#REF!,0),1)</f>
        <v>#REF!</v>
      </c>
      <c r="H20" s="129" t="e">
        <f>INDEX(#REF!,MATCH($A20,#REF!,0),1)</f>
        <v>#REF!</v>
      </c>
      <c r="I20" s="129">
        <f>INDEX('Table 3 PV wS Borah_2026'!$I$10:$I$36,MATCH($A20,'Table 3 PV wS Borah_2026'!$B$10:$B$36,0),1)</f>
        <v>87.240798022945611</v>
      </c>
      <c r="J20" s="129" t="e">
        <f>INDEX(#REF!,MATCH($A20,#REF!,0),1)</f>
        <v>#REF!</v>
      </c>
      <c r="K20" s="129">
        <f>INDEX('Table 3 NonE 206MW (UTN) 2033'!$L$14:$L$37,MATCH($A20,'Table 3 NonE 206MW (UTN) 2033'!$B$14:$B$37,0),1)</f>
        <v>417.06</v>
      </c>
      <c r="L20" s="129" t="e">
        <f>INDEX(#REF!,MATCH($A20,#REF!,0),1)</f>
        <v>#REF!</v>
      </c>
      <c r="M20" s="129" t="e">
        <f>INDEX(#REF!,MATCH($A20,#REF!,0),1)</f>
        <v>#REF!</v>
      </c>
    </row>
    <row r="21" spans="1:13">
      <c r="A21" s="134">
        <f t="shared" si="0"/>
        <v>2034</v>
      </c>
      <c r="B21" s="129">
        <f>INDEX('Table 3 WYE Wind_2030'!$J$10:$J$36,MATCH($A21,'Table 3 WYE Wind_2030'!$B$10:$B$36,0),1)</f>
        <v>59.436252734772587</v>
      </c>
      <c r="C21" s="129" t="e">
        <f>IF($A21&lt;C$3,0,INDEX(#REF!,MATCH($A21,#REF!,0),1))</f>
        <v>#REF!</v>
      </c>
      <c r="D21" s="129" t="e">
        <f>INDEX(#REF!,MATCH($A21,#REF!,0),1)</f>
        <v>#REF!</v>
      </c>
      <c r="E21" s="129" t="e">
        <f>INDEX(#REF!,MATCH($A21,#REF!,0),1)</f>
        <v>#REF!</v>
      </c>
      <c r="F21" s="129" t="e">
        <f>INDEX(#REF!,MATCH($A21,#REF!,0),1)</f>
        <v>#REF!</v>
      </c>
      <c r="G21" s="129" t="e">
        <f>INDEX(#REF!,MATCH($A21,#REF!,0),1)</f>
        <v>#REF!</v>
      </c>
      <c r="H21" s="129" t="e">
        <f>INDEX(#REF!,MATCH($A21,#REF!,0),1)</f>
        <v>#REF!</v>
      </c>
      <c r="I21" s="129">
        <f>INDEX('Table 3 PV wS Borah_2026'!$I$10:$I$36,MATCH($A21,'Table 3 PV wS Borah_2026'!$B$10:$B$36,0),1)</f>
        <v>89.122927611659378</v>
      </c>
      <c r="J21" s="129" t="e">
        <f>INDEX(#REF!,MATCH($A21,#REF!,0),1)</f>
        <v>#REF!</v>
      </c>
      <c r="K21" s="129">
        <f>INDEX('Table 3 NonE 206MW (UTN) 2033'!$L$14:$L$37,MATCH($A21,'Table 3 NonE 206MW (UTN) 2033'!$B$14:$B$37,0),1)</f>
        <v>426.06</v>
      </c>
      <c r="L21" s="129" t="e">
        <f>INDEX(#REF!,MATCH($A21,#REF!,0),1)</f>
        <v>#REF!</v>
      </c>
      <c r="M21" s="129" t="e">
        <f>INDEX(#REF!,MATCH($A21,#REF!,0),1)</f>
        <v>#REF!</v>
      </c>
    </row>
    <row r="22" spans="1:13">
      <c r="A22" s="134">
        <f t="shared" si="0"/>
        <v>2035</v>
      </c>
      <c r="B22" s="129">
        <f>INDEX('Table 3 WYE Wind_2030'!$J$10:$J$36,MATCH($A22,'Table 3 WYE Wind_2030'!$B$10:$B$36,0),1)</f>
        <v>60.717665642846782</v>
      </c>
      <c r="C22" s="129" t="e">
        <f>IF($A22&lt;C$3,0,INDEX(#REF!,MATCH($A22,#REF!,0),1))</f>
        <v>#REF!</v>
      </c>
      <c r="D22" s="129" t="e">
        <f>INDEX(#REF!,MATCH($A22,#REF!,0),1)</f>
        <v>#REF!</v>
      </c>
      <c r="E22" s="129" t="e">
        <f>INDEX(#REF!,MATCH($A22,#REF!,0),1)</f>
        <v>#REF!</v>
      </c>
      <c r="F22" s="129" t="e">
        <f>INDEX(#REF!,MATCH($A22,#REF!,0),1)</f>
        <v>#REF!</v>
      </c>
      <c r="G22" s="129" t="e">
        <f>INDEX(#REF!,MATCH($A22,#REF!,0),1)</f>
        <v>#REF!</v>
      </c>
      <c r="H22" s="129" t="e">
        <f>INDEX(#REF!,MATCH($A22,#REF!,0),1)</f>
        <v>#REF!</v>
      </c>
      <c r="I22" s="129">
        <f>INDEX('Table 3 PV wS Borah_2026'!$I$10:$I$36,MATCH($A22,'Table 3 PV wS Borah_2026'!$B$10:$B$36,0),1)</f>
        <v>91.041881474934925</v>
      </c>
      <c r="J22" s="129" t="e">
        <f>INDEX(#REF!,MATCH($A22,#REF!,0),1)</f>
        <v>#REF!</v>
      </c>
      <c r="K22" s="129">
        <f>INDEX('Table 3 NonE 206MW (UTN) 2033'!$L$14:$L$37,MATCH($A22,'Table 3 NonE 206MW (UTN) 2033'!$B$14:$B$37,0),1)</f>
        <v>435.29</v>
      </c>
      <c r="L22" s="129" t="e">
        <f>INDEX(#REF!,MATCH($A22,#REF!,0),1)</f>
        <v>#REF!</v>
      </c>
      <c r="M22" s="129" t="e">
        <f>INDEX(#REF!,MATCH($A22,#REF!,0),1)</f>
        <v>#REF!</v>
      </c>
    </row>
    <row r="23" spans="1:13">
      <c r="A23" s="134">
        <f t="shared" si="0"/>
        <v>2036</v>
      </c>
      <c r="B23" s="129">
        <f>INDEX('Table 3 WYE Wind_2030'!$J$10:$J$36,MATCH($A23,'Table 3 WYE Wind_2030'!$B$10:$B$36,0),1)</f>
        <v>62.027865982433063</v>
      </c>
      <c r="C23" s="129" t="e">
        <f>IF($A23&lt;C$3,0,INDEX(#REF!,MATCH($A23,#REF!,0),1))</f>
        <v>#REF!</v>
      </c>
      <c r="D23" s="129" t="e">
        <f>INDEX(#REF!,MATCH($A23,#REF!,0),1)</f>
        <v>#REF!</v>
      </c>
      <c r="E23" s="129" t="e">
        <f>INDEX(#REF!,MATCH($A23,#REF!,0),1)</f>
        <v>#REF!</v>
      </c>
      <c r="F23" s="129" t="e">
        <f>INDEX(#REF!,MATCH($A23,#REF!,0),1)</f>
        <v>#REF!</v>
      </c>
      <c r="G23" s="129" t="e">
        <f>INDEX(#REF!,MATCH($A23,#REF!,0),1)</f>
        <v>#REF!</v>
      </c>
      <c r="H23" s="129" t="e">
        <f>INDEX(#REF!,MATCH($A23,#REF!,0),1)</f>
        <v>#REF!</v>
      </c>
      <c r="I23" s="129">
        <f>INDEX('Table 3 PV wS Borah_2026'!$I$10:$I$36,MATCH($A23,'Table 3 PV wS Borah_2026'!$B$10:$B$36,0),1)</f>
        <v>93.001751198834711</v>
      </c>
      <c r="J23" s="129" t="e">
        <f>INDEX(#REF!,MATCH($A23,#REF!,0),1)</f>
        <v>#REF!</v>
      </c>
      <c r="K23" s="129">
        <f>INDEX('Table 3 NonE 206MW (UTN) 2033'!$L$14:$L$37,MATCH($A23,'Table 3 NonE 206MW (UTN) 2033'!$B$14:$B$37,0),1)</f>
        <v>444.63</v>
      </c>
      <c r="L23" s="129" t="e">
        <f>INDEX(#REF!,MATCH($A23,#REF!,0),1)</f>
        <v>#REF!</v>
      </c>
      <c r="M23" s="129" t="e">
        <f>INDEX(#REF!,MATCH($A23,#REF!,0),1)</f>
        <v>#REF!</v>
      </c>
    </row>
    <row r="24" spans="1:13">
      <c r="A24" s="134">
        <f t="shared" si="0"/>
        <v>2037</v>
      </c>
      <c r="B24" s="129">
        <f>INDEX('Table 3 WYE Wind_2030'!$J$10:$J$36,MATCH($A24,'Table 3 WYE Wind_2030'!$B$10:$B$36,0),1)</f>
        <v>63.364236714303033</v>
      </c>
      <c r="C24" s="129" t="e">
        <f>IF($A24&lt;C$3,0,INDEX(#REF!,MATCH($A24,#REF!,0),1))</f>
        <v>#REF!</v>
      </c>
      <c r="D24" s="129" t="e">
        <f>INDEX(#REF!,MATCH($A24,#REF!,0),1)</f>
        <v>#REF!</v>
      </c>
      <c r="E24" s="129" t="e">
        <f>INDEX(#REF!,MATCH($A24,#REF!,0),1)</f>
        <v>#REF!</v>
      </c>
      <c r="F24" s="129" t="e">
        <f>INDEX(#REF!,MATCH($A24,#REF!,0),1)</f>
        <v>#REF!</v>
      </c>
      <c r="G24" s="129" t="e">
        <f>INDEX(#REF!,MATCH($A24,#REF!,0),1)</f>
        <v>#REF!</v>
      </c>
      <c r="H24" s="129" t="e">
        <f>INDEX(#REF!,MATCH($A24,#REF!,0),1)</f>
        <v>#REF!</v>
      </c>
      <c r="I24" s="129">
        <f>INDEX('Table 3 PV wS Borah_2026'!$I$10:$I$36,MATCH($A24,'Table 3 PV wS Borah_2026'!$B$10:$B$36,0),1)</f>
        <v>95.006628369421122</v>
      </c>
      <c r="J24" s="129" t="e">
        <f>INDEX(#REF!,MATCH($A24,#REF!,0),1)</f>
        <v>#REF!</v>
      </c>
      <c r="K24" s="129">
        <f>INDEX('Table 3 NonE 206MW (UTN) 2033'!$L$14:$L$37,MATCH($A24,'Table 3 NonE 206MW (UTN) 2033'!$B$14:$B$37,0),1)</f>
        <v>454.22</v>
      </c>
      <c r="L24" s="129" t="e">
        <f>INDEX(#REF!,MATCH($A24,#REF!,0),1)</f>
        <v>#REF!</v>
      </c>
      <c r="M24" s="129" t="e">
        <f>INDEX(#REF!,MATCH($A24,#REF!,0),1)</f>
        <v>#REF!</v>
      </c>
    </row>
    <row r="25" spans="1:13">
      <c r="A25" s="134">
        <f t="shared" si="0"/>
        <v>2038</v>
      </c>
      <c r="B25" s="129">
        <f>INDEX('Table 3 WYE Wind_2030'!$J$10:$J$36,MATCH($A25,'Table 3 WYE Wind_2030'!$B$10:$B$36,0),1)</f>
        <v>64.729394877685067</v>
      </c>
      <c r="C25" s="129" t="e">
        <f>IF($A25&lt;C$3,0,INDEX(#REF!,MATCH($A25,#REF!,0),1))</f>
        <v>#REF!</v>
      </c>
      <c r="D25" s="129" t="e">
        <f>INDEX(#REF!,MATCH($A25,#REF!,0),1)</f>
        <v>#REF!</v>
      </c>
      <c r="E25" s="129" t="e">
        <f>INDEX(#REF!,MATCH($A25,#REF!,0),1)</f>
        <v>#REF!</v>
      </c>
      <c r="F25" s="129" t="e">
        <f>INDEX(#REF!,MATCH($A25,#REF!,0),1)</f>
        <v>#REF!</v>
      </c>
      <c r="G25" s="129" t="e">
        <f>INDEX(#REF!,MATCH($A25,#REF!,0),1)</f>
        <v>#REF!</v>
      </c>
      <c r="H25" s="129" t="e">
        <f>INDEX(#REF!,MATCH($A25,#REF!,0),1)</f>
        <v>#REF!</v>
      </c>
      <c r="I25" s="129">
        <f>INDEX('Table 3 PV wS Borah_2026'!$I$10:$I$36,MATCH($A25,'Table 3 PV wS Borah_2026'!$B$10:$B$36,0),1)</f>
        <v>97.052421400631729</v>
      </c>
      <c r="J25" s="129" t="e">
        <f>INDEX(#REF!,MATCH($A25,#REF!,0),1)</f>
        <v>#REF!</v>
      </c>
      <c r="K25" s="129">
        <f>INDEX('Table 3 NonE 206MW (UTN) 2033'!$L$14:$L$37,MATCH($A25,'Table 3 NonE 206MW (UTN) 2033'!$B$14:$B$37,0),1)</f>
        <v>464.03</v>
      </c>
      <c r="L25" s="129" t="e">
        <f>INDEX(#REF!,MATCH($A25,#REF!,0),1)</f>
        <v>#REF!</v>
      </c>
      <c r="M25" s="129" t="e">
        <f>INDEX(#REF!,MATCH($A25,#REF!,0),1)</f>
        <v>#REF!</v>
      </c>
    </row>
    <row r="26" spans="1:13">
      <c r="A26" s="134">
        <f t="shared" si="0"/>
        <v>2039</v>
      </c>
      <c r="B26" s="332">
        <f>B25*(1+$N$14)</f>
        <v>66.201988611152402</v>
      </c>
      <c r="C26" s="332" t="e">
        <f t="shared" ref="C26:C40" si="1">C25*(1+$N$14)</f>
        <v>#REF!</v>
      </c>
      <c r="D26" s="332" t="e">
        <f t="shared" ref="D26:D40" si="2">D25*(1+$N$14)</f>
        <v>#REF!</v>
      </c>
      <c r="E26" s="332" t="e">
        <f t="shared" ref="E26:E40" si="3">E25*(1+$N$14)</f>
        <v>#REF!</v>
      </c>
      <c r="F26" s="332" t="e">
        <f t="shared" ref="F26:F40" si="4">F25*(1+$N$14)</f>
        <v>#REF!</v>
      </c>
      <c r="G26" s="332" t="e">
        <f t="shared" ref="G26:G40" si="5">G25*(1+$N$14)</f>
        <v>#REF!</v>
      </c>
      <c r="H26" s="332" t="e">
        <f t="shared" ref="H26:H40" si="6">H25*(1+$N$14)</f>
        <v>#REF!</v>
      </c>
      <c r="I26" s="332">
        <f t="shared" ref="I26:I40" si="7">I25*(1+$N$14)</f>
        <v>99.260363987496106</v>
      </c>
      <c r="J26" s="332" t="e">
        <f t="shared" ref="J26:J40" si="8">J25*(1+$N$14)</f>
        <v>#REF!</v>
      </c>
      <c r="K26" s="332">
        <f t="shared" ref="K26:K40" si="9">K25*(1+$N$14)</f>
        <v>474.58668249999999</v>
      </c>
      <c r="L26" s="332" t="e">
        <f t="shared" ref="L26:L40" si="10">L25*(1+$N$14)</f>
        <v>#REF!</v>
      </c>
      <c r="M26" s="332" t="e">
        <f t="shared" ref="M26:M46" si="11">M25*(1+$N$14)</f>
        <v>#REF!</v>
      </c>
    </row>
    <row r="27" spans="1:13">
      <c r="A27" s="134">
        <f t="shared" si="0"/>
        <v>2040</v>
      </c>
      <c r="B27" s="332">
        <f t="shared" ref="B27:B40" si="12">B26*(1+$N$14)</f>
        <v>67.70808385205612</v>
      </c>
      <c r="C27" s="332" t="e">
        <f t="shared" si="1"/>
        <v>#REF!</v>
      </c>
      <c r="D27" s="332" t="e">
        <f t="shared" si="2"/>
        <v>#REF!</v>
      </c>
      <c r="E27" s="332" t="e">
        <f t="shared" si="3"/>
        <v>#REF!</v>
      </c>
      <c r="F27" s="332" t="e">
        <f t="shared" si="4"/>
        <v>#REF!</v>
      </c>
      <c r="G27" s="332" t="e">
        <f t="shared" si="5"/>
        <v>#REF!</v>
      </c>
      <c r="H27" s="332" t="e">
        <f t="shared" si="6"/>
        <v>#REF!</v>
      </c>
      <c r="I27" s="332">
        <f t="shared" si="7"/>
        <v>101.51853726821165</v>
      </c>
      <c r="J27" s="332" t="e">
        <f t="shared" si="8"/>
        <v>#REF!</v>
      </c>
      <c r="K27" s="332">
        <f t="shared" si="9"/>
        <v>485.38352952687501</v>
      </c>
      <c r="L27" s="332" t="e">
        <f t="shared" si="10"/>
        <v>#REF!</v>
      </c>
      <c r="M27" s="332" t="e">
        <f t="shared" si="11"/>
        <v>#REF!</v>
      </c>
    </row>
    <row r="28" spans="1:13">
      <c r="A28" s="134">
        <f t="shared" si="0"/>
        <v>2041</v>
      </c>
      <c r="B28" s="332">
        <f t="shared" si="12"/>
        <v>69.248442759690406</v>
      </c>
      <c r="C28" s="332" t="e">
        <f t="shared" si="1"/>
        <v>#REF!</v>
      </c>
      <c r="D28" s="332" t="e">
        <f t="shared" si="2"/>
        <v>#REF!</v>
      </c>
      <c r="E28" s="332" t="e">
        <f t="shared" si="3"/>
        <v>#REF!</v>
      </c>
      <c r="F28" s="332" t="e">
        <f t="shared" si="4"/>
        <v>#REF!</v>
      </c>
      <c r="G28" s="332" t="e">
        <f t="shared" si="5"/>
        <v>#REF!</v>
      </c>
      <c r="H28" s="332" t="e">
        <f t="shared" si="6"/>
        <v>#REF!</v>
      </c>
      <c r="I28" s="332">
        <f t="shared" si="7"/>
        <v>103.82808399106347</v>
      </c>
      <c r="J28" s="332" t="e">
        <f t="shared" si="8"/>
        <v>#REF!</v>
      </c>
      <c r="K28" s="332">
        <f t="shared" si="9"/>
        <v>496.42600482361144</v>
      </c>
      <c r="L28" s="332" t="e">
        <f t="shared" si="10"/>
        <v>#REF!</v>
      </c>
      <c r="M28" s="332" t="e">
        <f t="shared" si="11"/>
        <v>#REF!</v>
      </c>
    </row>
    <row r="29" spans="1:13">
      <c r="A29" s="134">
        <f t="shared" si="0"/>
        <v>2042</v>
      </c>
      <c r="B29" s="332">
        <f t="shared" si="12"/>
        <v>70.82384483247337</v>
      </c>
      <c r="C29" s="332" t="e">
        <f t="shared" si="1"/>
        <v>#REF!</v>
      </c>
      <c r="D29" s="332" t="e">
        <f t="shared" si="2"/>
        <v>#REF!</v>
      </c>
      <c r="E29" s="332" t="e">
        <f t="shared" si="3"/>
        <v>#REF!</v>
      </c>
      <c r="F29" s="332" t="e">
        <f t="shared" si="4"/>
        <v>#REF!</v>
      </c>
      <c r="G29" s="332" t="e">
        <f t="shared" si="5"/>
        <v>#REF!</v>
      </c>
      <c r="H29" s="332" t="e">
        <f t="shared" si="6"/>
        <v>#REF!</v>
      </c>
      <c r="I29" s="332">
        <f t="shared" si="7"/>
        <v>106.19017290186017</v>
      </c>
      <c r="J29" s="332" t="e">
        <f t="shared" si="8"/>
        <v>#REF!</v>
      </c>
      <c r="K29" s="332">
        <f t="shared" si="9"/>
        <v>507.71969643334864</v>
      </c>
      <c r="L29" s="332" t="e">
        <f t="shared" si="10"/>
        <v>#REF!</v>
      </c>
      <c r="M29" s="332" t="e">
        <f t="shared" si="11"/>
        <v>#REF!</v>
      </c>
    </row>
    <row r="30" spans="1:13">
      <c r="A30" s="134">
        <f t="shared" si="0"/>
        <v>2043</v>
      </c>
      <c r="B30" s="332">
        <f t="shared" si="12"/>
        <v>72.435087302412143</v>
      </c>
      <c r="C30" s="332" t="e">
        <f t="shared" si="1"/>
        <v>#REF!</v>
      </c>
      <c r="D30" s="332" t="e">
        <f t="shared" si="2"/>
        <v>#REF!</v>
      </c>
      <c r="E30" s="332" t="e">
        <f t="shared" si="3"/>
        <v>#REF!</v>
      </c>
      <c r="F30" s="332" t="e">
        <f t="shared" si="4"/>
        <v>#REF!</v>
      </c>
      <c r="G30" s="332" t="e">
        <f t="shared" si="5"/>
        <v>#REF!</v>
      </c>
      <c r="H30" s="332" t="e">
        <f t="shared" si="6"/>
        <v>#REF!</v>
      </c>
      <c r="I30" s="332">
        <f t="shared" si="7"/>
        <v>108.60599933537749</v>
      </c>
      <c r="J30" s="332" t="e">
        <f t="shared" si="8"/>
        <v>#REF!</v>
      </c>
      <c r="K30" s="332">
        <f t="shared" si="9"/>
        <v>519.27031952720733</v>
      </c>
      <c r="L30" s="332" t="e">
        <f t="shared" si="10"/>
        <v>#REF!</v>
      </c>
      <c r="M30" s="332" t="e">
        <f t="shared" si="11"/>
        <v>#REF!</v>
      </c>
    </row>
    <row r="31" spans="1:13">
      <c r="A31" s="134">
        <f t="shared" si="0"/>
        <v>2044</v>
      </c>
      <c r="B31" s="332">
        <f t="shared" si="12"/>
        <v>74.082985538542019</v>
      </c>
      <c r="C31" s="332" t="e">
        <f t="shared" si="1"/>
        <v>#REF!</v>
      </c>
      <c r="D31" s="332" t="e">
        <f t="shared" si="2"/>
        <v>#REF!</v>
      </c>
      <c r="E31" s="332" t="e">
        <f t="shared" si="3"/>
        <v>#REF!</v>
      </c>
      <c r="F31" s="332" t="e">
        <f t="shared" si="4"/>
        <v>#REF!</v>
      </c>
      <c r="G31" s="332" t="e">
        <f t="shared" si="5"/>
        <v>#REF!</v>
      </c>
      <c r="H31" s="332" t="e">
        <f t="shared" si="6"/>
        <v>#REF!</v>
      </c>
      <c r="I31" s="332">
        <f t="shared" si="7"/>
        <v>111.07678582025733</v>
      </c>
      <c r="J31" s="332" t="e">
        <f t="shared" si="8"/>
        <v>#REF!</v>
      </c>
      <c r="K31" s="332">
        <f t="shared" si="9"/>
        <v>531.08371929645136</v>
      </c>
      <c r="L31" s="332" t="e">
        <f t="shared" si="10"/>
        <v>#REF!</v>
      </c>
      <c r="M31" s="332" t="e">
        <f t="shared" si="11"/>
        <v>#REF!</v>
      </c>
    </row>
    <row r="32" spans="1:13">
      <c r="A32" s="134">
        <f t="shared" si="0"/>
        <v>2045</v>
      </c>
      <c r="B32" s="332">
        <f t="shared" si="12"/>
        <v>75.768373459543852</v>
      </c>
      <c r="C32" s="332" t="e">
        <f t="shared" si="1"/>
        <v>#REF!</v>
      </c>
      <c r="D32" s="332" t="e">
        <f t="shared" si="2"/>
        <v>#REF!</v>
      </c>
      <c r="E32" s="332" t="e">
        <f t="shared" si="3"/>
        <v>#REF!</v>
      </c>
      <c r="F32" s="332" t="e">
        <f t="shared" si="4"/>
        <v>#REF!</v>
      </c>
      <c r="G32" s="332" t="e">
        <f t="shared" si="5"/>
        <v>#REF!</v>
      </c>
      <c r="H32" s="332" t="e">
        <f t="shared" si="6"/>
        <v>#REF!</v>
      </c>
      <c r="I32" s="332">
        <f t="shared" si="7"/>
        <v>113.60378269766819</v>
      </c>
      <c r="J32" s="332" t="e">
        <f t="shared" si="8"/>
        <v>#REF!</v>
      </c>
      <c r="K32" s="332">
        <f t="shared" si="9"/>
        <v>543.16587391044561</v>
      </c>
      <c r="L32" s="332" t="e">
        <f t="shared" si="10"/>
        <v>#REF!</v>
      </c>
      <c r="M32" s="332" t="e">
        <f t="shared" si="11"/>
        <v>#REF!</v>
      </c>
    </row>
    <row r="33" spans="1:13">
      <c r="A33" s="134">
        <f t="shared" si="0"/>
        <v>2046</v>
      </c>
      <c r="B33" s="332">
        <f t="shared" si="12"/>
        <v>77.492103955748476</v>
      </c>
      <c r="C33" s="332" t="e">
        <f t="shared" si="1"/>
        <v>#REF!</v>
      </c>
      <c r="D33" s="332" t="e">
        <f t="shared" si="2"/>
        <v>#REF!</v>
      </c>
      <c r="E33" s="332" t="e">
        <f t="shared" si="3"/>
        <v>#REF!</v>
      </c>
      <c r="F33" s="332" t="e">
        <f t="shared" si="4"/>
        <v>#REF!</v>
      </c>
      <c r="G33" s="332" t="e">
        <f t="shared" si="5"/>
        <v>#REF!</v>
      </c>
      <c r="H33" s="332" t="e">
        <f t="shared" si="6"/>
        <v>#REF!</v>
      </c>
      <c r="I33" s="332">
        <f t="shared" si="7"/>
        <v>116.18826875404015</v>
      </c>
      <c r="J33" s="332" t="e">
        <f t="shared" si="8"/>
        <v>#REF!</v>
      </c>
      <c r="K33" s="332">
        <f t="shared" si="9"/>
        <v>555.52289754190826</v>
      </c>
      <c r="L33" s="332" t="e">
        <f t="shared" si="10"/>
        <v>#REF!</v>
      </c>
      <c r="M33" s="332" t="e">
        <f t="shared" si="11"/>
        <v>#REF!</v>
      </c>
    </row>
    <row r="34" spans="1:13">
      <c r="A34" s="134">
        <f t="shared" si="0"/>
        <v>2047</v>
      </c>
      <c r="B34" s="332">
        <f t="shared" si="12"/>
        <v>79.255049320741762</v>
      </c>
      <c r="C34" s="332" t="e">
        <f t="shared" si="1"/>
        <v>#REF!</v>
      </c>
      <c r="D34" s="332" t="e">
        <f t="shared" si="2"/>
        <v>#REF!</v>
      </c>
      <c r="E34" s="332" t="e">
        <f t="shared" si="3"/>
        <v>#REF!</v>
      </c>
      <c r="F34" s="332" t="e">
        <f t="shared" si="4"/>
        <v>#REF!</v>
      </c>
      <c r="G34" s="332" t="e">
        <f t="shared" si="5"/>
        <v>#REF!</v>
      </c>
      <c r="H34" s="332" t="e">
        <f t="shared" si="6"/>
        <v>#REF!</v>
      </c>
      <c r="I34" s="332">
        <f t="shared" si="7"/>
        <v>118.83155186819457</v>
      </c>
      <c r="J34" s="332" t="e">
        <f t="shared" si="8"/>
        <v>#REF!</v>
      </c>
      <c r="K34" s="332">
        <f t="shared" si="9"/>
        <v>568.16104346098666</v>
      </c>
      <c r="L34" s="332" t="e">
        <f t="shared" si="10"/>
        <v>#REF!</v>
      </c>
      <c r="M34" s="332" t="e">
        <f t="shared" si="11"/>
        <v>#REF!</v>
      </c>
    </row>
    <row r="35" spans="1:13">
      <c r="A35" s="134">
        <f t="shared" si="0"/>
        <v>2048</v>
      </c>
      <c r="B35" s="332">
        <f t="shared" si="12"/>
        <v>81.05810169278864</v>
      </c>
      <c r="C35" s="332" t="e">
        <f t="shared" si="1"/>
        <v>#REF!</v>
      </c>
      <c r="D35" s="332" t="e">
        <f t="shared" si="2"/>
        <v>#REF!</v>
      </c>
      <c r="E35" s="332" t="e">
        <f t="shared" si="3"/>
        <v>#REF!</v>
      </c>
      <c r="F35" s="332" t="e">
        <f t="shared" si="4"/>
        <v>#REF!</v>
      </c>
      <c r="G35" s="332" t="e">
        <f t="shared" si="5"/>
        <v>#REF!</v>
      </c>
      <c r="H35" s="332" t="e">
        <f t="shared" si="6"/>
        <v>#REF!</v>
      </c>
      <c r="I35" s="332">
        <f t="shared" si="7"/>
        <v>121.534969673196</v>
      </c>
      <c r="J35" s="332" t="e">
        <f t="shared" si="8"/>
        <v>#REF!</v>
      </c>
      <c r="K35" s="332">
        <f t="shared" si="9"/>
        <v>581.08670719972417</v>
      </c>
      <c r="L35" s="332" t="e">
        <f t="shared" si="10"/>
        <v>#REF!</v>
      </c>
      <c r="M35" s="332" t="e">
        <f t="shared" si="11"/>
        <v>#REF!</v>
      </c>
    </row>
    <row r="36" spans="1:13">
      <c r="A36" s="134">
        <f t="shared" si="0"/>
        <v>2049</v>
      </c>
      <c r="B36" s="332">
        <f t="shared" si="12"/>
        <v>82.90217350629959</v>
      </c>
      <c r="C36" s="332" t="e">
        <f t="shared" si="1"/>
        <v>#REF!</v>
      </c>
      <c r="D36" s="332" t="e">
        <f t="shared" si="2"/>
        <v>#REF!</v>
      </c>
      <c r="E36" s="332" t="e">
        <f t="shared" si="3"/>
        <v>#REF!</v>
      </c>
      <c r="F36" s="332" t="e">
        <f t="shared" si="4"/>
        <v>#REF!</v>
      </c>
      <c r="G36" s="332" t="e">
        <f t="shared" si="5"/>
        <v>#REF!</v>
      </c>
      <c r="H36" s="332" t="e">
        <f t="shared" si="6"/>
        <v>#REF!</v>
      </c>
      <c r="I36" s="332">
        <f t="shared" si="7"/>
        <v>124.29989023326122</v>
      </c>
      <c r="J36" s="332" t="e">
        <f t="shared" si="8"/>
        <v>#REF!</v>
      </c>
      <c r="K36" s="332">
        <f t="shared" si="9"/>
        <v>594.3064297885179</v>
      </c>
      <c r="L36" s="332" t="e">
        <f t="shared" si="10"/>
        <v>#REF!</v>
      </c>
      <c r="M36" s="332" t="e">
        <f t="shared" si="11"/>
        <v>#REF!</v>
      </c>
    </row>
    <row r="37" spans="1:13">
      <c r="A37" s="134">
        <f t="shared" si="0"/>
        <v>2050</v>
      </c>
      <c r="B37" s="332">
        <f t="shared" si="12"/>
        <v>84.788197953567916</v>
      </c>
      <c r="C37" s="332" t="e">
        <f t="shared" si="1"/>
        <v>#REF!</v>
      </c>
      <c r="D37" s="332" t="e">
        <f t="shared" si="2"/>
        <v>#REF!</v>
      </c>
      <c r="E37" s="332" t="e">
        <f t="shared" si="3"/>
        <v>#REF!</v>
      </c>
      <c r="F37" s="332" t="e">
        <f t="shared" si="4"/>
        <v>#REF!</v>
      </c>
      <c r="G37" s="332" t="e">
        <f t="shared" si="5"/>
        <v>#REF!</v>
      </c>
      <c r="H37" s="332" t="e">
        <f t="shared" si="6"/>
        <v>#REF!</v>
      </c>
      <c r="I37" s="332">
        <f t="shared" si="7"/>
        <v>127.12771273606792</v>
      </c>
      <c r="J37" s="332" t="e">
        <f t="shared" si="8"/>
        <v>#REF!</v>
      </c>
      <c r="K37" s="332">
        <f t="shared" si="9"/>
        <v>607.82690106620669</v>
      </c>
      <c r="L37" s="332" t="e">
        <f t="shared" si="10"/>
        <v>#REF!</v>
      </c>
      <c r="M37" s="332" t="e">
        <f t="shared" si="11"/>
        <v>#REF!</v>
      </c>
    </row>
    <row r="38" spans="1:13">
      <c r="A38" s="134">
        <f t="shared" si="0"/>
        <v>2051</v>
      </c>
      <c r="B38" s="332">
        <f t="shared" si="12"/>
        <v>86.717129457011595</v>
      </c>
      <c r="C38" s="332" t="e">
        <f t="shared" si="1"/>
        <v>#REF!</v>
      </c>
      <c r="D38" s="332" t="e">
        <f t="shared" si="2"/>
        <v>#REF!</v>
      </c>
      <c r="E38" s="332" t="e">
        <f t="shared" si="3"/>
        <v>#REF!</v>
      </c>
      <c r="F38" s="332" t="e">
        <f t="shared" si="4"/>
        <v>#REF!</v>
      </c>
      <c r="G38" s="332" t="e">
        <f t="shared" si="5"/>
        <v>#REF!</v>
      </c>
      <c r="H38" s="332" t="e">
        <f t="shared" si="6"/>
        <v>#REF!</v>
      </c>
      <c r="I38" s="332">
        <f t="shared" si="7"/>
        <v>130.01986820081348</v>
      </c>
      <c r="J38" s="332" t="e">
        <f t="shared" si="8"/>
        <v>#REF!</v>
      </c>
      <c r="K38" s="332">
        <f t="shared" si="9"/>
        <v>621.65496306546288</v>
      </c>
      <c r="L38" s="332" t="e">
        <f t="shared" si="10"/>
        <v>#REF!</v>
      </c>
      <c r="M38" s="332" t="e">
        <f t="shared" si="11"/>
        <v>#REF!</v>
      </c>
    </row>
    <row r="39" spans="1:13">
      <c r="A39" s="134">
        <f t="shared" si="0"/>
        <v>2052</v>
      </c>
      <c r="B39" s="332">
        <f t="shared" si="12"/>
        <v>88.689944152158617</v>
      </c>
      <c r="C39" s="332" t="e">
        <f t="shared" si="1"/>
        <v>#REF!</v>
      </c>
      <c r="D39" s="332" t="e">
        <f t="shared" si="2"/>
        <v>#REF!</v>
      </c>
      <c r="E39" s="332" t="e">
        <f t="shared" si="3"/>
        <v>#REF!</v>
      </c>
      <c r="F39" s="332" t="e">
        <f t="shared" si="4"/>
        <v>#REF!</v>
      </c>
      <c r="G39" s="332" t="e">
        <f t="shared" si="5"/>
        <v>#REF!</v>
      </c>
      <c r="H39" s="332" t="e">
        <f t="shared" si="6"/>
        <v>#REF!</v>
      </c>
      <c r="I39" s="332">
        <f t="shared" si="7"/>
        <v>132.97782020238199</v>
      </c>
      <c r="J39" s="332" t="e">
        <f t="shared" si="8"/>
        <v>#REF!</v>
      </c>
      <c r="K39" s="332">
        <f t="shared" si="9"/>
        <v>635.79761347520218</v>
      </c>
      <c r="L39" s="332" t="e">
        <f t="shared" si="10"/>
        <v>#REF!</v>
      </c>
      <c r="M39" s="332" t="e">
        <f t="shared" si="11"/>
        <v>#REF!</v>
      </c>
    </row>
    <row r="40" spans="1:13">
      <c r="A40" s="134">
        <f t="shared" si="0"/>
        <v>2053</v>
      </c>
      <c r="B40" s="332">
        <f t="shared" si="12"/>
        <v>90.707640381620223</v>
      </c>
      <c r="C40" s="332" t="e">
        <f t="shared" si="1"/>
        <v>#REF!</v>
      </c>
      <c r="D40" s="332" t="e">
        <f t="shared" si="2"/>
        <v>#REF!</v>
      </c>
      <c r="E40" s="332" t="e">
        <f t="shared" si="3"/>
        <v>#REF!</v>
      </c>
      <c r="F40" s="332" t="e">
        <f t="shared" si="4"/>
        <v>#REF!</v>
      </c>
      <c r="G40" s="332" t="e">
        <f t="shared" si="5"/>
        <v>#REF!</v>
      </c>
      <c r="H40" s="332" t="e">
        <f t="shared" si="6"/>
        <v>#REF!</v>
      </c>
      <c r="I40" s="332">
        <f t="shared" si="7"/>
        <v>136.00306561198619</v>
      </c>
      <c r="J40" s="332" t="e">
        <f t="shared" si="8"/>
        <v>#REF!</v>
      </c>
      <c r="K40" s="332">
        <f t="shared" si="9"/>
        <v>650.26200918176312</v>
      </c>
      <c r="L40" s="332" t="e">
        <f t="shared" si="10"/>
        <v>#REF!</v>
      </c>
      <c r="M40" s="332" t="e">
        <f t="shared" si="11"/>
        <v>#REF!</v>
      </c>
    </row>
    <row r="41" spans="1:13">
      <c r="A41" s="134">
        <f t="shared" si="0"/>
        <v>2054</v>
      </c>
      <c r="B41" s="332"/>
      <c r="C41" s="332" t="e">
        <f t="shared" ref="C41:C46" si="13">C40*(1+$N$14)</f>
        <v>#REF!</v>
      </c>
      <c r="D41" s="332"/>
      <c r="E41" s="332"/>
      <c r="F41" s="332"/>
      <c r="G41" s="332"/>
      <c r="H41" s="332" t="e">
        <f t="shared" ref="H41:H45" si="14">H40*(1+$N$14)</f>
        <v>#REF!</v>
      </c>
      <c r="I41" s="332"/>
      <c r="J41" s="332" t="e">
        <f t="shared" ref="J41:J46" si="15">J40*(1+$N$14)</f>
        <v>#REF!</v>
      </c>
      <c r="K41" s="332">
        <f>K40*(1+$N$14)</f>
        <v>665.05546989064828</v>
      </c>
      <c r="L41" s="332" t="e">
        <f>L40*(1+$N$14)</f>
        <v>#REF!</v>
      </c>
      <c r="M41" s="332" t="e">
        <f t="shared" si="11"/>
        <v>#REF!</v>
      </c>
    </row>
    <row r="42" spans="1:13">
      <c r="A42" s="134">
        <f t="shared" si="0"/>
        <v>2055</v>
      </c>
      <c r="B42" s="332"/>
      <c r="C42" s="332" t="e">
        <f t="shared" si="13"/>
        <v>#REF!</v>
      </c>
      <c r="D42" s="332"/>
      <c r="E42" s="332"/>
      <c r="F42" s="332"/>
      <c r="G42" s="332"/>
      <c r="H42" s="332" t="e">
        <f t="shared" si="14"/>
        <v>#REF!</v>
      </c>
      <c r="I42" s="332"/>
      <c r="J42" s="332" t="e">
        <f t="shared" si="15"/>
        <v>#REF!</v>
      </c>
      <c r="K42" s="332">
        <f>K41*(1+$N$14)</f>
        <v>680.18548183066059</v>
      </c>
      <c r="L42" s="332" t="e">
        <f>L41*(1+$N$14)</f>
        <v>#REF!</v>
      </c>
      <c r="M42" s="332" t="e">
        <f t="shared" si="11"/>
        <v>#REF!</v>
      </c>
    </row>
    <row r="43" spans="1:13">
      <c r="A43" s="134">
        <f t="shared" si="0"/>
        <v>2056</v>
      </c>
      <c r="B43" s="332"/>
      <c r="C43" s="332" t="e">
        <f t="shared" si="13"/>
        <v>#REF!</v>
      </c>
      <c r="D43" s="332"/>
      <c r="E43" s="332"/>
      <c r="F43" s="332"/>
      <c r="G43" s="332"/>
      <c r="H43" s="332" t="e">
        <f t="shared" si="14"/>
        <v>#REF!</v>
      </c>
      <c r="I43" s="332"/>
      <c r="J43" s="332" t="e">
        <f t="shared" si="15"/>
        <v>#REF!</v>
      </c>
      <c r="K43" s="337"/>
      <c r="L43" s="332" t="e">
        <f>L42*(1+$N$14)</f>
        <v>#REF!</v>
      </c>
      <c r="M43" s="332" t="e">
        <f t="shared" si="11"/>
        <v>#REF!</v>
      </c>
    </row>
    <row r="44" spans="1:13">
      <c r="A44" s="134">
        <f t="shared" si="0"/>
        <v>2057</v>
      </c>
      <c r="B44" s="332"/>
      <c r="C44" s="332" t="e">
        <f t="shared" si="13"/>
        <v>#REF!</v>
      </c>
      <c r="D44" s="332"/>
      <c r="E44" s="332"/>
      <c r="F44" s="332"/>
      <c r="G44" s="332"/>
      <c r="H44" s="332" t="e">
        <f t="shared" si="14"/>
        <v>#REF!</v>
      </c>
      <c r="I44" s="332"/>
      <c r="J44" s="332" t="e">
        <f t="shared" si="15"/>
        <v>#REF!</v>
      </c>
      <c r="K44" s="337"/>
      <c r="L44" s="332" t="e">
        <f>L43*(1+$N$14)</f>
        <v>#REF!</v>
      </c>
      <c r="M44" s="332" t="e">
        <f t="shared" si="11"/>
        <v>#REF!</v>
      </c>
    </row>
    <row r="45" spans="1:13">
      <c r="A45" s="134">
        <f t="shared" si="0"/>
        <v>2058</v>
      </c>
      <c r="B45" s="332"/>
      <c r="C45" s="332" t="e">
        <f t="shared" si="13"/>
        <v>#REF!</v>
      </c>
      <c r="D45" s="332"/>
      <c r="E45" s="332"/>
      <c r="F45" s="332"/>
      <c r="G45" s="332"/>
      <c r="H45" s="332" t="e">
        <f t="shared" si="14"/>
        <v>#REF!</v>
      </c>
      <c r="I45" s="332"/>
      <c r="J45" s="332" t="e">
        <f t="shared" si="15"/>
        <v>#REF!</v>
      </c>
      <c r="K45" s="337"/>
      <c r="L45" s="332" t="e">
        <f>L44*(1+$N$14)</f>
        <v>#REF!</v>
      </c>
      <c r="M45" s="332" t="e">
        <f t="shared" si="11"/>
        <v>#REF!</v>
      </c>
    </row>
    <row r="46" spans="1:13">
      <c r="A46" s="134">
        <f t="shared" si="0"/>
        <v>2059</v>
      </c>
      <c r="B46" s="332"/>
      <c r="C46" s="332" t="e">
        <f t="shared" si="13"/>
        <v>#REF!</v>
      </c>
      <c r="D46" s="332"/>
      <c r="E46" s="332"/>
      <c r="F46" s="332"/>
      <c r="G46" s="332"/>
      <c r="H46" s="332"/>
      <c r="I46" s="332"/>
      <c r="J46" s="332" t="e">
        <f t="shared" si="15"/>
        <v>#REF!</v>
      </c>
      <c r="K46" s="337"/>
      <c r="L46" s="337"/>
      <c r="M46" s="332" t="e">
        <f t="shared" si="11"/>
        <v>#REF!</v>
      </c>
    </row>
    <row r="47" spans="1:13">
      <c r="A47" s="134">
        <f t="shared" ref="A47:A48" si="16">A46+1</f>
        <v>2060</v>
      </c>
      <c r="B47" s="332"/>
      <c r="C47" s="332" t="e">
        <f t="shared" ref="C47:C48" si="17">C46*(1+$N$14)</f>
        <v>#REF!</v>
      </c>
      <c r="D47" s="332"/>
      <c r="E47" s="332"/>
      <c r="F47" s="332"/>
      <c r="G47" s="332"/>
      <c r="H47" s="332"/>
      <c r="I47" s="332"/>
      <c r="J47" s="332"/>
      <c r="K47" s="337"/>
      <c r="L47" s="337"/>
      <c r="M47" s="332" t="e">
        <f t="shared" ref="M47:M48" si="18">M46*(1+$N$14)</f>
        <v>#REF!</v>
      </c>
    </row>
    <row r="48" spans="1:13">
      <c r="A48" s="134">
        <f t="shared" si="16"/>
        <v>2061</v>
      </c>
      <c r="B48" s="332"/>
      <c r="C48" s="332" t="e">
        <f t="shared" si="17"/>
        <v>#REF!</v>
      </c>
      <c r="D48" s="332"/>
      <c r="E48" s="332"/>
      <c r="F48" s="332"/>
      <c r="G48" s="332"/>
      <c r="H48" s="332"/>
      <c r="I48" s="332"/>
      <c r="J48" s="332"/>
      <c r="K48" s="337"/>
      <c r="L48" s="337"/>
      <c r="M48" s="332" t="e">
        <f t="shared" si="18"/>
        <v>#REF!</v>
      </c>
    </row>
    <row r="49" spans="1:13" ht="12" customHeight="1">
      <c r="A49" s="134"/>
    </row>
    <row r="50" spans="1:13" ht="12" customHeight="1">
      <c r="A50" s="333" t="s">
        <v>131</v>
      </c>
      <c r="B50" s="334">
        <f>PMT(Discount_Rate,30,-NPV(Discount_Rate,Table3ACsummary!B$11:B$40))</f>
        <v>41.021971753820665</v>
      </c>
      <c r="C50" s="334" t="e">
        <f>PMT(Discount_Rate,30,-NPV(Discount_Rate,Table3ACsummary!C$17:C$46))</f>
        <v>#REF!</v>
      </c>
      <c r="D50" s="334" t="e">
        <f>PMT(Discount_Rate,30,-NPV(Discount_Rate,Table3ACsummary!D$11:D$40))</f>
        <v>#REF!</v>
      </c>
      <c r="E50" s="334" t="e">
        <f>PMT(Discount_Rate,30,-NPV(Discount_Rate,Table3ACsummary!E$11:E$40))</f>
        <v>#REF!</v>
      </c>
      <c r="F50" s="334" t="e">
        <f>PMT(Discount_Rate,30,-NPV(Discount_Rate,Table3ACsummary!F$11:F$40))</f>
        <v>#REF!</v>
      </c>
      <c r="G50" s="334" t="e">
        <f>PMT(Discount_Rate,30,-NPV(Discount_Rate,Table3ACsummary!G$11:G$40))</f>
        <v>#REF!</v>
      </c>
      <c r="H50" s="334" t="e">
        <f>PMT(Discount_Rate,30,-NPV(Discount_Rate,Table3ACsummary!H$16:H$45))</f>
        <v>#REF!</v>
      </c>
      <c r="I50" s="334">
        <f>PMT(Discount_Rate,30,-NPV(Discount_Rate,Table3ACsummary!I$11:I$40))</f>
        <v>79.847204615211268</v>
      </c>
      <c r="J50" s="334" t="e">
        <f>PMT(Discount_Rate,30,-NPV(Discount_Rate,Table3ACsummary!J$11:J$40))</f>
        <v>#REF!</v>
      </c>
      <c r="K50" s="334">
        <f>PMT(Discount_Rate,30,-NPV(Discount_Rate,Table3ACsummary!K$13:K$42))</f>
        <v>286.89485255122923</v>
      </c>
      <c r="L50" s="334" t="e">
        <f>PMT(Discount_Rate,30,-NPV(Discount_Rate,Table3ACsummary!L$16:L$45))</f>
        <v>#REF!</v>
      </c>
      <c r="M50" s="334" t="e">
        <f>PMT(Discount_Rate,30,-NPV(Discount_Rate,Table3ACsummary!M$19:M$48))</f>
        <v>#REF!</v>
      </c>
    </row>
    <row r="51" spans="1:13" ht="12" customHeight="1">
      <c r="A51" s="134"/>
    </row>
    <row r="52" spans="1:13">
      <c r="A52" s="134"/>
    </row>
    <row r="53" spans="1:13">
      <c r="A53" s="134"/>
    </row>
    <row r="54" spans="1:13">
      <c r="A54" s="134"/>
    </row>
    <row r="55" spans="1:13">
      <c r="A55" s="134"/>
    </row>
    <row r="56" spans="1:13">
      <c r="A56" s="134"/>
    </row>
    <row r="57" spans="1:13">
      <c r="A57" s="134"/>
    </row>
    <row r="58" spans="1:13">
      <c r="A58" s="134"/>
    </row>
    <row r="59" spans="1:13">
      <c r="A59" s="134"/>
    </row>
    <row r="60" spans="1:13">
      <c r="A60" s="134"/>
    </row>
    <row r="61" spans="1:13">
      <c r="A61" s="134"/>
    </row>
    <row r="62" spans="1:13">
      <c r="A62" s="134"/>
    </row>
    <row r="63" spans="1:13">
      <c r="A63" s="134"/>
    </row>
    <row r="64" spans="1:13">
      <c r="A64" s="134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T253"/>
  <sheetViews>
    <sheetView tabSelected="1" view="pageLayout" topLeftCell="M288" zoomScaleNormal="70" zoomScaleSheetLayoutView="70" workbookViewId="0">
      <selection activeCell="F20" sqref="F20"/>
    </sheetView>
  </sheetViews>
  <sheetFormatPr defaultColWidth="9.33203125" defaultRowHeight="13.2" outlineLevelRow="1"/>
  <cols>
    <col min="1" max="1" width="18.44140625" style="56" customWidth="1"/>
    <col min="2" max="2" width="22.77734375" style="56" customWidth="1"/>
    <col min="3" max="3" width="18.21875" style="56" customWidth="1"/>
    <col min="4" max="4" width="18.33203125" style="56" customWidth="1"/>
    <col min="5" max="5" width="18.44140625" style="56" customWidth="1"/>
    <col min="6" max="7" width="16.21875" style="56" customWidth="1"/>
    <col min="8" max="8" width="3.77734375" style="56" customWidth="1"/>
    <col min="9" max="9" width="9.44140625" style="56" customWidth="1"/>
    <col min="10" max="11" width="10" style="56" customWidth="1"/>
    <col min="12" max="12" width="9.33203125" style="56" customWidth="1"/>
    <col min="13" max="13" width="21.2187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21875" style="56" bestFit="1" customWidth="1"/>
    <col min="21" max="16384" width="9.33203125" style="56"/>
  </cols>
  <sheetData>
    <row r="1" spans="1:19" s="3" customFormat="1" ht="15.6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6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3"/>
    </row>
    <row r="4" spans="1:19" ht="26.4">
      <c r="B4" s="83" t="str">
        <f ca="1">'Table 1'!B5</f>
        <v>Utah 2021.Q4 - 100.0 MW and 100.0% CF</v>
      </c>
      <c r="C4" s="83"/>
      <c r="D4" s="83"/>
      <c r="E4" s="83"/>
      <c r="F4" s="83"/>
      <c r="G4" s="83"/>
      <c r="K4" s="56">
        <f>MIN(K13:K24)</f>
        <v>44562</v>
      </c>
      <c r="M4" s="364" t="s">
        <v>245</v>
      </c>
      <c r="P4" s="205" t="s">
        <v>226</v>
      </c>
      <c r="Q4" s="205" t="s">
        <v>227</v>
      </c>
      <c r="R4" s="205" t="s">
        <v>157</v>
      </c>
      <c r="S4" s="205" t="s">
        <v>228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76">
        <f>MIN(K13:K24)</f>
        <v>44562</v>
      </c>
      <c r="M5" s="56" t="s">
        <v>39</v>
      </c>
      <c r="O5" s="3" t="s">
        <v>80</v>
      </c>
      <c r="P5" s="5">
        <f>Q5+12</f>
        <v>49</v>
      </c>
      <c r="Q5" s="5">
        <f>R5+12</f>
        <v>37</v>
      </c>
      <c r="R5" s="5">
        <f>S5+12</f>
        <v>25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76">
        <f>EDATE(K5,15*12-1)</f>
        <v>50010</v>
      </c>
      <c r="M6" s="57">
        <v>100</v>
      </c>
      <c r="N6" s="56" t="s">
        <v>32</v>
      </c>
      <c r="O6" s="5" t="s">
        <v>81</v>
      </c>
      <c r="P6">
        <f>P5+15*12-1</f>
        <v>228</v>
      </c>
      <c r="Q6">
        <f>Q5+15*12-1</f>
        <v>216</v>
      </c>
      <c r="R6">
        <f>R5+15*12-1</f>
        <v>204</v>
      </c>
      <c r="S6">
        <f>S5+15*12-1</f>
        <v>192</v>
      </c>
    </row>
    <row r="7" spans="1:19">
      <c r="A7" s="107"/>
      <c r="C7" s="58"/>
      <c r="D7" s="58"/>
      <c r="E7" s="58"/>
      <c r="F7" s="353"/>
      <c r="G7" s="91"/>
      <c r="M7" s="354">
        <f ca="1">SUM(OFFSET(F12,MATCH(K5,B13:B24,0),0,12))/(EDATE(K5,12)-K5)/24/Study_MW</f>
        <v>1</v>
      </c>
      <c r="N7" s="88" t="s">
        <v>34</v>
      </c>
    </row>
    <row r="8" spans="1:19">
      <c r="A8" s="107"/>
      <c r="B8" s="107" t="str">
        <f>"Nominal NPV at "&amp;TEXT(J9,"0.00%")&amp;" Discount Rate"</f>
        <v>Nominal NPV at 6.88% Discount Rate</v>
      </c>
      <c r="J8" s="56" t="str">
        <f>'Table 1'!I42</f>
        <v>Discount Rate - 2021 IRP</v>
      </c>
    </row>
    <row r="9" spans="1:19">
      <c r="A9" s="107" t="str">
        <f>S4</f>
        <v xml:space="preserve">15 Year </v>
      </c>
      <c r="C9" s="58">
        <f ca="1">NPV($K$9,INDIRECT("C"&amp;$S$5&amp;":C"&amp;$S$6))</f>
        <v>296192984.06809098</v>
      </c>
      <c r="D9" s="58">
        <f ca="1">NPV($K$9,INDIRECT("d"&amp;$S$5&amp;":d"&amp;$S$6))</f>
        <v>20816511.504092492</v>
      </c>
      <c r="E9" s="58">
        <f ca="1">NPV($K$9,INDIRECT("e"&amp;$S$5&amp;":e"&amp;$S$6))</f>
        <v>317009495.57218343</v>
      </c>
      <c r="F9" s="353">
        <f ca="1">NPV($K$9,INDIRECT("f"&amp;$S$5&amp;":f"&amp;$S$6))</f>
        <v>8294446.879245895</v>
      </c>
      <c r="G9" s="91">
        <f ca="1">($C9+D9)/$F9</f>
        <v>38.219485902718205</v>
      </c>
      <c r="J9" s="110">
        <f>'Table 1'!I43</f>
        <v>6.88E-2</v>
      </c>
      <c r="K9" s="93">
        <f>((1+J9)^(1/12))-1</f>
        <v>5.560110673283658E-3</v>
      </c>
    </row>
    <row r="10" spans="1:19">
      <c r="A10" s="107"/>
      <c r="C10" s="58"/>
      <c r="D10" s="58"/>
      <c r="E10" s="58"/>
      <c r="F10" s="353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100.0% CF</v>
      </c>
      <c r="E12" s="66" t="s">
        <v>50</v>
      </c>
      <c r="F12" s="67" t="s">
        <v>46</v>
      </c>
      <c r="G12" s="65" t="str">
        <f>D12</f>
        <v>100.0%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4916816.4050795436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4916816.4050795436</v>
      </c>
      <c r="F13" s="69">
        <v>74400</v>
      </c>
      <c r="G13" s="72">
        <f t="shared" ref="G13:G17" si="1">IF(ISNUMBER($F13),E13/$F13,"")</f>
        <v>66.086242003757306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384</v>
      </c>
      <c r="M13" s="56" t="s">
        <v>49</v>
      </c>
    </row>
    <row r="14" spans="1:19">
      <c r="B14" s="78">
        <f t="shared" ref="B14:B77" si="3">EDATE(B13,1)</f>
        <v>44593</v>
      </c>
      <c r="C14" s="75">
        <v>1566922.4249489754</v>
      </c>
      <c r="D14" s="71">
        <f>IF(ISNUMBER($F14),VLOOKUP($J14,'Table 1'!$B$13:$C$33,2,FALSE)/12*1000*Study_MW,"")</f>
        <v>0</v>
      </c>
      <c r="E14" s="71">
        <f t="shared" si="0"/>
        <v>1566922.4249489754</v>
      </c>
      <c r="F14" s="75">
        <v>67200</v>
      </c>
      <c r="G14" s="76">
        <f t="shared" si="1"/>
        <v>23.317297990312134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502</v>
      </c>
      <c r="M14" s="90" t="s">
        <v>259</v>
      </c>
    </row>
    <row r="15" spans="1:19">
      <c r="B15" s="78">
        <f t="shared" si="3"/>
        <v>44621</v>
      </c>
      <c r="C15" s="75">
        <v>1563240.9333242774</v>
      </c>
      <c r="D15" s="71">
        <f>IF(ISNUMBER($F15),VLOOKUP($J15,'Table 1'!$B$13:$C$33,2,FALSE)/12*1000*Study_MW,"")</f>
        <v>0</v>
      </c>
      <c r="E15" s="71">
        <f t="shared" si="0"/>
        <v>1563240.9333242774</v>
      </c>
      <c r="F15" s="75">
        <v>74400</v>
      </c>
      <c r="G15" s="76">
        <f t="shared" si="1"/>
        <v>21.011302867261794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1381802.8492857814</v>
      </c>
      <c r="D16" s="71">
        <f>IF(ISNUMBER($F16),VLOOKUP($J16,'Table 1'!$B$13:$C$33,2,FALSE)/12*1000*Study_MW,"")</f>
        <v>0</v>
      </c>
      <c r="E16" s="71">
        <f t="shared" si="0"/>
        <v>1381802.8492857814</v>
      </c>
      <c r="F16" s="75">
        <v>72000</v>
      </c>
      <c r="G16" s="76">
        <f t="shared" si="1"/>
        <v>19.191706240080297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 t="shared" ref="M16:M38" si="6">SUMIF($J$13:$J$252,L16,$C$13:$C$252)</f>
        <v>29938950.984741077</v>
      </c>
      <c r="N16" s="56">
        <f t="shared" ref="N16:N38" si="7">SUMIF($J$13:$J$252,L16,$D$13:$D$252)</f>
        <v>0</v>
      </c>
      <c r="O16" s="56">
        <f t="shared" ref="O16:O38" si="8">SUMIF($J$13:$J$252,L16,$F$13:$F$252)</f>
        <v>876000</v>
      </c>
      <c r="P16" s="112">
        <f t="shared" ref="P16:P25" si="9">(M16+N16)/O16</f>
        <v>34.176884685777488</v>
      </c>
      <c r="Q16" s="163">
        <f>M16/O16</f>
        <v>34.176884685777488</v>
      </c>
      <c r="R16" s="163">
        <f>IFERROR(N16/O16,0)</f>
        <v>0</v>
      </c>
    </row>
    <row r="17" spans="2:20">
      <c r="B17" s="78">
        <f t="shared" si="3"/>
        <v>44682</v>
      </c>
      <c r="C17" s="75">
        <v>1230910.450297609</v>
      </c>
      <c r="D17" s="71">
        <f>IF(ISNUMBER($F17),VLOOKUP($J17,'Table 1'!$B$13:$C$33,2,FALSE)/12*1000*Study_MW,"")</f>
        <v>0</v>
      </c>
      <c r="E17" s="71">
        <f t="shared" si="0"/>
        <v>1230910.450297609</v>
      </c>
      <c r="F17" s="75">
        <v>74400</v>
      </c>
      <c r="G17" s="76">
        <f t="shared" si="1"/>
        <v>16.544495299699044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 t="shared" si="6"/>
        <v>26480573.984821126</v>
      </c>
      <c r="N17" s="56">
        <f t="shared" si="7"/>
        <v>0</v>
      </c>
      <c r="O17" s="56">
        <f t="shared" si="8"/>
        <v>876000</v>
      </c>
      <c r="P17" s="112">
        <f t="shared" si="9"/>
        <v>30.228965736097177</v>
      </c>
      <c r="Q17" s="163">
        <f t="shared" ref="Q17:Q33" si="10">M17/O17</f>
        <v>30.228965736097177</v>
      </c>
      <c r="R17" s="163">
        <f t="shared" ref="R17:R33" si="11">IFERROR(N17/O17,0)</f>
        <v>0</v>
      </c>
    </row>
    <row r="18" spans="2:20">
      <c r="B18" s="78">
        <f t="shared" si="3"/>
        <v>44713</v>
      </c>
      <c r="C18" s="75">
        <v>1418124.8341262639</v>
      </c>
      <c r="D18" s="71">
        <f>IF(ISNUMBER($F18),VLOOKUP($J18,'Table 1'!$B$13:$C$33,2,FALSE)/12*1000*Study_MW,"")</f>
        <v>0</v>
      </c>
      <c r="E18" s="71">
        <f t="shared" ref="E18:E19" si="12">IF(ISNUMBER(C18+D18),C18+D18,"")</f>
        <v>1418124.8341262639</v>
      </c>
      <c r="F18" s="75">
        <v>72000</v>
      </c>
      <c r="G18" s="76">
        <f t="shared" ref="G18:G19" si="13">IF(ISNUMBER($F18),E18/$F18,"")</f>
        <v>19.696178251753665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4">L17+1</f>
        <v>2024</v>
      </c>
      <c r="M18" s="56">
        <f t="shared" si="6"/>
        <v>28253307.647146448</v>
      </c>
      <c r="N18" s="56">
        <f t="shared" si="7"/>
        <v>0</v>
      </c>
      <c r="O18" s="56">
        <f t="shared" si="8"/>
        <v>878400</v>
      </c>
      <c r="P18" s="112">
        <f t="shared" si="9"/>
        <v>32.164512348755068</v>
      </c>
      <c r="Q18" s="163">
        <f t="shared" si="10"/>
        <v>32.164512348755068</v>
      </c>
      <c r="R18" s="163">
        <f t="shared" si="11"/>
        <v>0</v>
      </c>
    </row>
    <row r="19" spans="2:20">
      <c r="B19" s="78">
        <f t="shared" si="3"/>
        <v>44743</v>
      </c>
      <c r="C19" s="75">
        <v>5765731.7108525336</v>
      </c>
      <c r="D19" s="71">
        <f>IF(ISNUMBER($F19),VLOOKUP($J19,'Table 1'!$B$13:$C$33,2,FALSE)/12*1000*Study_MW,"")</f>
        <v>0</v>
      </c>
      <c r="E19" s="71">
        <f t="shared" si="12"/>
        <v>5765731.7108525336</v>
      </c>
      <c r="F19" s="75">
        <v>74400</v>
      </c>
      <c r="G19" s="76">
        <f t="shared" si="13"/>
        <v>77.496393963071682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4"/>
        <v>2025</v>
      </c>
      <c r="M19" s="56">
        <f t="shared" si="6"/>
        <v>24399079.326513186</v>
      </c>
      <c r="N19" s="56">
        <f t="shared" si="7"/>
        <v>0</v>
      </c>
      <c r="O19" s="56">
        <f t="shared" si="8"/>
        <v>876000</v>
      </c>
      <c r="P19" s="112">
        <f t="shared" si="9"/>
        <v>27.852830281407748</v>
      </c>
      <c r="Q19" s="163">
        <f t="shared" si="10"/>
        <v>27.852830281407748</v>
      </c>
      <c r="R19" s="163">
        <f t="shared" si="11"/>
        <v>0</v>
      </c>
    </row>
    <row r="20" spans="2:20">
      <c r="B20" s="78">
        <f t="shared" si="3"/>
        <v>44774</v>
      </c>
      <c r="C20" s="75">
        <v>3906705.261121884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3906705.261121884</v>
      </c>
      <c r="F20" s="75">
        <v>74400</v>
      </c>
      <c r="G20" s="76">
        <f t="shared" ref="G20:G77" si="16">IF(ISNUMBER($F20),E20/$F20,"")</f>
        <v>52.509479316154355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4"/>
        <v>2026</v>
      </c>
      <c r="M20" s="56">
        <f t="shared" si="6"/>
        <v>31722720.268779844</v>
      </c>
      <c r="N20" s="56">
        <f t="shared" si="7"/>
        <v>0</v>
      </c>
      <c r="O20" s="56">
        <f t="shared" si="8"/>
        <v>876000</v>
      </c>
      <c r="P20" s="112">
        <f t="shared" si="9"/>
        <v>36.213150991757814</v>
      </c>
      <c r="Q20" s="163">
        <f t="shared" si="10"/>
        <v>36.213150991757814</v>
      </c>
      <c r="R20" s="163">
        <f t="shared" si="11"/>
        <v>0</v>
      </c>
    </row>
    <row r="21" spans="2:20">
      <c r="B21" s="78">
        <f t="shared" si="3"/>
        <v>44805</v>
      </c>
      <c r="C21" s="75">
        <v>2528340.8855751157</v>
      </c>
      <c r="D21" s="71">
        <f>IF(ISNUMBER($F21),VLOOKUP($J21,'Table 1'!$B$13:$C$33,2,FALSE)/12*1000*Study_MW,"")</f>
        <v>0</v>
      </c>
      <c r="E21" s="71">
        <f t="shared" si="15"/>
        <v>2528340.8855751157</v>
      </c>
      <c r="F21" s="75">
        <v>72000</v>
      </c>
      <c r="G21" s="76">
        <f t="shared" si="16"/>
        <v>35.115845632987721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4"/>
        <v>2027</v>
      </c>
      <c r="M21" s="56">
        <f t="shared" si="6"/>
        <v>32703356.103878833</v>
      </c>
      <c r="N21" s="56">
        <f t="shared" si="7"/>
        <v>0</v>
      </c>
      <c r="O21" s="56">
        <f t="shared" si="8"/>
        <v>876000</v>
      </c>
      <c r="P21" s="112">
        <f t="shared" si="9"/>
        <v>37.332598292099128</v>
      </c>
      <c r="Q21" s="163">
        <f t="shared" si="10"/>
        <v>37.332598292099128</v>
      </c>
      <c r="R21" s="163">
        <f t="shared" si="11"/>
        <v>0</v>
      </c>
    </row>
    <row r="22" spans="2:20">
      <c r="B22" s="78">
        <f t="shared" si="3"/>
        <v>44835</v>
      </c>
      <c r="C22" s="75">
        <v>1816249.8579286635</v>
      </c>
      <c r="D22" s="71">
        <f>IF(ISNUMBER($F22),VLOOKUP($J22,'Table 1'!$B$13:$C$33,2,FALSE)/12*1000*Study_MW,"")</f>
        <v>0</v>
      </c>
      <c r="E22" s="71">
        <f t="shared" si="15"/>
        <v>1816249.8579286635</v>
      </c>
      <c r="F22" s="75">
        <v>74400</v>
      </c>
      <c r="G22" s="76">
        <f t="shared" si="16"/>
        <v>24.411960456030425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4"/>
        <v>2028</v>
      </c>
      <c r="M22" s="56">
        <f t="shared" si="6"/>
        <v>35092858.72815083</v>
      </c>
      <c r="N22" s="56">
        <f t="shared" si="7"/>
        <v>0</v>
      </c>
      <c r="O22" s="56">
        <f t="shared" si="8"/>
        <v>878400</v>
      </c>
      <c r="P22" s="112">
        <f t="shared" si="9"/>
        <v>39.950886530226356</v>
      </c>
      <c r="Q22" s="163">
        <f t="shared" si="10"/>
        <v>39.950886530226356</v>
      </c>
      <c r="R22" s="163">
        <f t="shared" si="11"/>
        <v>0</v>
      </c>
    </row>
    <row r="23" spans="2:20">
      <c r="B23" s="78">
        <f t="shared" si="3"/>
        <v>44866</v>
      </c>
      <c r="C23" s="75">
        <v>1650294.9214060307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1650294.9214060307</v>
      </c>
      <c r="F23" s="75">
        <v>72000</v>
      </c>
      <c r="G23" s="76">
        <f t="shared" ref="G23" si="18">IF(ISNUMBER($F23),E23/$F23,"")</f>
        <v>22.920762797305983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4"/>
        <v>2029</v>
      </c>
      <c r="M23" s="56">
        <f t="shared" si="6"/>
        <v>35624118.342487156</v>
      </c>
      <c r="N23" s="56">
        <f t="shared" si="7"/>
        <v>0</v>
      </c>
      <c r="O23" s="56">
        <f t="shared" si="8"/>
        <v>876000</v>
      </c>
      <c r="P23" s="112">
        <f t="shared" si="9"/>
        <v>40.66680176083009</v>
      </c>
      <c r="Q23" s="163">
        <f t="shared" si="10"/>
        <v>40.66680176083009</v>
      </c>
      <c r="R23" s="163">
        <f t="shared" si="11"/>
        <v>0</v>
      </c>
      <c r="T23" s="41"/>
    </row>
    <row r="24" spans="2:20">
      <c r="B24" s="82">
        <f t="shared" si="3"/>
        <v>44896</v>
      </c>
      <c r="C24" s="79">
        <v>2193810.4507943988</v>
      </c>
      <c r="D24" s="80">
        <f>IF(F24&lt;&gt;0,VLOOKUP($J24,'Table 1'!$B$13:$C$33,2,FALSE)/12*1000*Study_MW,0)</f>
        <v>0</v>
      </c>
      <c r="E24" s="80">
        <f t="shared" ref="E24" si="19">IF(ISNUMBER(C24+D24),C24+D24,"")</f>
        <v>2193810.4507943988</v>
      </c>
      <c r="F24" s="79">
        <v>74400</v>
      </c>
      <c r="G24" s="81">
        <f t="shared" ref="G24" si="20">IF(ISNUMBER($F24),E24/$F24,"")</f>
        <v>29.486699607451598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4"/>
        <v>2030</v>
      </c>
      <c r="M24" s="56">
        <f t="shared" si="6"/>
        <v>35138931.222271904</v>
      </c>
      <c r="N24" s="56">
        <f t="shared" si="7"/>
        <v>0</v>
      </c>
      <c r="O24" s="56">
        <f t="shared" si="8"/>
        <v>876000</v>
      </c>
      <c r="P24" s="112">
        <f t="shared" si="9"/>
        <v>40.112935185241902</v>
      </c>
      <c r="Q24" s="163">
        <f t="shared" si="10"/>
        <v>40.112935185241902</v>
      </c>
      <c r="R24" s="163">
        <f t="shared" si="11"/>
        <v>0</v>
      </c>
    </row>
    <row r="25" spans="2:20" hidden="1" outlineLevel="1">
      <c r="B25" s="74">
        <f t="shared" si="3"/>
        <v>44927</v>
      </c>
      <c r="C25" s="69">
        <v>1507655.4703291059</v>
      </c>
      <c r="D25" s="70">
        <f>IF(F25&lt;&gt;0,VLOOKUP($J25,'Table 1'!$B$13:$C$33,2,FALSE)/12*1000*Study_MW,0)</f>
        <v>0</v>
      </c>
      <c r="E25" s="70">
        <f t="shared" ref="E25:E77" si="21">C25+D25</f>
        <v>1507655.4703291059</v>
      </c>
      <c r="F25" s="69">
        <v>74400</v>
      </c>
      <c r="G25" s="72">
        <f t="shared" si="16"/>
        <v>20.264186429154648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4"/>
        <v>2031</v>
      </c>
      <c r="M25" s="56">
        <f t="shared" si="6"/>
        <v>32329331.807101503</v>
      </c>
      <c r="N25" s="56">
        <f t="shared" si="7"/>
        <v>0</v>
      </c>
      <c r="O25" s="56">
        <f t="shared" si="8"/>
        <v>876000</v>
      </c>
      <c r="P25" s="112">
        <f t="shared" si="9"/>
        <v>36.905629916782537</v>
      </c>
      <c r="Q25" s="163">
        <f t="shared" si="10"/>
        <v>36.905629916782537</v>
      </c>
      <c r="R25" s="163">
        <f t="shared" si="11"/>
        <v>0</v>
      </c>
    </row>
    <row r="26" spans="2:20" hidden="1" outlineLevel="1">
      <c r="B26" s="78">
        <f t="shared" si="3"/>
        <v>44958</v>
      </c>
      <c r="C26" s="75">
        <v>1693260.2490773648</v>
      </c>
      <c r="D26" s="71">
        <f>IF(F26&lt;&gt;0,VLOOKUP($J26,'Table 1'!$B$13:$C$33,2,FALSE)/12*1000*Study_MW,0)</f>
        <v>0</v>
      </c>
      <c r="E26" s="71">
        <f t="shared" si="21"/>
        <v>1693260.2490773648</v>
      </c>
      <c r="F26" s="75">
        <v>67200</v>
      </c>
      <c r="G26" s="76">
        <f t="shared" si="16"/>
        <v>25.197325135079833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4"/>
        <v>2032</v>
      </c>
      <c r="M26" s="56">
        <f t="shared" si="6"/>
        <v>32389753.038602501</v>
      </c>
      <c r="N26" s="56">
        <f t="shared" si="7"/>
        <v>0</v>
      </c>
      <c r="O26" s="56">
        <f t="shared" si="8"/>
        <v>878400</v>
      </c>
      <c r="P26" s="112">
        <f>(M26+N26)/O26</f>
        <v>36.873580417352571</v>
      </c>
      <c r="Q26" s="163">
        <f t="shared" si="10"/>
        <v>36.873580417352571</v>
      </c>
      <c r="R26" s="163">
        <f t="shared" si="11"/>
        <v>0</v>
      </c>
    </row>
    <row r="27" spans="2:20" hidden="1" outlineLevel="1">
      <c r="B27" s="78">
        <f t="shared" si="3"/>
        <v>44986</v>
      </c>
      <c r="C27" s="75">
        <v>1736971.5168871284</v>
      </c>
      <c r="D27" s="71">
        <f>IF(F27&lt;&gt;0,VLOOKUP($J27,'Table 1'!$B$13:$C$33,2,FALSE)/12*1000*Study_MW,0)</f>
        <v>0</v>
      </c>
      <c r="E27" s="71">
        <f t="shared" si="21"/>
        <v>1736971.5168871284</v>
      </c>
      <c r="F27" s="75">
        <v>74400</v>
      </c>
      <c r="G27" s="76">
        <f t="shared" si="16"/>
        <v>23.346391356009789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4"/>
        <v>2033</v>
      </c>
      <c r="M27" s="56">
        <f t="shared" si="6"/>
        <v>31948176.600364283</v>
      </c>
      <c r="N27" s="56">
        <f t="shared" si="7"/>
        <v>11986081.370449683</v>
      </c>
      <c r="O27" s="56">
        <f t="shared" si="8"/>
        <v>876000</v>
      </c>
      <c r="P27" s="112">
        <f t="shared" ref="P27:P31" si="24">(M27+N27)/O27</f>
        <v>50.153262523760233</v>
      </c>
      <c r="Q27" s="163">
        <f t="shared" si="10"/>
        <v>36.470521233292558</v>
      </c>
      <c r="R27" s="163">
        <f t="shared" si="11"/>
        <v>13.682741290467675</v>
      </c>
    </row>
    <row r="28" spans="2:20" hidden="1" outlineLevel="1">
      <c r="B28" s="78">
        <f t="shared" si="3"/>
        <v>45017</v>
      </c>
      <c r="C28" s="75">
        <v>1437162.6198701113</v>
      </c>
      <c r="D28" s="71">
        <f>IF(F28&lt;&gt;0,VLOOKUP($J28,'Table 1'!$B$13:$C$33,2,FALSE)/12*1000*Study_MW,0)</f>
        <v>0</v>
      </c>
      <c r="E28" s="71">
        <f t="shared" si="21"/>
        <v>1437162.6198701113</v>
      </c>
      <c r="F28" s="75">
        <v>72000</v>
      </c>
      <c r="G28" s="76">
        <f t="shared" si="16"/>
        <v>19.960591942640434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4"/>
        <v>2034</v>
      </c>
      <c r="M28" s="56">
        <f t="shared" si="6"/>
        <v>33799068.035676137</v>
      </c>
      <c r="N28" s="56">
        <f t="shared" si="7"/>
        <v>12244111.349036401</v>
      </c>
      <c r="O28" s="56">
        <f t="shared" si="8"/>
        <v>876000</v>
      </c>
      <c r="P28" s="112">
        <f t="shared" si="24"/>
        <v>52.560707060174131</v>
      </c>
      <c r="Q28" s="163">
        <f t="shared" si="10"/>
        <v>38.583410999630296</v>
      </c>
      <c r="R28" s="163">
        <f t="shared" si="11"/>
        <v>13.977296060543837</v>
      </c>
    </row>
    <row r="29" spans="2:20" hidden="1" outlineLevel="1">
      <c r="B29" s="78">
        <f t="shared" si="3"/>
        <v>45047</v>
      </c>
      <c r="C29" s="75">
        <v>1384281.7562246174</v>
      </c>
      <c r="D29" s="71">
        <f>IF(F29&lt;&gt;0,VLOOKUP($J29,'Table 1'!$B$13:$C$33,2,FALSE)/12*1000*Study_MW,0)</f>
        <v>0</v>
      </c>
      <c r="E29" s="71">
        <f t="shared" si="21"/>
        <v>1384281.7562246174</v>
      </c>
      <c r="F29" s="75">
        <v>74400</v>
      </c>
      <c r="G29" s="76">
        <f t="shared" si="16"/>
        <v>18.605937583664211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4"/>
        <v>2035</v>
      </c>
      <c r="M29" s="56">
        <f t="shared" si="6"/>
        <v>34615351.630988494</v>
      </c>
      <c r="N29" s="56">
        <f t="shared" si="7"/>
        <v>12508565.310492506</v>
      </c>
      <c r="O29" s="56">
        <f t="shared" si="8"/>
        <v>876000</v>
      </c>
      <c r="P29" s="112">
        <f t="shared" si="24"/>
        <v>53.794425732284246</v>
      </c>
      <c r="Q29" s="163">
        <f t="shared" si="10"/>
        <v>39.515241587886408</v>
      </c>
      <c r="R29" s="163">
        <f t="shared" si="11"/>
        <v>14.279184144397838</v>
      </c>
    </row>
    <row r="30" spans="2:20" hidden="1" outlineLevel="1">
      <c r="B30" s="78">
        <f t="shared" si="3"/>
        <v>45078</v>
      </c>
      <c r="C30" s="75">
        <v>1504587.5914398134</v>
      </c>
      <c r="D30" s="71">
        <f>IF(F30&lt;&gt;0,VLOOKUP($J30,'Table 1'!$B$13:$C$33,2,FALSE)/12*1000*Study_MW,0)</f>
        <v>0</v>
      </c>
      <c r="E30" s="71">
        <f t="shared" si="21"/>
        <v>1504587.5914398134</v>
      </c>
      <c r="F30" s="75">
        <v>72000</v>
      </c>
      <c r="G30" s="76">
        <f t="shared" si="16"/>
        <v>20.897049881108519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4"/>
        <v>2036</v>
      </c>
      <c r="M30" s="56">
        <f t="shared" si="6"/>
        <v>37034131.184405804</v>
      </c>
      <c r="N30" s="56">
        <f t="shared" si="7"/>
        <v>12778372.591006421</v>
      </c>
      <c r="O30" s="56">
        <f t="shared" si="8"/>
        <v>878400</v>
      </c>
      <c r="P30" s="112">
        <f t="shared" si="24"/>
        <v>56.708223788037593</v>
      </c>
      <c r="Q30" s="163">
        <f t="shared" si="10"/>
        <v>42.160896157110429</v>
      </c>
      <c r="R30" s="163">
        <f t="shared" si="11"/>
        <v>14.547327630927164</v>
      </c>
    </row>
    <row r="31" spans="2:20" hidden="1" outlineLevel="1">
      <c r="B31" s="78">
        <f t="shared" si="3"/>
        <v>45108</v>
      </c>
      <c r="C31" s="75">
        <v>5682971.2045930624</v>
      </c>
      <c r="D31" s="71">
        <f>IF(F31&lt;&gt;0,VLOOKUP($J31,'Table 1'!$B$13:$C$33,2,FALSE)/12*1000*Study_MW,0)</f>
        <v>0</v>
      </c>
      <c r="E31" s="71">
        <f t="shared" si="21"/>
        <v>5682971.2045930624</v>
      </c>
      <c r="F31" s="75">
        <v>74400</v>
      </c>
      <c r="G31" s="76">
        <f t="shared" si="16"/>
        <v>76.384021567111049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4"/>
        <v>2037</v>
      </c>
      <c r="M31" s="56">
        <f t="shared" si="6"/>
        <v>42697283.156379431</v>
      </c>
      <c r="N31" s="56">
        <f t="shared" si="7"/>
        <v>13053533.190578161</v>
      </c>
      <c r="O31" s="56">
        <f t="shared" si="8"/>
        <v>876000</v>
      </c>
      <c r="P31" s="112">
        <f t="shared" si="24"/>
        <v>63.642484414335151</v>
      </c>
      <c r="Q31" s="163">
        <f t="shared" si="10"/>
        <v>48.741190817784741</v>
      </c>
      <c r="R31" s="163">
        <f t="shared" si="11"/>
        <v>14.901293596550412</v>
      </c>
    </row>
    <row r="32" spans="2:20" hidden="1" outlineLevel="1">
      <c r="B32" s="78">
        <f t="shared" si="3"/>
        <v>45139</v>
      </c>
      <c r="C32" s="75">
        <v>3403147.1286122501</v>
      </c>
      <c r="D32" s="71">
        <f>IF(F32&lt;&gt;0,VLOOKUP($J32,'Table 1'!$B$13:$C$33,2,FALSE)/12*1000*Study_MW,0)</f>
        <v>0</v>
      </c>
      <c r="E32" s="71">
        <f t="shared" si="21"/>
        <v>3403147.1286122501</v>
      </c>
      <c r="F32" s="75">
        <v>74400</v>
      </c>
      <c r="G32" s="76">
        <f t="shared" si="16"/>
        <v>45.741224846938849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4"/>
        <v>2038</v>
      </c>
      <c r="M32" s="56">
        <f t="shared" si="6"/>
        <v>41296250.896584824</v>
      </c>
      <c r="N32" s="56">
        <f t="shared" si="7"/>
        <v>13334047.109207712</v>
      </c>
      <c r="O32" s="56">
        <f t="shared" si="8"/>
        <v>876000</v>
      </c>
      <c r="P32" s="112">
        <f t="shared" ref="P32:P34" si="25">(M32+N32)/O32</f>
        <v>62.363353887891023</v>
      </c>
      <c r="Q32" s="163">
        <f t="shared" si="10"/>
        <v>47.141838923042037</v>
      </c>
      <c r="R32" s="163">
        <f t="shared" si="11"/>
        <v>15.221514964848986</v>
      </c>
    </row>
    <row r="33" spans="2:20" hidden="1" outlineLevel="1">
      <c r="B33" s="78">
        <f t="shared" si="3"/>
        <v>45170</v>
      </c>
      <c r="C33" s="75">
        <v>2642160.1527192295</v>
      </c>
      <c r="D33" s="71">
        <f>IF(F33&lt;&gt;0,VLOOKUP($J33,'Table 1'!$B$13:$C$33,2,FALSE)/12*1000*Study_MW,0)</f>
        <v>0</v>
      </c>
      <c r="E33" s="71">
        <f t="shared" si="21"/>
        <v>2642160.1527192295</v>
      </c>
      <c r="F33" s="75">
        <v>72000</v>
      </c>
      <c r="G33" s="76">
        <f t="shared" si="16"/>
        <v>36.696668787767074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4"/>
        <v>2039</v>
      </c>
      <c r="M33" s="56">
        <f t="shared" si="6"/>
        <v>45088590.417574614</v>
      </c>
      <c r="N33" s="56">
        <f t="shared" si="7"/>
        <v>13620985.010706641</v>
      </c>
      <c r="O33" s="56">
        <f t="shared" si="8"/>
        <v>876000</v>
      </c>
      <c r="P33" s="112">
        <f t="shared" si="25"/>
        <v>67.020063274293676</v>
      </c>
      <c r="Q33" s="163">
        <f t="shared" si="10"/>
        <v>51.47099362736828</v>
      </c>
      <c r="R33" s="163">
        <f t="shared" si="11"/>
        <v>15.549069646925389</v>
      </c>
    </row>
    <row r="34" spans="2:20" hidden="1" outlineLevel="1">
      <c r="B34" s="78">
        <f t="shared" si="3"/>
        <v>45200</v>
      </c>
      <c r="C34" s="75">
        <v>1703345.621076405</v>
      </c>
      <c r="D34" s="71">
        <f>IF(F34&lt;&gt;0,VLOOKUP($J34,'Table 1'!$B$13:$C$33,2,FALSE)/12*1000*Study_MW,0)</f>
        <v>0</v>
      </c>
      <c r="E34" s="71">
        <f t="shared" si="21"/>
        <v>1703345.621076405</v>
      </c>
      <c r="F34" s="75">
        <v>74400</v>
      </c>
      <c r="G34" s="76">
        <f t="shared" si="16"/>
        <v>22.894430390811895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4"/>
        <v>2040</v>
      </c>
      <c r="M34" s="56">
        <f t="shared" si="6"/>
        <v>45788503.736302346</v>
      </c>
      <c r="N34" s="56">
        <f t="shared" si="7"/>
        <v>13914346.895074949</v>
      </c>
      <c r="O34" s="56">
        <f t="shared" si="8"/>
        <v>878400</v>
      </c>
      <c r="P34" s="112">
        <f t="shared" si="25"/>
        <v>67.967726128617144</v>
      </c>
      <c r="Q34" s="163">
        <f t="shared" ref="Q34" si="26">M34/O34</f>
        <v>52.127167277211228</v>
      </c>
      <c r="R34" s="163">
        <f t="shared" ref="R34" si="27">IFERROR(N34/O34,0)</f>
        <v>15.840558851405907</v>
      </c>
    </row>
    <row r="35" spans="2:20" hidden="1" outlineLevel="1">
      <c r="B35" s="78">
        <f t="shared" si="3"/>
        <v>45231</v>
      </c>
      <c r="C35" s="75">
        <v>1656851.8293760419</v>
      </c>
      <c r="D35" s="71">
        <f>IF(F35&lt;&gt;0,VLOOKUP($J35,'Table 1'!$B$13:$C$33,2,FALSE)/12*1000*Study_MW,0)</f>
        <v>0</v>
      </c>
      <c r="E35" s="71">
        <f t="shared" si="21"/>
        <v>1656851.8293760419</v>
      </c>
      <c r="F35" s="75">
        <v>72000</v>
      </c>
      <c r="G35" s="76">
        <f t="shared" si="16"/>
        <v>23.011830963556136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4"/>
        <v>2041</v>
      </c>
      <c r="M35" s="56">
        <f t="shared" si="6"/>
        <v>46656936.094621152</v>
      </c>
      <c r="N35" s="56">
        <f t="shared" si="7"/>
        <v>14214132.762312638</v>
      </c>
      <c r="O35" s="56">
        <f t="shared" si="8"/>
        <v>876000</v>
      </c>
      <c r="P35" s="112">
        <f t="shared" ref="P35" si="28">(M35+N35)/O35</f>
        <v>69.487521526180117</v>
      </c>
      <c r="Q35" s="163">
        <f t="shared" ref="Q35" si="29">M35/O35</f>
        <v>53.261342573768438</v>
      </c>
      <c r="R35" s="163">
        <f t="shared" ref="R35" si="30">IFERROR(N35/O35,0)</f>
        <v>16.226178952411686</v>
      </c>
    </row>
    <row r="36" spans="2:20" hidden="1" outlineLevel="1">
      <c r="B36" s="82">
        <f t="shared" si="3"/>
        <v>45261</v>
      </c>
      <c r="C36" s="79">
        <v>2128178.8446159959</v>
      </c>
      <c r="D36" s="80">
        <f>IF(F36&lt;&gt;0,VLOOKUP($J36,'Table 1'!$B$13:$C$33,2,FALSE)/12*1000*Study_MW,0)</f>
        <v>0</v>
      </c>
      <c r="E36" s="80">
        <f t="shared" si="21"/>
        <v>2128178.8446159959</v>
      </c>
      <c r="F36" s="79">
        <v>74400</v>
      </c>
      <c r="G36" s="81">
        <f t="shared" si="16"/>
        <v>28.604554363118226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4"/>
        <v>2042</v>
      </c>
      <c r="M36" s="56">
        <f t="shared" si="6"/>
        <v>0</v>
      </c>
      <c r="N36" s="56">
        <f t="shared" si="7"/>
        <v>0</v>
      </c>
      <c r="O36" s="56">
        <f t="shared" si="8"/>
        <v>0</v>
      </c>
      <c r="P36" s="112" t="e">
        <f t="shared" ref="P36" si="31">(M36+N36)/O36</f>
        <v>#DIV/0!</v>
      </c>
      <c r="Q36" s="163" t="e">
        <f t="shared" ref="Q36" si="32">M36/O36</f>
        <v>#DIV/0!</v>
      </c>
      <c r="R36" s="163">
        <f t="shared" ref="R36" si="33">IFERROR(N36/O36,0)</f>
        <v>0</v>
      </c>
    </row>
    <row r="37" spans="2:20" hidden="1" outlineLevel="1">
      <c r="B37" s="74">
        <f t="shared" si="3"/>
        <v>45292</v>
      </c>
      <c r="C37" s="69">
        <v>2232328.4510372281</v>
      </c>
      <c r="D37" s="70">
        <f>IF(F37&lt;&gt;0,VLOOKUP($J37,'Table 1'!$B$13:$C$33,2,FALSE)/12*1000*Study_MW,0)</f>
        <v>0</v>
      </c>
      <c r="E37" s="70">
        <f t="shared" si="21"/>
        <v>2232328.4510372281</v>
      </c>
      <c r="F37" s="69">
        <v>74400</v>
      </c>
      <c r="G37" s="72">
        <f t="shared" si="16"/>
        <v>30.004414664478873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4"/>
        <v>2043</v>
      </c>
      <c r="M37" s="56">
        <f t="shared" si="6"/>
        <v>0</v>
      </c>
      <c r="N37" s="56">
        <f t="shared" si="7"/>
        <v>0</v>
      </c>
      <c r="O37" s="56">
        <f t="shared" si="8"/>
        <v>0</v>
      </c>
      <c r="P37" s="112" t="e">
        <f t="shared" ref="P37" si="34">(M37+N37)/O37</f>
        <v>#DIV/0!</v>
      </c>
      <c r="Q37" s="163" t="e">
        <f t="shared" ref="Q37" si="35">M37/O37</f>
        <v>#DIV/0!</v>
      </c>
      <c r="R37" s="163">
        <f t="shared" ref="R37" si="36">IFERROR(N37/O37,0)</f>
        <v>0</v>
      </c>
    </row>
    <row r="38" spans="2:20" hidden="1" outlineLevel="1">
      <c r="B38" s="78">
        <f t="shared" si="3"/>
        <v>45323</v>
      </c>
      <c r="C38" s="75">
        <v>2281571.467583403</v>
      </c>
      <c r="D38" s="71">
        <f>IF(F38&lt;&gt;0,VLOOKUP($J38,'Table 1'!$B$13:$C$33,2,FALSE)/12*1000*Study_MW,0)</f>
        <v>0</v>
      </c>
      <c r="E38" s="71">
        <f t="shared" si="21"/>
        <v>2281571.467583403</v>
      </c>
      <c r="F38" s="75">
        <v>69600</v>
      </c>
      <c r="G38" s="76">
        <f t="shared" si="16"/>
        <v>32.781199246887972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4"/>
        <v>2044</v>
      </c>
      <c r="M38" s="56">
        <f t="shared" si="6"/>
        <v>0</v>
      </c>
      <c r="N38" s="56">
        <f t="shared" si="7"/>
        <v>0</v>
      </c>
      <c r="O38" s="56">
        <f t="shared" si="8"/>
        <v>0</v>
      </c>
      <c r="P38" s="112" t="e">
        <f t="shared" ref="P38:P41" si="37">(M38+N38)/O38</f>
        <v>#DIV/0!</v>
      </c>
      <c r="Q38" s="163" t="e">
        <f t="shared" ref="Q38:Q41" si="38">M38/O38</f>
        <v>#DIV/0!</v>
      </c>
      <c r="R38" s="163">
        <f t="shared" ref="R38:R41" si="39">IFERROR(N38/O38,0)</f>
        <v>0</v>
      </c>
    </row>
    <row r="39" spans="2:20" hidden="1" outlineLevel="1">
      <c r="B39" s="78">
        <f t="shared" si="3"/>
        <v>45352</v>
      </c>
      <c r="C39" s="75">
        <v>1935485.0287188888</v>
      </c>
      <c r="D39" s="71">
        <f>IF(F39&lt;&gt;0,VLOOKUP($J39,'Table 1'!$B$13:$C$33,2,FALSE)/12*1000*Study_MW,0)</f>
        <v>0</v>
      </c>
      <c r="E39" s="71">
        <f t="shared" si="21"/>
        <v>1935485.0287188888</v>
      </c>
      <c r="F39" s="75">
        <v>74400</v>
      </c>
      <c r="G39" s="76">
        <f t="shared" si="16"/>
        <v>26.014583719339903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4"/>
        <v>2045</v>
      </c>
      <c r="M39" s="56">
        <f>SUMIF($J$13:$J$328,L39,$C$13:$C$328)</f>
        <v>0</v>
      </c>
      <c r="N39" s="56">
        <f>SUMIF($J$13:$J$328,L39,$D$13:$D$328)</f>
        <v>0</v>
      </c>
      <c r="O39" s="56">
        <f>SUMIF($J$13:$J$328,L39,$F$13:$F$328)</f>
        <v>0</v>
      </c>
      <c r="P39" s="112" t="e">
        <f t="shared" si="37"/>
        <v>#DIV/0!</v>
      </c>
      <c r="Q39" s="163" t="e">
        <f t="shared" si="38"/>
        <v>#DIV/0!</v>
      </c>
      <c r="R39" s="163">
        <f t="shared" si="39"/>
        <v>0</v>
      </c>
    </row>
    <row r="40" spans="2:20" hidden="1" outlineLevel="1">
      <c r="B40" s="78">
        <f t="shared" si="3"/>
        <v>45383</v>
      </c>
      <c r="C40" s="75">
        <v>1380033.4309533834</v>
      </c>
      <c r="D40" s="71">
        <f>IF(F40&lt;&gt;0,VLOOKUP($J40,'Table 1'!$B$13:$C$33,2,FALSE)/12*1000*Study_MW,0)</f>
        <v>0</v>
      </c>
      <c r="E40" s="71">
        <f t="shared" si="21"/>
        <v>1380033.4309533834</v>
      </c>
      <c r="F40" s="75">
        <v>72000</v>
      </c>
      <c r="G40" s="76">
        <f t="shared" si="16"/>
        <v>19.167130985463658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4"/>
        <v>2046</v>
      </c>
      <c r="M40" s="56">
        <f>SUMIF($J$13:$J$328,L40,$C$13:$C$328)</f>
        <v>0</v>
      </c>
      <c r="N40" s="56">
        <f>SUMIF($J$13:$J$328,L40,$D$13:$D$328)</f>
        <v>0</v>
      </c>
      <c r="O40" s="56">
        <f>SUMIF($J$13:$J$328,L40,$F$13:$F$328)</f>
        <v>0</v>
      </c>
      <c r="P40" s="112" t="e">
        <f t="shared" si="37"/>
        <v>#DIV/0!</v>
      </c>
      <c r="Q40" s="163" t="e">
        <f t="shared" si="38"/>
        <v>#DIV/0!</v>
      </c>
      <c r="R40" s="163">
        <f t="shared" si="39"/>
        <v>0</v>
      </c>
      <c r="S40" s="58"/>
      <c r="T40" s="91"/>
    </row>
    <row r="41" spans="2:20" hidden="1" outlineLevel="1">
      <c r="B41" s="78">
        <f t="shared" si="3"/>
        <v>45413</v>
      </c>
      <c r="C41" s="75">
        <v>1330516.3532816023</v>
      </c>
      <c r="D41" s="71">
        <f>IF(F41&lt;&gt;0,VLOOKUP($J41,'Table 1'!$B$13:$C$33,2,FALSE)/12*1000*Study_MW,0)</f>
        <v>0</v>
      </c>
      <c r="E41" s="71">
        <f t="shared" si="21"/>
        <v>1330516.3532816023</v>
      </c>
      <c r="F41" s="75">
        <v>74400</v>
      </c>
      <c r="G41" s="76">
        <f t="shared" si="16"/>
        <v>17.883284318301104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4"/>
        <v>2047</v>
      </c>
      <c r="M41" s="56">
        <f>SUMIF($J$13:$J$328,L41,$C$13:$C$328)</f>
        <v>0</v>
      </c>
      <c r="N41" s="56">
        <f>SUMIF($J$13:$J$328,L41,$D$13:$D$328)</f>
        <v>0</v>
      </c>
      <c r="O41" s="56">
        <f>SUMIF($J$13:$J$328,L41,$F$13:$F$328)</f>
        <v>0</v>
      </c>
      <c r="P41" s="112" t="e">
        <f t="shared" si="37"/>
        <v>#DIV/0!</v>
      </c>
      <c r="Q41" s="163" t="e">
        <f t="shared" si="38"/>
        <v>#DIV/0!</v>
      </c>
      <c r="R41" s="163">
        <f t="shared" si="39"/>
        <v>0</v>
      </c>
      <c r="S41" s="58"/>
      <c r="T41" s="91"/>
    </row>
    <row r="42" spans="2:20" hidden="1" outlineLevel="1">
      <c r="B42" s="78">
        <f t="shared" si="3"/>
        <v>45444</v>
      </c>
      <c r="C42" s="75">
        <v>1367465.4089211971</v>
      </c>
      <c r="D42" s="71">
        <f>IF(F42&lt;&gt;0,VLOOKUP($J42,'Table 1'!$B$13:$C$33,2,FALSE)/12*1000*Study_MW,0)</f>
        <v>0</v>
      </c>
      <c r="E42" s="71">
        <f t="shared" si="21"/>
        <v>1367465.4089211971</v>
      </c>
      <c r="F42" s="75">
        <v>72000</v>
      </c>
      <c r="G42" s="76">
        <f t="shared" si="16"/>
        <v>18.992575123905514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4"/>
        <v>2048</v>
      </c>
      <c r="P42" s="112"/>
      <c r="Q42" s="163"/>
      <c r="R42" s="163"/>
    </row>
    <row r="43" spans="2:20" hidden="1" outlineLevel="1">
      <c r="B43" s="78">
        <f t="shared" si="3"/>
        <v>45474</v>
      </c>
      <c r="C43" s="75">
        <v>3609250.6791419387</v>
      </c>
      <c r="D43" s="71">
        <f>IF(F43&lt;&gt;0,VLOOKUP($J43,'Table 1'!$B$13:$C$33,2,FALSE)/12*1000*Study_MW,0)</f>
        <v>0</v>
      </c>
      <c r="E43" s="71">
        <f t="shared" si="21"/>
        <v>3609250.6791419387</v>
      </c>
      <c r="F43" s="75">
        <v>74400</v>
      </c>
      <c r="G43" s="76">
        <f t="shared" si="16"/>
        <v>48.511433859434661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3840183.4104957581</v>
      </c>
      <c r="D44" s="71">
        <f>IF(F44&lt;&gt;0,VLOOKUP($J44,'Table 1'!$B$13:$C$33,2,FALSE)/12*1000*Study_MW,0)</f>
        <v>0</v>
      </c>
      <c r="E44" s="71">
        <f t="shared" si="21"/>
        <v>3840183.4104957581</v>
      </c>
      <c r="F44" s="75">
        <v>74400</v>
      </c>
      <c r="G44" s="76">
        <f t="shared" si="16"/>
        <v>51.615368420641907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2847874.4056547582</v>
      </c>
      <c r="D45" s="71">
        <f>IF(F45&lt;&gt;0,VLOOKUP($J45,'Table 1'!$B$13:$C$33,2,FALSE)/12*1000*Study_MW,0)</f>
        <v>0</v>
      </c>
      <c r="E45" s="71">
        <f t="shared" si="21"/>
        <v>2847874.4056547582</v>
      </c>
      <c r="F45" s="75">
        <v>72000</v>
      </c>
      <c r="G45" s="76">
        <f t="shared" si="16"/>
        <v>39.553811189649423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1966326.7115857005</v>
      </c>
      <c r="D46" s="71">
        <f>IF(F46&lt;&gt;0,VLOOKUP($J46,'Table 1'!$B$13:$C$33,2,FALSE)/12*1000*Study_MW,0)</f>
        <v>0</v>
      </c>
      <c r="E46" s="71">
        <f t="shared" si="21"/>
        <v>1966326.7115857005</v>
      </c>
      <c r="F46" s="75">
        <v>74400</v>
      </c>
      <c r="G46" s="76">
        <f t="shared" si="16"/>
        <v>26.429122467549739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2328426.4044508636</v>
      </c>
      <c r="D47" s="71">
        <f>IF(F47&lt;&gt;0,VLOOKUP($J47,'Table 1'!$B$13:$C$33,2,FALSE)/12*1000*Study_MW,0)</f>
        <v>0</v>
      </c>
      <c r="E47" s="71">
        <f t="shared" si="21"/>
        <v>2328426.4044508636</v>
      </c>
      <c r="F47" s="75">
        <v>72000</v>
      </c>
      <c r="G47" s="76">
        <f t="shared" si="16"/>
        <v>32.339255617373105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3133845.8953217268</v>
      </c>
      <c r="D48" s="80">
        <f>IF(F48&lt;&gt;0,VLOOKUP($J48,'Table 1'!$B$13:$C$33,2,FALSE)/12*1000*Study_MW,0)</f>
        <v>0</v>
      </c>
      <c r="E48" s="80">
        <f t="shared" si="21"/>
        <v>3133845.8953217268</v>
      </c>
      <c r="F48" s="79">
        <v>74400</v>
      </c>
      <c r="G48" s="81">
        <f t="shared" si="16"/>
        <v>42.121584614539337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1277418.582881093</v>
      </c>
      <c r="D49" s="70">
        <f>IF(F49&lt;&gt;0,VLOOKUP($J49,'Table 1'!$B$13:$C$33,2,FALSE)/12*1000*Study_MW,0)</f>
        <v>0</v>
      </c>
      <c r="E49" s="70">
        <f t="shared" si="21"/>
        <v>1277418.582881093</v>
      </c>
      <c r="F49" s="69">
        <v>74400</v>
      </c>
      <c r="G49" s="72">
        <f t="shared" si="16"/>
        <v>17.16960460861684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1723075.7240142375</v>
      </c>
      <c r="D50" s="71">
        <f>IF(F50&lt;&gt;0,VLOOKUP($J50,'Table 1'!$B$13:$C$33,2,FALSE)/12*1000*Study_MW,0)</f>
        <v>0</v>
      </c>
      <c r="E50" s="71">
        <f t="shared" si="21"/>
        <v>1723075.7240142375</v>
      </c>
      <c r="F50" s="75">
        <v>67200</v>
      </c>
      <c r="G50" s="76">
        <f t="shared" si="16"/>
        <v>25.641007797830916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1550286.1210424602</v>
      </c>
      <c r="D51" s="71">
        <f>IF(F51&lt;&gt;0,VLOOKUP($J51,'Table 1'!$B$13:$C$33,2,FALSE)/12*1000*Study_MW,0)</f>
        <v>0</v>
      </c>
      <c r="E51" s="71">
        <f t="shared" si="21"/>
        <v>1550286.1210424602</v>
      </c>
      <c r="F51" s="75">
        <v>74400</v>
      </c>
      <c r="G51" s="76">
        <f t="shared" si="16"/>
        <v>20.837179046269625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1313485.1832321435</v>
      </c>
      <c r="D52" s="71">
        <f>IF(F52&lt;&gt;0,VLOOKUP($J52,'Table 1'!$B$13:$C$33,2,FALSE)/12*1000*Study_MW,0)</f>
        <v>0</v>
      </c>
      <c r="E52" s="71">
        <f t="shared" si="21"/>
        <v>1313485.1832321435</v>
      </c>
      <c r="F52" s="75">
        <v>72000</v>
      </c>
      <c r="G52" s="76">
        <f t="shared" si="16"/>
        <v>18.242849767113103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1212094.7544422299</v>
      </c>
      <c r="D53" s="71">
        <f>IF(F53&lt;&gt;0,VLOOKUP($J53,'Table 1'!$B$13:$C$33,2,FALSE)/12*1000*Study_MW,0)</f>
        <v>0</v>
      </c>
      <c r="E53" s="71">
        <f t="shared" si="21"/>
        <v>1212094.7544422299</v>
      </c>
      <c r="F53" s="75">
        <v>74400</v>
      </c>
      <c r="G53" s="76">
        <f t="shared" si="16"/>
        <v>16.291596161857928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1238264.0614839643</v>
      </c>
      <c r="D54" s="71">
        <f>IF(F54&lt;&gt;0,VLOOKUP($J54,'Table 1'!$B$13:$C$33,2,FALSE)/12*1000*Study_MW,0)</f>
        <v>0</v>
      </c>
      <c r="E54" s="71">
        <f t="shared" si="21"/>
        <v>1238264.0614839643</v>
      </c>
      <c r="F54" s="75">
        <v>72000</v>
      </c>
      <c r="G54" s="76">
        <f t="shared" si="16"/>
        <v>17.198111965055059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3259583.1741439551</v>
      </c>
      <c r="D55" s="71">
        <f>IF(F55&lt;&gt;0,VLOOKUP($J55,'Table 1'!$B$13:$C$33,2,FALSE)/12*1000*Study_MW,0)</f>
        <v>0</v>
      </c>
      <c r="E55" s="71">
        <f t="shared" si="21"/>
        <v>3259583.1741439551</v>
      </c>
      <c r="F55" s="75">
        <v>74400</v>
      </c>
      <c r="G55" s="76">
        <f t="shared" si="16"/>
        <v>43.811601803010149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3894316.2907721102</v>
      </c>
      <c r="D56" s="71">
        <f>IF(F56&lt;&gt;0,VLOOKUP($J56,'Table 1'!$B$13:$C$33,2,FALSE)/12*1000*Study_MW,0)</f>
        <v>0</v>
      </c>
      <c r="E56" s="71">
        <f t="shared" si="21"/>
        <v>3894316.2907721102</v>
      </c>
      <c r="F56" s="75">
        <v>74400</v>
      </c>
      <c r="G56" s="76">
        <f t="shared" si="16"/>
        <v>52.342960897474597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2518256.9283922613</v>
      </c>
      <c r="D57" s="71">
        <f>IF(F57&lt;&gt;0,VLOOKUP($J57,'Table 1'!$B$13:$C$33,2,FALSE)/12*1000*Study_MW,0)</f>
        <v>0</v>
      </c>
      <c r="E57" s="71">
        <f t="shared" si="21"/>
        <v>2518256.9283922613</v>
      </c>
      <c r="F57" s="75">
        <v>72000</v>
      </c>
      <c r="G57" s="76">
        <f t="shared" si="16"/>
        <v>34.975790672114741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1600735.6721915603</v>
      </c>
      <c r="D58" s="71">
        <f>IF(F58&lt;&gt;0,VLOOKUP($J58,'Table 1'!$B$13:$C$33,2,FALSE)/12*1000*Study_MW,0)</f>
        <v>0</v>
      </c>
      <c r="E58" s="71">
        <f t="shared" si="21"/>
        <v>1600735.6721915603</v>
      </c>
      <c r="F58" s="75">
        <v>74400</v>
      </c>
      <c r="G58" s="76">
        <f t="shared" si="16"/>
        <v>21.515264411176886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2260753.8695709705</v>
      </c>
      <c r="D59" s="71">
        <f>IF(F59&lt;&gt;0,VLOOKUP($J59,'Table 1'!$B$13:$C$33,2,FALSE)/12*1000*Study_MW,0)</f>
        <v>0</v>
      </c>
      <c r="E59" s="71">
        <f t="shared" si="21"/>
        <v>2260753.8695709705</v>
      </c>
      <c r="F59" s="75">
        <v>72000</v>
      </c>
      <c r="G59" s="76">
        <f t="shared" si="16"/>
        <v>31.399359299596814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2550808.9643462002</v>
      </c>
      <c r="D60" s="80">
        <f>IF(F60&lt;&gt;0,VLOOKUP($J60,'Table 1'!$B$13:$C$33,2,FALSE)/12*1000*Study_MW,0)</f>
        <v>0</v>
      </c>
      <c r="E60" s="80">
        <f t="shared" si="21"/>
        <v>2550808.9643462002</v>
      </c>
      <c r="F60" s="79">
        <v>74400</v>
      </c>
      <c r="G60" s="81">
        <f t="shared" si="16"/>
        <v>34.28506672508334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2513048.225235641</v>
      </c>
      <c r="D61" s="70">
        <f>IF(F61&lt;&gt;0,VLOOKUP($J61,'Table 1'!$B$13:$C$33,2,FALSE)/12*1000*Study_MW,0)</f>
        <v>0</v>
      </c>
      <c r="E61" s="70">
        <f t="shared" si="21"/>
        <v>2513048.225235641</v>
      </c>
      <c r="F61" s="69">
        <v>74400</v>
      </c>
      <c r="G61" s="72">
        <f t="shared" si="16"/>
        <v>33.777529909081196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2333261.8222510219</v>
      </c>
      <c r="D62" s="71">
        <f>IF(F62&lt;&gt;0,VLOOKUP($J62,'Table 1'!$B$13:$C$33,2,FALSE)/12*1000*Study_MW,0)</f>
        <v>0</v>
      </c>
      <c r="E62" s="71">
        <f t="shared" si="21"/>
        <v>2333261.8222510219</v>
      </c>
      <c r="F62" s="75">
        <v>67200</v>
      </c>
      <c r="G62" s="76">
        <f t="shared" si="16"/>
        <v>34.721158069211633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2013653.7713922113</v>
      </c>
      <c r="D63" s="71">
        <f>IF(F63&lt;&gt;0,VLOOKUP($J63,'Table 1'!$B$13:$C$33,2,FALSE)/12*1000*Study_MW,0)</f>
        <v>0</v>
      </c>
      <c r="E63" s="71">
        <f t="shared" si="21"/>
        <v>2013653.7713922113</v>
      </c>
      <c r="F63" s="75">
        <v>74400</v>
      </c>
      <c r="G63" s="76">
        <f t="shared" si="16"/>
        <v>27.065238862798541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1529542.8591734171</v>
      </c>
      <c r="D64" s="71">
        <f>IF(F64&lt;&gt;0,VLOOKUP($J64,'Table 1'!$B$13:$C$33,2,FALSE)/12*1000*Study_MW,0)</f>
        <v>0</v>
      </c>
      <c r="E64" s="71">
        <f t="shared" si="21"/>
        <v>1529542.8591734171</v>
      </c>
      <c r="F64" s="75">
        <v>72000</v>
      </c>
      <c r="G64" s="76">
        <f t="shared" si="16"/>
        <v>21.243650821853016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1189837.7110015005</v>
      </c>
      <c r="D65" s="71">
        <f>IF(F65&lt;&gt;0,VLOOKUP($J65,'Table 1'!$B$13:$C$33,2,FALSE)/12*1000*Study_MW,0)</f>
        <v>0</v>
      </c>
      <c r="E65" s="71">
        <f t="shared" si="21"/>
        <v>1189837.7110015005</v>
      </c>
      <c r="F65" s="75">
        <v>74400</v>
      </c>
      <c r="G65" s="76">
        <f t="shared" si="16"/>
        <v>15.992442352170706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1203114.7498904169</v>
      </c>
      <c r="D66" s="71">
        <f>IF(F66&lt;&gt;0,VLOOKUP($J66,'Table 1'!$B$13:$C$33,2,FALSE)/12*1000*Study_MW,0)</f>
        <v>0</v>
      </c>
      <c r="E66" s="71">
        <f t="shared" si="21"/>
        <v>1203114.7498904169</v>
      </c>
      <c r="F66" s="75">
        <v>72000</v>
      </c>
      <c r="G66" s="76">
        <f t="shared" si="16"/>
        <v>16.709927081811344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3926412.3306668699</v>
      </c>
      <c r="D67" s="71">
        <f>IF(F67&lt;&gt;0,VLOOKUP($J67,'Table 1'!$B$13:$C$33,2,FALSE)/12*1000*Study_MW,0)</f>
        <v>0</v>
      </c>
      <c r="E67" s="71">
        <f t="shared" si="21"/>
        <v>3926412.3306668699</v>
      </c>
      <c r="F67" s="75">
        <v>74400</v>
      </c>
      <c r="G67" s="76">
        <f t="shared" si="16"/>
        <v>52.774359283156855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5546230.9132242054</v>
      </c>
      <c r="D68" s="71">
        <f>IF(F68&lt;&gt;0,VLOOKUP($J68,'Table 1'!$B$13:$C$33,2,FALSE)/12*1000*Study_MW,0)</f>
        <v>0</v>
      </c>
      <c r="E68" s="71">
        <f t="shared" si="21"/>
        <v>5546230.9132242054</v>
      </c>
      <c r="F68" s="75">
        <v>74400</v>
      </c>
      <c r="G68" s="76">
        <f t="shared" si="16"/>
        <v>74.54611442505653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3214016.9732691497</v>
      </c>
      <c r="D69" s="71">
        <f>IF(F69&lt;&gt;0,VLOOKUP($J69,'Table 1'!$B$13:$C$33,2,FALSE)/12*1000*Study_MW,0)</f>
        <v>0</v>
      </c>
      <c r="E69" s="71">
        <f t="shared" si="21"/>
        <v>3214016.9732691497</v>
      </c>
      <c r="F69" s="75">
        <v>72000</v>
      </c>
      <c r="G69" s="76">
        <f t="shared" si="16"/>
        <v>44.639124628738188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1989182.4117565602</v>
      </c>
      <c r="D70" s="71">
        <f>IF(F70&lt;&gt;0,VLOOKUP($J70,'Table 1'!$B$13:$C$33,2,FALSE)/12*1000*Study_MW,0)</f>
        <v>0</v>
      </c>
      <c r="E70" s="71">
        <f t="shared" si="21"/>
        <v>1989182.4117565602</v>
      </c>
      <c r="F70" s="75">
        <v>74400</v>
      </c>
      <c r="G70" s="76">
        <f t="shared" si="16"/>
        <v>26.736322738663443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2826931.6483736038</v>
      </c>
      <c r="D71" s="71">
        <f>IF(F71&lt;&gt;0,VLOOKUP($J71,'Table 1'!$B$13:$C$33,2,FALSE)/12*1000*Study_MW,0)</f>
        <v>0</v>
      </c>
      <c r="E71" s="71">
        <f t="shared" si="21"/>
        <v>2826931.6483736038</v>
      </c>
      <c r="F71" s="75">
        <v>72000</v>
      </c>
      <c r="G71" s="76">
        <f t="shared" si="16"/>
        <v>39.262939560744499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3437486.8525452465</v>
      </c>
      <c r="D72" s="80">
        <f>IF(F72&lt;&gt;0,VLOOKUP($J72,'Table 1'!$B$13:$C$33,2,FALSE)/12*1000*Study_MW,0)</f>
        <v>0</v>
      </c>
      <c r="E72" s="80">
        <f t="shared" si="21"/>
        <v>3437486.8525452465</v>
      </c>
      <c r="F72" s="79">
        <v>74400</v>
      </c>
      <c r="G72" s="81">
        <f t="shared" si="16"/>
        <v>46.202780276145788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3105472.0520081371</v>
      </c>
      <c r="D73" s="70">
        <f>IF(F73&lt;&gt;0,VLOOKUP($J73,'Table 1'!$B$13:$C$33,2,FALSE)/12*1000*Study_MW,0)</f>
        <v>0</v>
      </c>
      <c r="E73" s="70">
        <f t="shared" si="21"/>
        <v>3105472.0520081371</v>
      </c>
      <c r="F73" s="69">
        <v>74400</v>
      </c>
      <c r="G73" s="72">
        <f t="shared" si="16"/>
        <v>41.740215752797539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2426134.5506494492</v>
      </c>
      <c r="D74" s="71">
        <f>IF(F74&lt;&gt;0,VLOOKUP($J74,'Table 1'!$B$13:$C$33,2,FALSE)/12*1000*Study_MW,0)</f>
        <v>0</v>
      </c>
      <c r="E74" s="71">
        <f t="shared" si="21"/>
        <v>2426134.5506494492</v>
      </c>
      <c r="F74" s="75">
        <v>67200</v>
      </c>
      <c r="G74" s="76">
        <f t="shared" si="16"/>
        <v>36.103192717997757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2001578.3831896484</v>
      </c>
      <c r="D75" s="71">
        <f>IF(F75&lt;&gt;0,VLOOKUP($J75,'Table 1'!$B$13:$C$33,2,FALSE)/12*1000*Study_MW,0)</f>
        <v>0</v>
      </c>
      <c r="E75" s="71">
        <f t="shared" si="21"/>
        <v>2001578.3831896484</v>
      </c>
      <c r="F75" s="75">
        <v>74400</v>
      </c>
      <c r="G75" s="76">
        <f t="shared" si="16"/>
        <v>26.902935257925382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1363907.6148438603</v>
      </c>
      <c r="D76" s="71">
        <f>IF(F76&lt;&gt;0,VLOOKUP($J76,'Table 1'!$B$13:$C$33,2,FALSE)/12*1000*Study_MW,0)</f>
        <v>0</v>
      </c>
      <c r="E76" s="71">
        <f t="shared" si="21"/>
        <v>1363907.6148438603</v>
      </c>
      <c r="F76" s="75">
        <v>72000</v>
      </c>
      <c r="G76" s="76">
        <f t="shared" si="16"/>
        <v>18.943161317275838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1414990.0678322911</v>
      </c>
      <c r="D77" s="71">
        <f>IF(F77&lt;&gt;0,VLOOKUP($J77,'Table 1'!$B$13:$C$33,2,FALSE)/12*1000*Study_MW,0)</f>
        <v>0</v>
      </c>
      <c r="E77" s="71">
        <f t="shared" si="21"/>
        <v>1414990.0678322911</v>
      </c>
      <c r="F77" s="75">
        <v>74400</v>
      </c>
      <c r="G77" s="76">
        <f t="shared" si="16"/>
        <v>19.018683707423268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0">EDATE(B77,1)</f>
        <v>46539</v>
      </c>
      <c r="C78" s="75">
        <v>1283183.3177655637</v>
      </c>
      <c r="D78" s="71">
        <f>IF(F78&lt;&gt;0,VLOOKUP($J78,'Table 1'!$B$13:$C$33,2,FALSE)/12*1000*Study_MW,0)</f>
        <v>0</v>
      </c>
      <c r="E78" s="71">
        <f t="shared" ref="E78:E141" si="41">C78+D78</f>
        <v>1283183.3177655637</v>
      </c>
      <c r="F78" s="75">
        <v>72000</v>
      </c>
      <c r="G78" s="76">
        <f t="shared" ref="G78:G141" si="42">IF(ISNUMBER($F78),E78/$F78,"")</f>
        <v>17.82199052452172</v>
      </c>
      <c r="I78" s="77">
        <f t="shared" si="22"/>
        <v>71</v>
      </c>
      <c r="J78" s="73">
        <f t="shared" ref="J78:J141" si="43">YEAR(B78)</f>
        <v>2027</v>
      </c>
      <c r="K78" s="78">
        <f t="shared" si="23"/>
        <v>46539</v>
      </c>
    </row>
    <row r="79" spans="2:11" hidden="1" outlineLevel="1">
      <c r="B79" s="78">
        <f t="shared" si="40"/>
        <v>46569</v>
      </c>
      <c r="C79" s="75">
        <v>4026329.356569171</v>
      </c>
      <c r="D79" s="71">
        <f>IF(F79&lt;&gt;0,VLOOKUP($J79,'Table 1'!$B$13:$C$33,2,FALSE)/12*1000*Study_MW,0)</f>
        <v>0</v>
      </c>
      <c r="E79" s="71">
        <f t="shared" si="41"/>
        <v>4026329.356569171</v>
      </c>
      <c r="F79" s="75">
        <v>74400</v>
      </c>
      <c r="G79" s="76">
        <f t="shared" si="42"/>
        <v>54.11733006141359</v>
      </c>
      <c r="I79" s="77">
        <f t="shared" si="22"/>
        <v>72</v>
      </c>
      <c r="J79" s="73">
        <f t="shared" si="43"/>
        <v>2027</v>
      </c>
      <c r="K79" s="78">
        <f t="shared" si="23"/>
        <v>46569</v>
      </c>
    </row>
    <row r="80" spans="2:11" hidden="1" outlineLevel="1">
      <c r="B80" s="78">
        <f t="shared" si="40"/>
        <v>46600</v>
      </c>
      <c r="C80" s="75">
        <v>5271661.9856941253</v>
      </c>
      <c r="D80" s="71">
        <f>IF(F80&lt;&gt;0,VLOOKUP($J80,'Table 1'!$B$13:$C$33,2,FALSE)/12*1000*Study_MW,0)</f>
        <v>0</v>
      </c>
      <c r="E80" s="71">
        <f t="shared" si="41"/>
        <v>5271661.9856941253</v>
      </c>
      <c r="F80" s="75">
        <v>74400</v>
      </c>
      <c r="G80" s="76">
        <f t="shared" si="42"/>
        <v>70.855671850727489</v>
      </c>
      <c r="I80" s="77">
        <f t="shared" si="22"/>
        <v>73</v>
      </c>
      <c r="J80" s="73">
        <f t="shared" si="43"/>
        <v>2027</v>
      </c>
      <c r="K80" s="78">
        <f t="shared" si="23"/>
        <v>46600</v>
      </c>
    </row>
    <row r="81" spans="2:11" hidden="1" outlineLevel="1">
      <c r="B81" s="78">
        <f t="shared" si="40"/>
        <v>46631</v>
      </c>
      <c r="C81" s="75">
        <v>3234183.5234858915</v>
      </c>
      <c r="D81" s="71">
        <f>IF(F81&lt;&gt;0,VLOOKUP($J81,'Table 1'!$B$13:$C$33,2,FALSE)/12*1000*Study_MW,0)</f>
        <v>0</v>
      </c>
      <c r="E81" s="71">
        <f t="shared" si="41"/>
        <v>3234183.5234858915</v>
      </c>
      <c r="F81" s="75">
        <v>72000</v>
      </c>
      <c r="G81" s="76">
        <f t="shared" si="42"/>
        <v>44.919215603970713</v>
      </c>
      <c r="I81" s="77">
        <f t="shared" si="22"/>
        <v>74</v>
      </c>
      <c r="J81" s="73">
        <f t="shared" si="43"/>
        <v>2027</v>
      </c>
      <c r="K81" s="78">
        <f t="shared" si="23"/>
        <v>46631</v>
      </c>
    </row>
    <row r="82" spans="2:11" hidden="1" outlineLevel="1">
      <c r="B82" s="78">
        <f t="shared" si="40"/>
        <v>46661</v>
      </c>
      <c r="C82" s="75">
        <v>1982382.9891753197</v>
      </c>
      <c r="D82" s="71">
        <f>IF(F82&lt;&gt;0,VLOOKUP($J82,'Table 1'!$B$13:$C$33,2,FALSE)/12*1000*Study_MW,0)</f>
        <v>0</v>
      </c>
      <c r="E82" s="71">
        <f t="shared" si="41"/>
        <v>1982382.9891753197</v>
      </c>
      <c r="F82" s="75">
        <v>74400</v>
      </c>
      <c r="G82" s="76">
        <f t="shared" si="42"/>
        <v>26.644932650205909</v>
      </c>
      <c r="I82" s="77">
        <f t="shared" si="22"/>
        <v>75</v>
      </c>
      <c r="J82" s="73">
        <f t="shared" si="43"/>
        <v>2027</v>
      </c>
      <c r="K82" s="78">
        <f t="shared" si="23"/>
        <v>46661</v>
      </c>
    </row>
    <row r="83" spans="2:11" hidden="1" outlineLevel="1">
      <c r="B83" s="78">
        <f t="shared" si="40"/>
        <v>46692</v>
      </c>
      <c r="C83" s="75">
        <v>3080199.8345383406</v>
      </c>
      <c r="D83" s="71">
        <f>IF(F83&lt;&gt;0,VLOOKUP($J83,'Table 1'!$B$13:$C$33,2,FALSE)/12*1000*Study_MW,0)</f>
        <v>0</v>
      </c>
      <c r="E83" s="71">
        <f t="shared" si="41"/>
        <v>3080199.8345383406</v>
      </c>
      <c r="F83" s="75">
        <v>72000</v>
      </c>
      <c r="G83" s="76">
        <f t="shared" si="42"/>
        <v>42.780553257476953</v>
      </c>
      <c r="I83" s="77">
        <f t="shared" si="22"/>
        <v>76</v>
      </c>
      <c r="J83" s="73">
        <f t="shared" si="43"/>
        <v>2027</v>
      </c>
      <c r="K83" s="78">
        <f t="shared" si="23"/>
        <v>46692</v>
      </c>
    </row>
    <row r="84" spans="2:11" hidden="1" outlineLevel="1">
      <c r="B84" s="82">
        <f t="shared" si="40"/>
        <v>46722</v>
      </c>
      <c r="C84" s="79">
        <v>3513332.4281270355</v>
      </c>
      <c r="D84" s="80">
        <f>IF(F84&lt;&gt;0,VLOOKUP($J84,'Table 1'!$B$13:$C$33,2,FALSE)/12*1000*Study_MW,0)</f>
        <v>0</v>
      </c>
      <c r="E84" s="80">
        <f t="shared" si="41"/>
        <v>3513332.4281270355</v>
      </c>
      <c r="F84" s="79">
        <v>74400</v>
      </c>
      <c r="G84" s="81">
        <f t="shared" si="42"/>
        <v>47.22221005547091</v>
      </c>
      <c r="I84" s="64">
        <f t="shared" si="22"/>
        <v>77</v>
      </c>
      <c r="J84" s="73">
        <f t="shared" si="43"/>
        <v>2027</v>
      </c>
      <c r="K84" s="82">
        <f t="shared" si="23"/>
        <v>46722</v>
      </c>
    </row>
    <row r="85" spans="2:11" hidden="1" outlineLevel="1">
      <c r="B85" s="74">
        <f t="shared" si="40"/>
        <v>46753</v>
      </c>
      <c r="C85" s="69">
        <v>2642606.6636672318</v>
      </c>
      <c r="D85" s="70">
        <f>IF(F85&lt;&gt;0,VLOOKUP($J85,'Table 1'!$B$13:$C$33,2,FALSE)/12*1000*Study_MW,0)</f>
        <v>0</v>
      </c>
      <c r="E85" s="70">
        <f t="shared" si="41"/>
        <v>2642606.6636672318</v>
      </c>
      <c r="F85" s="69">
        <v>74400</v>
      </c>
      <c r="G85" s="72">
        <f t="shared" si="42"/>
        <v>35.518906769720857</v>
      </c>
      <c r="I85" s="60">
        <f>I73+13</f>
        <v>79</v>
      </c>
      <c r="J85" s="73">
        <f t="shared" si="43"/>
        <v>2028</v>
      </c>
      <c r="K85" s="74">
        <f t="shared" si="23"/>
        <v>46753</v>
      </c>
    </row>
    <row r="86" spans="2:11" hidden="1" outlineLevel="1">
      <c r="B86" s="78">
        <f t="shared" si="40"/>
        <v>46784</v>
      </c>
      <c r="C86" s="75">
        <v>2373503.8515187055</v>
      </c>
      <c r="D86" s="71">
        <f>IF(F86&lt;&gt;0,VLOOKUP($J86,'Table 1'!$B$13:$C$33,2,FALSE)/12*1000*Study_MW,0)</f>
        <v>0</v>
      </c>
      <c r="E86" s="71">
        <f t="shared" si="41"/>
        <v>2373503.8515187055</v>
      </c>
      <c r="F86" s="75">
        <v>69600</v>
      </c>
      <c r="G86" s="76">
        <f t="shared" si="42"/>
        <v>34.102066832165306</v>
      </c>
      <c r="I86" s="77">
        <f t="shared" si="22"/>
        <v>80</v>
      </c>
      <c r="J86" s="73">
        <f t="shared" si="43"/>
        <v>2028</v>
      </c>
      <c r="K86" s="78">
        <f t="shared" si="23"/>
        <v>46784</v>
      </c>
    </row>
    <row r="87" spans="2:11" hidden="1" outlineLevel="1">
      <c r="B87" s="78">
        <f t="shared" si="40"/>
        <v>46813</v>
      </c>
      <c r="C87" s="75">
        <v>2097776.3187875003</v>
      </c>
      <c r="D87" s="71">
        <f>IF(F87&lt;&gt;0,VLOOKUP($J87,'Table 1'!$B$13:$C$33,2,FALSE)/12*1000*Study_MW,0)</f>
        <v>0</v>
      </c>
      <c r="E87" s="71">
        <f t="shared" si="41"/>
        <v>2097776.3187875003</v>
      </c>
      <c r="F87" s="75">
        <v>74400</v>
      </c>
      <c r="G87" s="76">
        <f t="shared" si="42"/>
        <v>28.195918263272851</v>
      </c>
      <c r="I87" s="77">
        <f t="shared" si="22"/>
        <v>81</v>
      </c>
      <c r="J87" s="73">
        <f t="shared" si="43"/>
        <v>2028</v>
      </c>
      <c r="K87" s="78">
        <f t="shared" si="23"/>
        <v>46813</v>
      </c>
    </row>
    <row r="88" spans="2:11" hidden="1" outlineLevel="1">
      <c r="B88" s="78">
        <f t="shared" si="40"/>
        <v>46844</v>
      </c>
      <c r="C88" s="75">
        <v>1398991.403326571</v>
      </c>
      <c r="D88" s="71">
        <f>IF(F88&lt;&gt;0,VLOOKUP($J88,'Table 1'!$B$13:$C$33,2,FALSE)/12*1000*Study_MW,0)</f>
        <v>0</v>
      </c>
      <c r="E88" s="71">
        <f t="shared" si="41"/>
        <v>1398991.403326571</v>
      </c>
      <c r="F88" s="75">
        <v>72000</v>
      </c>
      <c r="G88" s="76">
        <f t="shared" si="42"/>
        <v>19.430436157313487</v>
      </c>
      <c r="I88" s="77">
        <f t="shared" si="22"/>
        <v>82</v>
      </c>
      <c r="J88" s="73">
        <f t="shared" si="43"/>
        <v>2028</v>
      </c>
      <c r="K88" s="78">
        <f t="shared" si="23"/>
        <v>46844</v>
      </c>
    </row>
    <row r="89" spans="2:11" hidden="1" outlineLevel="1">
      <c r="B89" s="78">
        <f t="shared" si="40"/>
        <v>46874</v>
      </c>
      <c r="C89" s="75">
        <v>1232770.5116772652</v>
      </c>
      <c r="D89" s="71">
        <f>IF(F89&lt;&gt;0,VLOOKUP($J89,'Table 1'!$B$13:$C$33,2,FALSE)/12*1000*Study_MW,0)</f>
        <v>0</v>
      </c>
      <c r="E89" s="71">
        <f t="shared" si="41"/>
        <v>1232770.5116772652</v>
      </c>
      <c r="F89" s="75">
        <v>74400</v>
      </c>
      <c r="G89" s="76">
        <f t="shared" si="42"/>
        <v>16.569496124694425</v>
      </c>
      <c r="I89" s="77">
        <f t="shared" si="22"/>
        <v>83</v>
      </c>
      <c r="J89" s="73">
        <f t="shared" si="43"/>
        <v>2028</v>
      </c>
      <c r="K89" s="78">
        <f t="shared" si="23"/>
        <v>46874</v>
      </c>
    </row>
    <row r="90" spans="2:11" hidden="1" outlineLevel="1">
      <c r="B90" s="78">
        <f t="shared" si="40"/>
        <v>46905</v>
      </c>
      <c r="C90" s="75">
        <v>1167907.2071299851</v>
      </c>
      <c r="D90" s="71">
        <f>IF(F90&lt;&gt;0,VLOOKUP($J90,'Table 1'!$B$13:$C$33,2,FALSE)/12*1000*Study_MW,0)</f>
        <v>0</v>
      </c>
      <c r="E90" s="71">
        <f t="shared" si="41"/>
        <v>1167907.2071299851</v>
      </c>
      <c r="F90" s="75">
        <v>72000</v>
      </c>
      <c r="G90" s="76">
        <f t="shared" si="42"/>
        <v>16.220933432360905</v>
      </c>
      <c r="I90" s="77">
        <f t="shared" ref="I90:I96" si="44">I78+13</f>
        <v>84</v>
      </c>
      <c r="J90" s="73">
        <f t="shared" si="43"/>
        <v>2028</v>
      </c>
      <c r="K90" s="78">
        <f t="shared" ref="K90:K153" si="45">IF(ISNUMBER(F90),IF(F90&lt;&gt;0,B90,""),"")</f>
        <v>46905</v>
      </c>
    </row>
    <row r="91" spans="2:11" hidden="1" outlineLevel="1">
      <c r="B91" s="78">
        <f t="shared" si="40"/>
        <v>46935</v>
      </c>
      <c r="C91" s="75">
        <v>4501750.6985565722</v>
      </c>
      <c r="D91" s="71">
        <f>IF(F91&lt;&gt;0,VLOOKUP($J91,'Table 1'!$B$13:$C$33,2,FALSE)/12*1000*Study_MW,0)</f>
        <v>0</v>
      </c>
      <c r="E91" s="71">
        <f t="shared" si="41"/>
        <v>4501750.6985565722</v>
      </c>
      <c r="F91" s="75">
        <v>74400</v>
      </c>
      <c r="G91" s="76">
        <f t="shared" si="42"/>
        <v>60.507401862319519</v>
      </c>
      <c r="I91" s="77">
        <f t="shared" si="44"/>
        <v>85</v>
      </c>
      <c r="J91" s="73">
        <f t="shared" si="43"/>
        <v>2028</v>
      </c>
      <c r="K91" s="78">
        <f t="shared" si="45"/>
        <v>46935</v>
      </c>
    </row>
    <row r="92" spans="2:11" hidden="1" outlineLevel="1">
      <c r="B92" s="78">
        <f t="shared" si="40"/>
        <v>46966</v>
      </c>
      <c r="C92" s="75">
        <v>6006164.5081498921</v>
      </c>
      <c r="D92" s="71">
        <f>IF(F92&lt;&gt;0,VLOOKUP($J92,'Table 1'!$B$13:$C$33,2,FALSE)/12*1000*Study_MW,0)</f>
        <v>0</v>
      </c>
      <c r="E92" s="71">
        <f t="shared" si="41"/>
        <v>6006164.5081498921</v>
      </c>
      <c r="F92" s="75">
        <v>74400</v>
      </c>
      <c r="G92" s="76">
        <f t="shared" si="42"/>
        <v>80.728017582659845</v>
      </c>
      <c r="I92" s="77">
        <f t="shared" si="44"/>
        <v>86</v>
      </c>
      <c r="J92" s="73">
        <f t="shared" si="43"/>
        <v>2028</v>
      </c>
      <c r="K92" s="78">
        <f t="shared" si="45"/>
        <v>46966</v>
      </c>
    </row>
    <row r="93" spans="2:11" hidden="1" outlineLevel="1">
      <c r="B93" s="78">
        <f t="shared" si="40"/>
        <v>46997</v>
      </c>
      <c r="C93" s="75">
        <v>3919289.3407918662</v>
      </c>
      <c r="D93" s="71">
        <f>IF(F93&lt;&gt;0,VLOOKUP($J93,'Table 1'!$B$13:$C$33,2,FALSE)/12*1000*Study_MW,0)</f>
        <v>0</v>
      </c>
      <c r="E93" s="71">
        <f t="shared" si="41"/>
        <v>3919289.3407918662</v>
      </c>
      <c r="F93" s="75">
        <v>72000</v>
      </c>
      <c r="G93" s="76">
        <f t="shared" si="42"/>
        <v>54.434574177664807</v>
      </c>
      <c r="I93" s="77">
        <f t="shared" si="44"/>
        <v>87</v>
      </c>
      <c r="J93" s="73">
        <f t="shared" si="43"/>
        <v>2028</v>
      </c>
      <c r="K93" s="78">
        <f t="shared" si="45"/>
        <v>46997</v>
      </c>
    </row>
    <row r="94" spans="2:11" hidden="1" outlineLevel="1">
      <c r="B94" s="78">
        <f t="shared" si="40"/>
        <v>47027</v>
      </c>
      <c r="C94" s="75">
        <v>2187829.7389777005</v>
      </c>
      <c r="D94" s="71">
        <f>IF(F94&lt;&gt;0,VLOOKUP($J94,'Table 1'!$B$13:$C$33,2,FALSE)/12*1000*Study_MW,0)</f>
        <v>0</v>
      </c>
      <c r="E94" s="71">
        <f t="shared" si="41"/>
        <v>2187829.7389777005</v>
      </c>
      <c r="F94" s="75">
        <v>74400</v>
      </c>
      <c r="G94" s="76">
        <f t="shared" si="42"/>
        <v>29.406313695936834</v>
      </c>
      <c r="I94" s="77">
        <f t="shared" si="44"/>
        <v>88</v>
      </c>
      <c r="J94" s="73">
        <f t="shared" si="43"/>
        <v>2028</v>
      </c>
      <c r="K94" s="78">
        <f t="shared" si="45"/>
        <v>47027</v>
      </c>
    </row>
    <row r="95" spans="2:11" hidden="1" outlineLevel="1">
      <c r="B95" s="78">
        <f t="shared" si="40"/>
        <v>47058</v>
      </c>
      <c r="C95" s="75">
        <v>3205079.6217369884</v>
      </c>
      <c r="D95" s="71">
        <f>IF(F95&lt;&gt;0,VLOOKUP($J95,'Table 1'!$B$13:$C$33,2,FALSE)/12*1000*Study_MW,0)</f>
        <v>0</v>
      </c>
      <c r="E95" s="71">
        <f t="shared" si="41"/>
        <v>3205079.6217369884</v>
      </c>
      <c r="F95" s="75">
        <v>72000</v>
      </c>
      <c r="G95" s="76">
        <f t="shared" si="42"/>
        <v>44.514994746347064</v>
      </c>
      <c r="I95" s="77">
        <f t="shared" si="44"/>
        <v>89</v>
      </c>
      <c r="J95" s="73">
        <f t="shared" si="43"/>
        <v>2028</v>
      </c>
      <c r="K95" s="78">
        <f t="shared" si="45"/>
        <v>47058</v>
      </c>
    </row>
    <row r="96" spans="2:11" hidden="1" outlineLevel="1">
      <c r="B96" s="82">
        <f t="shared" si="40"/>
        <v>47088</v>
      </c>
      <c r="C96" s="79">
        <v>4359188.8638305515</v>
      </c>
      <c r="D96" s="80">
        <f>IF(F96&lt;&gt;0,VLOOKUP($J96,'Table 1'!$B$13:$C$33,2,FALSE)/12*1000*Study_MW,0)</f>
        <v>0</v>
      </c>
      <c r="E96" s="80">
        <f t="shared" si="41"/>
        <v>4359188.8638305515</v>
      </c>
      <c r="F96" s="79">
        <v>74400</v>
      </c>
      <c r="G96" s="81">
        <f t="shared" si="42"/>
        <v>58.591248169765478</v>
      </c>
      <c r="I96" s="64">
        <f t="shared" si="44"/>
        <v>90</v>
      </c>
      <c r="J96" s="73">
        <f t="shared" si="43"/>
        <v>2028</v>
      </c>
      <c r="K96" s="82">
        <f t="shared" si="45"/>
        <v>47088</v>
      </c>
    </row>
    <row r="97" spans="2:11" hidden="1" outlineLevel="1">
      <c r="B97" s="74">
        <f t="shared" si="40"/>
        <v>47119</v>
      </c>
      <c r="C97" s="69">
        <v>3081096.0551552773</v>
      </c>
      <c r="D97" s="70">
        <f>IF(F97&lt;&gt;0,VLOOKUP($J97,'Table 1'!$B$13:$C$33,2,FALSE)/12*1000*Study_MW,0)</f>
        <v>0</v>
      </c>
      <c r="E97" s="70">
        <f t="shared" si="41"/>
        <v>3081096.0551552773</v>
      </c>
      <c r="F97" s="69">
        <v>74400</v>
      </c>
      <c r="G97" s="72">
        <f t="shared" si="42"/>
        <v>41.41258138649566</v>
      </c>
      <c r="I97" s="60">
        <f>I85+13</f>
        <v>92</v>
      </c>
      <c r="J97" s="73">
        <f t="shared" si="43"/>
        <v>2029</v>
      </c>
      <c r="K97" s="74">
        <f t="shared" si="45"/>
        <v>47119</v>
      </c>
    </row>
    <row r="98" spans="2:11" hidden="1" outlineLevel="1">
      <c r="B98" s="78">
        <f t="shared" si="40"/>
        <v>47150</v>
      </c>
      <c r="C98" s="75">
        <v>2542357.01989308</v>
      </c>
      <c r="D98" s="71">
        <f>IF(F98&lt;&gt;0,VLOOKUP($J98,'Table 1'!$B$13:$C$33,2,FALSE)/12*1000*Study_MW,0)</f>
        <v>0</v>
      </c>
      <c r="E98" s="71">
        <f t="shared" si="41"/>
        <v>2542357.01989308</v>
      </c>
      <c r="F98" s="75">
        <v>67200</v>
      </c>
      <c r="G98" s="76">
        <f t="shared" si="42"/>
        <v>37.832693748408929</v>
      </c>
      <c r="I98" s="77">
        <f t="shared" ref="I98:I120" si="46">I86+13</f>
        <v>93</v>
      </c>
      <c r="J98" s="73">
        <f t="shared" si="43"/>
        <v>2029</v>
      </c>
      <c r="K98" s="78">
        <f t="shared" si="45"/>
        <v>47150</v>
      </c>
    </row>
    <row r="99" spans="2:11" hidden="1" outlineLevel="1">
      <c r="B99" s="78">
        <f t="shared" si="40"/>
        <v>47178</v>
      </c>
      <c r="C99" s="75">
        <v>2198748.6536328644</v>
      </c>
      <c r="D99" s="71">
        <f>IF(F99&lt;&gt;0,VLOOKUP($J99,'Table 1'!$B$13:$C$33,2,FALSE)/12*1000*Study_MW,0)</f>
        <v>0</v>
      </c>
      <c r="E99" s="71">
        <f t="shared" si="41"/>
        <v>2198748.6536328644</v>
      </c>
      <c r="F99" s="75">
        <v>74400</v>
      </c>
      <c r="G99" s="76">
        <f t="shared" si="42"/>
        <v>29.553073301516996</v>
      </c>
      <c r="I99" s="77">
        <f t="shared" si="46"/>
        <v>94</v>
      </c>
      <c r="J99" s="73">
        <f t="shared" si="43"/>
        <v>2029</v>
      </c>
      <c r="K99" s="78">
        <f t="shared" si="45"/>
        <v>47178</v>
      </c>
    </row>
    <row r="100" spans="2:11" hidden="1" outlineLevel="1">
      <c r="B100" s="78">
        <f t="shared" si="40"/>
        <v>47209</v>
      </c>
      <c r="C100" s="75">
        <v>1443427.8995941877</v>
      </c>
      <c r="D100" s="71">
        <f>IF(F100&lt;&gt;0,VLOOKUP($J100,'Table 1'!$B$13:$C$33,2,FALSE)/12*1000*Study_MW,0)</f>
        <v>0</v>
      </c>
      <c r="E100" s="71">
        <f t="shared" si="41"/>
        <v>1443427.8995941877</v>
      </c>
      <c r="F100" s="75">
        <v>72000</v>
      </c>
      <c r="G100" s="76">
        <f t="shared" si="42"/>
        <v>20.047609716585942</v>
      </c>
      <c r="I100" s="77">
        <f t="shared" si="46"/>
        <v>95</v>
      </c>
      <c r="J100" s="73">
        <f t="shared" si="43"/>
        <v>2029</v>
      </c>
      <c r="K100" s="78">
        <f t="shared" si="45"/>
        <v>47209</v>
      </c>
    </row>
    <row r="101" spans="2:11" hidden="1" outlineLevel="1">
      <c r="B101" s="78">
        <f t="shared" si="40"/>
        <v>47239</v>
      </c>
      <c r="C101" s="75">
        <v>1377087.0705674887</v>
      </c>
      <c r="D101" s="71">
        <f>IF(F101&lt;&gt;0,VLOOKUP($J101,'Table 1'!$B$13:$C$33,2,FALSE)/12*1000*Study_MW,0)</f>
        <v>0</v>
      </c>
      <c r="E101" s="71">
        <f t="shared" si="41"/>
        <v>1377087.0705674887</v>
      </c>
      <c r="F101" s="75">
        <v>74400</v>
      </c>
      <c r="G101" s="76">
        <f t="shared" si="42"/>
        <v>18.509234819455493</v>
      </c>
      <c r="I101" s="77">
        <f t="shared" si="46"/>
        <v>96</v>
      </c>
      <c r="J101" s="73">
        <f t="shared" si="43"/>
        <v>2029</v>
      </c>
      <c r="K101" s="78">
        <f t="shared" si="45"/>
        <v>47239</v>
      </c>
    </row>
    <row r="102" spans="2:11" hidden="1" outlineLevel="1">
      <c r="B102" s="78">
        <f t="shared" si="40"/>
        <v>47270</v>
      </c>
      <c r="C102" s="75">
        <v>1351747.4408321083</v>
      </c>
      <c r="D102" s="71">
        <f>IF(F102&lt;&gt;0,VLOOKUP($J102,'Table 1'!$B$13:$C$33,2,FALSE)/12*1000*Study_MW,0)</f>
        <v>0</v>
      </c>
      <c r="E102" s="71">
        <f t="shared" si="41"/>
        <v>1351747.4408321083</v>
      </c>
      <c r="F102" s="75">
        <v>72000</v>
      </c>
      <c r="G102" s="76">
        <f t="shared" si="42"/>
        <v>18.774270011557061</v>
      </c>
      <c r="I102" s="77">
        <f t="shared" si="46"/>
        <v>97</v>
      </c>
      <c r="J102" s="73">
        <f t="shared" si="43"/>
        <v>2029</v>
      </c>
      <c r="K102" s="78">
        <f t="shared" si="45"/>
        <v>47270</v>
      </c>
    </row>
    <row r="103" spans="2:11" hidden="1" outlineLevel="1">
      <c r="B103" s="78">
        <f t="shared" si="40"/>
        <v>47300</v>
      </c>
      <c r="C103" s="75">
        <v>4381950.9709104449</v>
      </c>
      <c r="D103" s="71">
        <f>IF(F103&lt;&gt;0,VLOOKUP($J103,'Table 1'!$B$13:$C$33,2,FALSE)/12*1000*Study_MW,0)</f>
        <v>0</v>
      </c>
      <c r="E103" s="71">
        <f t="shared" si="41"/>
        <v>4381950.9709104449</v>
      </c>
      <c r="F103" s="75">
        <v>74400</v>
      </c>
      <c r="G103" s="76">
        <f t="shared" si="42"/>
        <v>58.897190469226409</v>
      </c>
      <c r="I103" s="77">
        <f t="shared" si="46"/>
        <v>98</v>
      </c>
      <c r="J103" s="73">
        <f t="shared" si="43"/>
        <v>2029</v>
      </c>
      <c r="K103" s="78">
        <f t="shared" si="45"/>
        <v>47300</v>
      </c>
    </row>
    <row r="104" spans="2:11" hidden="1" outlineLevel="1">
      <c r="B104" s="78">
        <f t="shared" si="40"/>
        <v>47331</v>
      </c>
      <c r="C104" s="75">
        <v>5795041.3222250789</v>
      </c>
      <c r="D104" s="71">
        <f>IF(F104&lt;&gt;0,VLOOKUP($J104,'Table 1'!$B$13:$C$33,2,FALSE)/12*1000*Study_MW,0)</f>
        <v>0</v>
      </c>
      <c r="E104" s="71">
        <f t="shared" si="41"/>
        <v>5795041.3222250789</v>
      </c>
      <c r="F104" s="75">
        <v>74400</v>
      </c>
      <c r="G104" s="76">
        <f t="shared" si="42"/>
        <v>77.890340352487627</v>
      </c>
      <c r="I104" s="77">
        <f t="shared" si="46"/>
        <v>99</v>
      </c>
      <c r="J104" s="73">
        <f t="shared" si="43"/>
        <v>2029</v>
      </c>
      <c r="K104" s="78">
        <f t="shared" si="45"/>
        <v>47331</v>
      </c>
    </row>
    <row r="105" spans="2:11" hidden="1" outlineLevel="1">
      <c r="B105" s="78">
        <f t="shared" si="40"/>
        <v>47362</v>
      </c>
      <c r="C105" s="75">
        <v>3871998.0513681471</v>
      </c>
      <c r="D105" s="71">
        <f>IF(F105&lt;&gt;0,VLOOKUP($J105,'Table 1'!$B$13:$C$33,2,FALSE)/12*1000*Study_MW,0)</f>
        <v>0</v>
      </c>
      <c r="E105" s="71">
        <f t="shared" si="41"/>
        <v>3871998.0513681471</v>
      </c>
      <c r="F105" s="75">
        <v>72000</v>
      </c>
      <c r="G105" s="76">
        <f t="shared" si="42"/>
        <v>53.777750713446487</v>
      </c>
      <c r="I105" s="77">
        <f t="shared" si="46"/>
        <v>100</v>
      </c>
      <c r="J105" s="73">
        <f t="shared" si="43"/>
        <v>2029</v>
      </c>
      <c r="K105" s="78">
        <f t="shared" si="45"/>
        <v>47362</v>
      </c>
    </row>
    <row r="106" spans="2:11" hidden="1" outlineLevel="1">
      <c r="B106" s="78">
        <f t="shared" si="40"/>
        <v>47392</v>
      </c>
      <c r="C106" s="75">
        <v>2128861.5032006949</v>
      </c>
      <c r="D106" s="71">
        <f>IF(F106&lt;&gt;0,VLOOKUP($J106,'Table 1'!$B$13:$C$33,2,FALSE)/12*1000*Study_MW,0)</f>
        <v>0</v>
      </c>
      <c r="E106" s="71">
        <f t="shared" si="41"/>
        <v>2128861.5032006949</v>
      </c>
      <c r="F106" s="75">
        <v>74400</v>
      </c>
      <c r="G106" s="76">
        <f t="shared" si="42"/>
        <v>28.613729881729771</v>
      </c>
      <c r="I106" s="77">
        <f t="shared" si="46"/>
        <v>101</v>
      </c>
      <c r="J106" s="73">
        <f t="shared" si="43"/>
        <v>2029</v>
      </c>
      <c r="K106" s="78">
        <f t="shared" si="45"/>
        <v>47392</v>
      </c>
    </row>
    <row r="107" spans="2:11" hidden="1" outlineLevel="1">
      <c r="B107" s="78">
        <f t="shared" si="40"/>
        <v>47423</v>
      </c>
      <c r="C107" s="75">
        <v>2936595.2702453136</v>
      </c>
      <c r="D107" s="71">
        <f>IF(F107&lt;&gt;0,VLOOKUP($J107,'Table 1'!$B$13:$C$33,2,FALSE)/12*1000*Study_MW,0)</f>
        <v>0</v>
      </c>
      <c r="E107" s="71">
        <f t="shared" si="41"/>
        <v>2936595.2702453136</v>
      </c>
      <c r="F107" s="75">
        <v>72000</v>
      </c>
      <c r="G107" s="76">
        <f t="shared" si="42"/>
        <v>40.786045420073798</v>
      </c>
      <c r="I107" s="77">
        <f t="shared" si="46"/>
        <v>102</v>
      </c>
      <c r="J107" s="73">
        <f t="shared" si="43"/>
        <v>2029</v>
      </c>
      <c r="K107" s="78">
        <f t="shared" si="45"/>
        <v>47423</v>
      </c>
    </row>
    <row r="108" spans="2:11" hidden="1" outlineLevel="1">
      <c r="B108" s="82">
        <f t="shared" si="40"/>
        <v>47453</v>
      </c>
      <c r="C108" s="79">
        <v>4515207.0848624706</v>
      </c>
      <c r="D108" s="80">
        <f>IF(F108&lt;&gt;0,VLOOKUP($J108,'Table 1'!$B$13:$C$33,2,FALSE)/12*1000*Study_MW,0)</f>
        <v>0</v>
      </c>
      <c r="E108" s="80">
        <f t="shared" si="41"/>
        <v>4515207.0848624706</v>
      </c>
      <c r="F108" s="79">
        <v>74400</v>
      </c>
      <c r="G108" s="81">
        <f t="shared" si="42"/>
        <v>60.688267269656862</v>
      </c>
      <c r="I108" s="64">
        <f t="shared" si="46"/>
        <v>103</v>
      </c>
      <c r="J108" s="73">
        <f t="shared" si="43"/>
        <v>2029</v>
      </c>
      <c r="K108" s="82">
        <f t="shared" si="45"/>
        <v>47453</v>
      </c>
    </row>
    <row r="109" spans="2:11" hidden="1" outlineLevel="1">
      <c r="B109" s="74">
        <f t="shared" si="40"/>
        <v>47484</v>
      </c>
      <c r="C109" s="69">
        <v>3408159.1402760148</v>
      </c>
      <c r="D109" s="70">
        <f>IF(F109&lt;&gt;0,VLOOKUP($J109,'Table 1'!$B$13:$C$33,2,FALSE)/12*1000*Study_MW,0)</f>
        <v>0</v>
      </c>
      <c r="E109" s="70">
        <f t="shared" si="41"/>
        <v>3408159.1402760148</v>
      </c>
      <c r="F109" s="69">
        <v>74400</v>
      </c>
      <c r="G109" s="72">
        <f t="shared" si="42"/>
        <v>45.808590595107724</v>
      </c>
      <c r="I109" s="60">
        <f>I97+13</f>
        <v>105</v>
      </c>
      <c r="J109" s="73">
        <f t="shared" si="43"/>
        <v>2030</v>
      </c>
      <c r="K109" s="74">
        <f t="shared" si="45"/>
        <v>47484</v>
      </c>
    </row>
    <row r="110" spans="2:11" hidden="1" outlineLevel="1">
      <c r="B110" s="78">
        <f t="shared" si="40"/>
        <v>47515</v>
      </c>
      <c r="C110" s="75">
        <v>2488994.6402599216</v>
      </c>
      <c r="D110" s="71">
        <f>IF(F110&lt;&gt;0,VLOOKUP($J110,'Table 1'!$B$13:$C$33,2,FALSE)/12*1000*Study_MW,0)</f>
        <v>0</v>
      </c>
      <c r="E110" s="71">
        <f t="shared" si="41"/>
        <v>2488994.6402599216</v>
      </c>
      <c r="F110" s="75">
        <v>67200</v>
      </c>
      <c r="G110" s="76">
        <f t="shared" si="42"/>
        <v>37.038610718153592</v>
      </c>
      <c r="I110" s="77">
        <f t="shared" si="46"/>
        <v>106</v>
      </c>
      <c r="J110" s="73">
        <f t="shared" si="43"/>
        <v>2030</v>
      </c>
      <c r="K110" s="78">
        <f t="shared" si="45"/>
        <v>47515</v>
      </c>
    </row>
    <row r="111" spans="2:11" hidden="1" outlineLevel="1">
      <c r="B111" s="78">
        <f t="shared" si="40"/>
        <v>47543</v>
      </c>
      <c r="C111" s="75">
        <v>2207113.0237020105</v>
      </c>
      <c r="D111" s="71">
        <f>IF(F111&lt;&gt;0,VLOOKUP($J111,'Table 1'!$B$13:$C$33,2,FALSE)/12*1000*Study_MW,0)</f>
        <v>0</v>
      </c>
      <c r="E111" s="71">
        <f t="shared" si="41"/>
        <v>2207113.0237020105</v>
      </c>
      <c r="F111" s="75">
        <v>74400</v>
      </c>
      <c r="G111" s="76">
        <f t="shared" si="42"/>
        <v>29.665497630403369</v>
      </c>
      <c r="I111" s="77">
        <f t="shared" si="46"/>
        <v>107</v>
      </c>
      <c r="J111" s="73">
        <f t="shared" si="43"/>
        <v>2030</v>
      </c>
      <c r="K111" s="78">
        <f t="shared" si="45"/>
        <v>47543</v>
      </c>
    </row>
    <row r="112" spans="2:11" hidden="1" outlineLevel="1">
      <c r="B112" s="78">
        <f t="shared" si="40"/>
        <v>47574</v>
      </c>
      <c r="C112" s="75">
        <v>1289959.8079913408</v>
      </c>
      <c r="D112" s="71">
        <f>IF(F112&lt;&gt;0,VLOOKUP($J112,'Table 1'!$B$13:$C$33,2,FALSE)/12*1000*Study_MW,0)</f>
        <v>0</v>
      </c>
      <c r="E112" s="71">
        <f t="shared" si="41"/>
        <v>1289959.8079913408</v>
      </c>
      <c r="F112" s="75">
        <v>72000</v>
      </c>
      <c r="G112" s="76">
        <f t="shared" si="42"/>
        <v>17.916108444324177</v>
      </c>
      <c r="I112" s="77">
        <f t="shared" si="46"/>
        <v>108</v>
      </c>
      <c r="J112" s="73">
        <f t="shared" si="43"/>
        <v>2030</v>
      </c>
      <c r="K112" s="78">
        <f t="shared" si="45"/>
        <v>47574</v>
      </c>
    </row>
    <row r="113" spans="2:11" hidden="1" outlineLevel="1">
      <c r="B113" s="78">
        <f t="shared" si="40"/>
        <v>47604</v>
      </c>
      <c r="C113" s="75">
        <v>1060684.3402757794</v>
      </c>
      <c r="D113" s="71">
        <f>IF(F113&lt;&gt;0,VLOOKUP($J113,'Table 1'!$B$13:$C$33,2,FALSE)/12*1000*Study_MW,0)</f>
        <v>0</v>
      </c>
      <c r="E113" s="71">
        <f t="shared" si="41"/>
        <v>1060684.3402757794</v>
      </c>
      <c r="F113" s="75">
        <v>74400</v>
      </c>
      <c r="G113" s="76">
        <f t="shared" si="42"/>
        <v>14.256509949943272</v>
      </c>
      <c r="I113" s="77">
        <f t="shared" si="46"/>
        <v>109</v>
      </c>
      <c r="J113" s="73">
        <f t="shared" si="43"/>
        <v>2030</v>
      </c>
      <c r="K113" s="78">
        <f t="shared" si="45"/>
        <v>47604</v>
      </c>
    </row>
    <row r="114" spans="2:11" hidden="1" outlineLevel="1">
      <c r="B114" s="78">
        <f t="shared" si="40"/>
        <v>47635</v>
      </c>
      <c r="C114" s="75">
        <v>1250244.0139043033</v>
      </c>
      <c r="D114" s="71">
        <f>IF(F114&lt;&gt;0,VLOOKUP($J114,'Table 1'!$B$13:$C$33,2,FALSE)/12*1000*Study_MW,0)</f>
        <v>0</v>
      </c>
      <c r="E114" s="71">
        <f t="shared" si="41"/>
        <v>1250244.0139043033</v>
      </c>
      <c r="F114" s="75">
        <v>72000</v>
      </c>
      <c r="G114" s="76">
        <f t="shared" si="42"/>
        <v>17.364500193115322</v>
      </c>
      <c r="I114" s="77">
        <f t="shared" si="46"/>
        <v>110</v>
      </c>
      <c r="J114" s="73">
        <f t="shared" si="43"/>
        <v>2030</v>
      </c>
      <c r="K114" s="78">
        <f t="shared" si="45"/>
        <v>47635</v>
      </c>
    </row>
    <row r="115" spans="2:11" hidden="1" outlineLevel="1">
      <c r="B115" s="78">
        <f t="shared" si="40"/>
        <v>47665</v>
      </c>
      <c r="C115" s="75">
        <v>4374846.0939845294</v>
      </c>
      <c r="D115" s="71">
        <f>IF(F115&lt;&gt;0,VLOOKUP($J115,'Table 1'!$B$13:$C$33,2,FALSE)/12*1000*Study_MW,0)</f>
        <v>0</v>
      </c>
      <c r="E115" s="71">
        <f t="shared" si="41"/>
        <v>4374846.0939845294</v>
      </c>
      <c r="F115" s="75">
        <v>74400</v>
      </c>
      <c r="G115" s="76">
        <f t="shared" si="42"/>
        <v>58.801694811620017</v>
      </c>
      <c r="I115" s="77">
        <f t="shared" si="46"/>
        <v>111</v>
      </c>
      <c r="J115" s="73">
        <f t="shared" si="43"/>
        <v>2030</v>
      </c>
      <c r="K115" s="78">
        <f t="shared" si="45"/>
        <v>47665</v>
      </c>
    </row>
    <row r="116" spans="2:11" hidden="1" outlineLevel="1">
      <c r="B116" s="78">
        <f t="shared" si="40"/>
        <v>47696</v>
      </c>
      <c r="C116" s="75">
        <v>5771216.6203914881</v>
      </c>
      <c r="D116" s="71">
        <f>IF(F116&lt;&gt;0,VLOOKUP($J116,'Table 1'!$B$13:$C$33,2,FALSE)/12*1000*Study_MW,0)</f>
        <v>0</v>
      </c>
      <c r="E116" s="71">
        <f t="shared" si="41"/>
        <v>5771216.6203914881</v>
      </c>
      <c r="F116" s="75">
        <v>74400</v>
      </c>
      <c r="G116" s="76">
        <f t="shared" si="42"/>
        <v>77.570115865476993</v>
      </c>
      <c r="I116" s="77">
        <f t="shared" si="46"/>
        <v>112</v>
      </c>
      <c r="J116" s="73">
        <f t="shared" si="43"/>
        <v>2030</v>
      </c>
      <c r="K116" s="78">
        <f t="shared" si="45"/>
        <v>47696</v>
      </c>
    </row>
    <row r="117" spans="2:11" hidden="1" outlineLevel="1">
      <c r="B117" s="78">
        <f t="shared" si="40"/>
        <v>47727</v>
      </c>
      <c r="C117" s="75">
        <v>3766388.9632406831</v>
      </c>
      <c r="D117" s="71">
        <f>IF(F117&lt;&gt;0,VLOOKUP($J117,'Table 1'!$B$13:$C$33,2,FALSE)/12*1000*Study_MW,0)</f>
        <v>0</v>
      </c>
      <c r="E117" s="71">
        <f t="shared" si="41"/>
        <v>3766388.9632406831</v>
      </c>
      <c r="F117" s="75">
        <v>72000</v>
      </c>
      <c r="G117" s="76">
        <f t="shared" si="42"/>
        <v>52.310957822787266</v>
      </c>
      <c r="I117" s="77">
        <f t="shared" si="46"/>
        <v>113</v>
      </c>
      <c r="J117" s="73">
        <f t="shared" si="43"/>
        <v>2030</v>
      </c>
      <c r="K117" s="78">
        <f t="shared" si="45"/>
        <v>47727</v>
      </c>
    </row>
    <row r="118" spans="2:11" hidden="1" outlineLevel="1">
      <c r="B118" s="78">
        <f t="shared" si="40"/>
        <v>47757</v>
      </c>
      <c r="C118" s="75">
        <v>2219490.9284910262</v>
      </c>
      <c r="D118" s="71">
        <f>IF(F118&lt;&gt;0,VLOOKUP($J118,'Table 1'!$B$13:$C$33,2,FALSE)/12*1000*Study_MW,0)</f>
        <v>0</v>
      </c>
      <c r="E118" s="71">
        <f t="shared" si="41"/>
        <v>2219490.9284910262</v>
      </c>
      <c r="F118" s="75">
        <v>74400</v>
      </c>
      <c r="G118" s="76">
        <f t="shared" si="42"/>
        <v>29.831867318427772</v>
      </c>
      <c r="I118" s="77">
        <f t="shared" si="46"/>
        <v>114</v>
      </c>
      <c r="J118" s="73">
        <f t="shared" si="43"/>
        <v>2030</v>
      </c>
      <c r="K118" s="78">
        <f t="shared" si="45"/>
        <v>47757</v>
      </c>
    </row>
    <row r="119" spans="2:11" hidden="1" outlineLevel="1">
      <c r="B119" s="78">
        <f t="shared" si="40"/>
        <v>47788</v>
      </c>
      <c r="C119" s="75">
        <v>3434251.8668600768</v>
      </c>
      <c r="D119" s="71">
        <f>IF(F119&lt;&gt;0,VLOOKUP($J119,'Table 1'!$B$13:$C$33,2,FALSE)/12*1000*Study_MW,0)</f>
        <v>0</v>
      </c>
      <c r="E119" s="71">
        <f t="shared" si="41"/>
        <v>3434251.8668600768</v>
      </c>
      <c r="F119" s="75">
        <v>72000</v>
      </c>
      <c r="G119" s="76">
        <f t="shared" si="42"/>
        <v>47.697942595278846</v>
      </c>
      <c r="I119" s="77">
        <f t="shared" si="46"/>
        <v>115</v>
      </c>
      <c r="J119" s="73">
        <f t="shared" si="43"/>
        <v>2030</v>
      </c>
      <c r="K119" s="78">
        <f t="shared" si="45"/>
        <v>47788</v>
      </c>
    </row>
    <row r="120" spans="2:11" hidden="1" outlineLevel="1">
      <c r="B120" s="82">
        <f t="shared" si="40"/>
        <v>47818</v>
      </c>
      <c r="C120" s="79">
        <v>3867581.7828947306</v>
      </c>
      <c r="D120" s="80">
        <f>IF(F120&lt;&gt;0,VLOOKUP($J120,'Table 1'!$B$13:$C$33,2,FALSE)/12*1000*Study_MW,0)</f>
        <v>0</v>
      </c>
      <c r="E120" s="80">
        <f t="shared" si="41"/>
        <v>3867581.7828947306</v>
      </c>
      <c r="F120" s="79">
        <v>74400</v>
      </c>
      <c r="G120" s="81">
        <f t="shared" si="42"/>
        <v>51.983626114176488</v>
      </c>
      <c r="I120" s="64">
        <f t="shared" si="46"/>
        <v>116</v>
      </c>
      <c r="J120" s="73">
        <f t="shared" si="43"/>
        <v>2030</v>
      </c>
      <c r="K120" s="82">
        <f t="shared" si="45"/>
        <v>47818</v>
      </c>
    </row>
    <row r="121" spans="2:11" hidden="1" outlineLevel="1">
      <c r="B121" s="74">
        <f t="shared" si="40"/>
        <v>47849</v>
      </c>
      <c r="C121" s="69">
        <v>3194668.4661231488</v>
      </c>
      <c r="D121" s="70">
        <f>IF(F121&lt;&gt;0,VLOOKUP($J121,'Table 1'!$B$13:$C$33,2,FALSE)/12*1000*Study_MW,0)</f>
        <v>0</v>
      </c>
      <c r="E121" s="70">
        <f t="shared" si="41"/>
        <v>3194668.4661231488</v>
      </c>
      <c r="F121" s="69">
        <v>74400</v>
      </c>
      <c r="G121" s="72">
        <f t="shared" si="42"/>
        <v>42.939092286601465</v>
      </c>
      <c r="I121" s="60">
        <f>I109+13</f>
        <v>118</v>
      </c>
      <c r="J121" s="73">
        <f t="shared" si="43"/>
        <v>2031</v>
      </c>
      <c r="K121" s="74">
        <f t="shared" si="45"/>
        <v>47849</v>
      </c>
    </row>
    <row r="122" spans="2:11" hidden="1" outlineLevel="1">
      <c r="B122" s="78">
        <f t="shared" si="40"/>
        <v>47880</v>
      </c>
      <c r="C122" s="75">
        <v>2377421.2693082988</v>
      </c>
      <c r="D122" s="71">
        <f>IF(F122&lt;&gt;0,VLOOKUP($J122,'Table 1'!$B$13:$C$33,2,FALSE)/12*1000*Study_MW,0)</f>
        <v>0</v>
      </c>
      <c r="E122" s="71">
        <f t="shared" si="41"/>
        <v>2377421.2693082988</v>
      </c>
      <c r="F122" s="75">
        <v>67200</v>
      </c>
      <c r="G122" s="76">
        <f t="shared" si="42"/>
        <v>35.378292698040163</v>
      </c>
      <c r="I122" s="77">
        <f t="shared" ref="I122:I132" si="47">I110+13</f>
        <v>119</v>
      </c>
      <c r="J122" s="73">
        <f t="shared" si="43"/>
        <v>2031</v>
      </c>
      <c r="K122" s="78">
        <f t="shared" si="45"/>
        <v>47880</v>
      </c>
    </row>
    <row r="123" spans="2:11" hidden="1" outlineLevel="1">
      <c r="B123" s="78">
        <f t="shared" si="40"/>
        <v>47908</v>
      </c>
      <c r="C123" s="75">
        <v>2023192.7164309323</v>
      </c>
      <c r="D123" s="71">
        <f>IF(F123&lt;&gt;0,VLOOKUP($J123,'Table 1'!$B$13:$C$33,2,FALSE)/12*1000*Study_MW,0)</f>
        <v>0</v>
      </c>
      <c r="E123" s="71">
        <f t="shared" si="41"/>
        <v>2023192.7164309323</v>
      </c>
      <c r="F123" s="75">
        <v>74400</v>
      </c>
      <c r="G123" s="76">
        <f t="shared" si="42"/>
        <v>27.193450489663068</v>
      </c>
      <c r="I123" s="77">
        <f t="shared" si="47"/>
        <v>120</v>
      </c>
      <c r="J123" s="73">
        <f t="shared" si="43"/>
        <v>2031</v>
      </c>
      <c r="K123" s="78">
        <f t="shared" si="45"/>
        <v>47908</v>
      </c>
    </row>
    <row r="124" spans="2:11" hidden="1" outlineLevel="1">
      <c r="B124" s="78">
        <f t="shared" si="40"/>
        <v>47939</v>
      </c>
      <c r="C124" s="75">
        <v>1206945.3728026599</v>
      </c>
      <c r="D124" s="71">
        <f>IF(F124&lt;&gt;0,VLOOKUP($J124,'Table 1'!$B$13:$C$33,2,FALSE)/12*1000*Study_MW,0)</f>
        <v>0</v>
      </c>
      <c r="E124" s="71">
        <f t="shared" si="41"/>
        <v>1206945.3728026599</v>
      </c>
      <c r="F124" s="75">
        <v>72000</v>
      </c>
      <c r="G124" s="76">
        <f t="shared" si="42"/>
        <v>16.76313017781472</v>
      </c>
      <c r="I124" s="77">
        <f t="shared" si="47"/>
        <v>121</v>
      </c>
      <c r="J124" s="73">
        <f t="shared" si="43"/>
        <v>2031</v>
      </c>
      <c r="K124" s="78">
        <f t="shared" si="45"/>
        <v>47939</v>
      </c>
    </row>
    <row r="125" spans="2:11" hidden="1" outlineLevel="1">
      <c r="B125" s="78">
        <f t="shared" si="40"/>
        <v>47969</v>
      </c>
      <c r="C125" s="75">
        <v>1101609.555069685</v>
      </c>
      <c r="D125" s="71">
        <f>IF(F125&lt;&gt;0,VLOOKUP($J125,'Table 1'!$B$13:$C$33,2,FALSE)/12*1000*Study_MW,0)</f>
        <v>0</v>
      </c>
      <c r="E125" s="71">
        <f t="shared" si="41"/>
        <v>1101609.555069685</v>
      </c>
      <c r="F125" s="75">
        <v>74400</v>
      </c>
      <c r="G125" s="76">
        <f t="shared" si="42"/>
        <v>14.806580041259206</v>
      </c>
      <c r="I125" s="77">
        <f t="shared" si="47"/>
        <v>122</v>
      </c>
      <c r="J125" s="73">
        <f t="shared" si="43"/>
        <v>2031</v>
      </c>
      <c r="K125" s="78">
        <f t="shared" si="45"/>
        <v>47969</v>
      </c>
    </row>
    <row r="126" spans="2:11" hidden="1" outlineLevel="1">
      <c r="B126" s="78">
        <f t="shared" si="40"/>
        <v>48000</v>
      </c>
      <c r="C126" s="75">
        <v>1186570.9228312671</v>
      </c>
      <c r="D126" s="71">
        <f>IF(F126&lt;&gt;0,VLOOKUP($J126,'Table 1'!$B$13:$C$33,2,FALSE)/12*1000*Study_MW,0)</f>
        <v>0</v>
      </c>
      <c r="E126" s="71">
        <f t="shared" si="41"/>
        <v>1186570.9228312671</v>
      </c>
      <c r="F126" s="75">
        <v>72000</v>
      </c>
      <c r="G126" s="76">
        <f t="shared" si="42"/>
        <v>16.480151705989822</v>
      </c>
      <c r="I126" s="77">
        <f t="shared" si="47"/>
        <v>123</v>
      </c>
      <c r="J126" s="73">
        <f t="shared" si="43"/>
        <v>2031</v>
      </c>
      <c r="K126" s="78">
        <f t="shared" si="45"/>
        <v>48000</v>
      </c>
    </row>
    <row r="127" spans="2:11" hidden="1" outlineLevel="1">
      <c r="B127" s="78">
        <f t="shared" si="40"/>
        <v>48030</v>
      </c>
      <c r="C127" s="75">
        <v>4013007.4527616054</v>
      </c>
      <c r="D127" s="71">
        <f>IF(F127&lt;&gt;0,VLOOKUP($J127,'Table 1'!$B$13:$C$33,2,FALSE)/12*1000*Study_MW,0)</f>
        <v>0</v>
      </c>
      <c r="E127" s="71">
        <f t="shared" si="41"/>
        <v>4013007.4527616054</v>
      </c>
      <c r="F127" s="75">
        <v>74400</v>
      </c>
      <c r="G127" s="76">
        <f t="shared" si="42"/>
        <v>53.938272214537704</v>
      </c>
      <c r="I127" s="77">
        <f t="shared" si="47"/>
        <v>124</v>
      </c>
      <c r="J127" s="73">
        <f t="shared" si="43"/>
        <v>2031</v>
      </c>
      <c r="K127" s="78">
        <f t="shared" si="45"/>
        <v>48030</v>
      </c>
    </row>
    <row r="128" spans="2:11" hidden="1" outlineLevel="1">
      <c r="B128" s="78">
        <f t="shared" si="40"/>
        <v>48061</v>
      </c>
      <c r="C128" s="75">
        <v>5383034.8019053489</v>
      </c>
      <c r="D128" s="71">
        <f>IF(F128&lt;&gt;0,VLOOKUP($J128,'Table 1'!$B$13:$C$33,2,FALSE)/12*1000*Study_MW,0)</f>
        <v>0</v>
      </c>
      <c r="E128" s="71">
        <f t="shared" si="41"/>
        <v>5383034.8019053489</v>
      </c>
      <c r="F128" s="75">
        <v>74400</v>
      </c>
      <c r="G128" s="76">
        <f t="shared" si="42"/>
        <v>72.352618305179419</v>
      </c>
      <c r="I128" s="77">
        <f t="shared" si="47"/>
        <v>125</v>
      </c>
      <c r="J128" s="73">
        <f t="shared" si="43"/>
        <v>2031</v>
      </c>
      <c r="K128" s="78">
        <f t="shared" si="45"/>
        <v>48061</v>
      </c>
    </row>
    <row r="129" spans="2:11" hidden="1" outlineLevel="1">
      <c r="B129" s="78">
        <f t="shared" si="40"/>
        <v>48092</v>
      </c>
      <c r="C129" s="75">
        <v>3285612.1353684664</v>
      </c>
      <c r="D129" s="71">
        <f>IF(F129&lt;&gt;0,VLOOKUP($J129,'Table 1'!$B$13:$C$33,2,FALSE)/12*1000*Study_MW,0)</f>
        <v>0</v>
      </c>
      <c r="E129" s="71">
        <f t="shared" si="41"/>
        <v>3285612.1353684664</v>
      </c>
      <c r="F129" s="75">
        <v>72000</v>
      </c>
      <c r="G129" s="76">
        <f t="shared" si="42"/>
        <v>45.633501880117592</v>
      </c>
      <c r="I129" s="77">
        <f t="shared" si="47"/>
        <v>126</v>
      </c>
      <c r="J129" s="73">
        <f t="shared" si="43"/>
        <v>2031</v>
      </c>
      <c r="K129" s="78">
        <f t="shared" si="45"/>
        <v>48092</v>
      </c>
    </row>
    <row r="130" spans="2:11" hidden="1" outlineLevel="1">
      <c r="B130" s="78">
        <f t="shared" si="40"/>
        <v>48122</v>
      </c>
      <c r="C130" s="75">
        <v>1923873.7099855393</v>
      </c>
      <c r="D130" s="71">
        <f>IF(F130&lt;&gt;0,VLOOKUP($J130,'Table 1'!$B$13:$C$33,2,FALSE)/12*1000*Study_MW,0)</f>
        <v>0</v>
      </c>
      <c r="E130" s="71">
        <f t="shared" si="41"/>
        <v>1923873.7099855393</v>
      </c>
      <c r="F130" s="75">
        <v>74400</v>
      </c>
      <c r="G130" s="76">
        <f t="shared" si="42"/>
        <v>25.858517607332519</v>
      </c>
      <c r="I130" s="77">
        <f t="shared" si="47"/>
        <v>127</v>
      </c>
      <c r="J130" s="73">
        <f t="shared" si="43"/>
        <v>2031</v>
      </c>
      <c r="K130" s="78">
        <f t="shared" si="45"/>
        <v>48122</v>
      </c>
    </row>
    <row r="131" spans="2:11" hidden="1" outlineLevel="1">
      <c r="B131" s="78">
        <f t="shared" si="40"/>
        <v>48153</v>
      </c>
      <c r="C131" s="75">
        <v>3124513.7568894923</v>
      </c>
      <c r="D131" s="71">
        <f>IF(F131&lt;&gt;0,VLOOKUP($J131,'Table 1'!$B$13:$C$33,2,FALSE)/12*1000*Study_MW,0)</f>
        <v>0</v>
      </c>
      <c r="E131" s="71">
        <f t="shared" si="41"/>
        <v>3124513.7568894923</v>
      </c>
      <c r="F131" s="75">
        <v>72000</v>
      </c>
      <c r="G131" s="76">
        <f t="shared" si="42"/>
        <v>43.396024401242947</v>
      </c>
      <c r="I131" s="77">
        <f t="shared" si="47"/>
        <v>128</v>
      </c>
      <c r="J131" s="73">
        <f t="shared" si="43"/>
        <v>2031</v>
      </c>
      <c r="K131" s="78">
        <f t="shared" si="45"/>
        <v>48153</v>
      </c>
    </row>
    <row r="132" spans="2:11" hidden="1" outlineLevel="1">
      <c r="B132" s="82">
        <f t="shared" si="40"/>
        <v>48183</v>
      </c>
      <c r="C132" s="79">
        <v>3508881.6476250589</v>
      </c>
      <c r="D132" s="80">
        <f>IF(F132&lt;&gt;0,VLOOKUP($J132,'Table 1'!$B$13:$C$33,2,FALSE)/12*1000*Study_MW,0)</f>
        <v>0</v>
      </c>
      <c r="E132" s="80">
        <f t="shared" si="41"/>
        <v>3508881.6476250589</v>
      </c>
      <c r="F132" s="79">
        <v>74400</v>
      </c>
      <c r="G132" s="81">
        <f t="shared" si="42"/>
        <v>47.162387736895951</v>
      </c>
      <c r="I132" s="64">
        <f t="shared" si="47"/>
        <v>129</v>
      </c>
      <c r="J132" s="73">
        <f t="shared" si="43"/>
        <v>2031</v>
      </c>
      <c r="K132" s="82">
        <f t="shared" si="45"/>
        <v>48183</v>
      </c>
    </row>
    <row r="133" spans="2:11" hidden="1" outlineLevel="1">
      <c r="B133" s="74">
        <f t="shared" si="40"/>
        <v>48214</v>
      </c>
      <c r="C133" s="69">
        <v>3238465.9036518782</v>
      </c>
      <c r="D133" s="70">
        <f>IF(F133&lt;&gt;0,VLOOKUP($J133,'Table 1'!$B$13:$C$33,2,FALSE)/12*1000*Study_MW,0)</f>
        <v>0</v>
      </c>
      <c r="E133" s="70">
        <f t="shared" si="41"/>
        <v>3238465.9036518782</v>
      </c>
      <c r="F133" s="69">
        <v>74400</v>
      </c>
      <c r="G133" s="72">
        <f t="shared" si="42"/>
        <v>43.527767522202666</v>
      </c>
      <c r="I133" s="60">
        <f>I13</f>
        <v>1</v>
      </c>
      <c r="J133" s="73">
        <f t="shared" si="43"/>
        <v>2032</v>
      </c>
      <c r="K133" s="74">
        <f t="shared" si="45"/>
        <v>48214</v>
      </c>
    </row>
    <row r="134" spans="2:11" hidden="1" outlineLevel="1">
      <c r="B134" s="78">
        <f t="shared" si="40"/>
        <v>48245</v>
      </c>
      <c r="C134" s="75">
        <v>2271865.8015036136</v>
      </c>
      <c r="D134" s="71">
        <f>IF(F134&lt;&gt;0,VLOOKUP($J134,'Table 1'!$B$13:$C$33,2,FALSE)/12*1000*Study_MW,0)</f>
        <v>0</v>
      </c>
      <c r="E134" s="71">
        <f t="shared" si="41"/>
        <v>2271865.8015036136</v>
      </c>
      <c r="F134" s="75">
        <v>69600</v>
      </c>
      <c r="G134" s="76">
        <f t="shared" si="42"/>
        <v>32.641750021603642</v>
      </c>
      <c r="I134" s="77">
        <f t="shared" ref="I134:I197" si="48">I14</f>
        <v>2</v>
      </c>
      <c r="J134" s="73">
        <f t="shared" si="43"/>
        <v>2032</v>
      </c>
      <c r="K134" s="78">
        <f t="shared" si="45"/>
        <v>48245</v>
      </c>
    </row>
    <row r="135" spans="2:11" hidden="1" outlineLevel="1">
      <c r="B135" s="78">
        <f t="shared" si="40"/>
        <v>48274</v>
      </c>
      <c r="C135" s="75">
        <v>2026575.2178331167</v>
      </c>
      <c r="D135" s="71">
        <f>IF(F135&lt;&gt;0,VLOOKUP($J135,'Table 1'!$B$13:$C$33,2,FALSE)/12*1000*Study_MW,0)</f>
        <v>0</v>
      </c>
      <c r="E135" s="71">
        <f t="shared" si="41"/>
        <v>2026575.2178331167</v>
      </c>
      <c r="F135" s="75">
        <v>74400</v>
      </c>
      <c r="G135" s="76">
        <f t="shared" si="42"/>
        <v>27.238914218187052</v>
      </c>
      <c r="I135" s="77">
        <f t="shared" si="48"/>
        <v>3</v>
      </c>
      <c r="J135" s="73">
        <f t="shared" si="43"/>
        <v>2032</v>
      </c>
      <c r="K135" s="78">
        <f t="shared" si="45"/>
        <v>48274</v>
      </c>
    </row>
    <row r="136" spans="2:11" hidden="1" outlineLevel="1">
      <c r="B136" s="78">
        <f t="shared" si="40"/>
        <v>48305</v>
      </c>
      <c r="C136" s="75">
        <v>1111278.3669661582</v>
      </c>
      <c r="D136" s="71">
        <f>IF(F136&lt;&gt;0,VLOOKUP($J136,'Table 1'!$B$13:$C$33,2,FALSE)/12*1000*Study_MW,0)</f>
        <v>0</v>
      </c>
      <c r="E136" s="71">
        <f t="shared" si="41"/>
        <v>1111278.3669661582</v>
      </c>
      <c r="F136" s="75">
        <v>72000</v>
      </c>
      <c r="G136" s="76">
        <f t="shared" si="42"/>
        <v>15.434421763418863</v>
      </c>
      <c r="I136" s="77">
        <f t="shared" si="48"/>
        <v>4</v>
      </c>
      <c r="J136" s="73">
        <f t="shared" si="43"/>
        <v>2032</v>
      </c>
      <c r="K136" s="78">
        <f t="shared" si="45"/>
        <v>48305</v>
      </c>
    </row>
    <row r="137" spans="2:11" hidden="1" outlineLevel="1">
      <c r="B137" s="78">
        <f t="shared" si="40"/>
        <v>48335</v>
      </c>
      <c r="C137" s="75">
        <v>930670.597706303</v>
      </c>
      <c r="D137" s="71">
        <f>IF(F137&lt;&gt;0,VLOOKUP($J137,'Table 1'!$B$13:$C$33,2,FALSE)/12*1000*Study_MW,0)</f>
        <v>0</v>
      </c>
      <c r="E137" s="71">
        <f t="shared" si="41"/>
        <v>930670.597706303</v>
      </c>
      <c r="F137" s="75">
        <v>74400</v>
      </c>
      <c r="G137" s="76">
        <f t="shared" si="42"/>
        <v>12.509013410030954</v>
      </c>
      <c r="I137" s="77">
        <f t="shared" si="48"/>
        <v>5</v>
      </c>
      <c r="J137" s="73">
        <f t="shared" si="43"/>
        <v>2032</v>
      </c>
      <c r="K137" s="78">
        <f t="shared" si="45"/>
        <v>48335</v>
      </c>
    </row>
    <row r="138" spans="2:11" hidden="1" outlineLevel="1">
      <c r="B138" s="78">
        <f t="shared" si="40"/>
        <v>48366</v>
      </c>
      <c r="C138" s="75">
        <v>1021123.901715368</v>
      </c>
      <c r="D138" s="71">
        <f>IF(F138&lt;&gt;0,VLOOKUP($J138,'Table 1'!$B$13:$C$33,2,FALSE)/12*1000*Study_MW,0)</f>
        <v>0</v>
      </c>
      <c r="E138" s="71">
        <f t="shared" si="41"/>
        <v>1021123.901715368</v>
      </c>
      <c r="F138" s="75">
        <v>72000</v>
      </c>
      <c r="G138" s="76">
        <f t="shared" si="42"/>
        <v>14.182276412713446</v>
      </c>
      <c r="I138" s="77">
        <f t="shared" si="48"/>
        <v>6</v>
      </c>
      <c r="J138" s="73">
        <f t="shared" si="43"/>
        <v>2032</v>
      </c>
      <c r="K138" s="78">
        <f t="shared" si="45"/>
        <v>48366</v>
      </c>
    </row>
    <row r="139" spans="2:11" hidden="1" outlineLevel="1">
      <c r="B139" s="78">
        <f t="shared" si="40"/>
        <v>48396</v>
      </c>
      <c r="C139" s="75">
        <v>3996475.9810902178</v>
      </c>
      <c r="D139" s="71">
        <f>IF(F139&lt;&gt;0,VLOOKUP($J139,'Table 1'!$B$13:$C$33,2,FALSE)/12*1000*Study_MW,0)</f>
        <v>0</v>
      </c>
      <c r="E139" s="71">
        <f t="shared" si="41"/>
        <v>3996475.9810902178</v>
      </c>
      <c r="F139" s="75">
        <v>74400</v>
      </c>
      <c r="G139" s="76">
        <f t="shared" si="42"/>
        <v>53.716075014653462</v>
      </c>
      <c r="I139" s="77">
        <f t="shared" si="48"/>
        <v>7</v>
      </c>
      <c r="J139" s="73">
        <f t="shared" si="43"/>
        <v>2032</v>
      </c>
      <c r="K139" s="78">
        <f t="shared" si="45"/>
        <v>48396</v>
      </c>
    </row>
    <row r="140" spans="2:11" hidden="1" outlineLevel="1">
      <c r="B140" s="78">
        <f t="shared" si="40"/>
        <v>48427</v>
      </c>
      <c r="C140" s="75">
        <v>5424970.0584066957</v>
      </c>
      <c r="D140" s="71">
        <f>IF(F140&lt;&gt;0,VLOOKUP($J140,'Table 1'!$B$13:$C$33,2,FALSE)/12*1000*Study_MW,0)</f>
        <v>0</v>
      </c>
      <c r="E140" s="71">
        <f t="shared" si="41"/>
        <v>5424970.0584066957</v>
      </c>
      <c r="F140" s="75">
        <v>74400</v>
      </c>
      <c r="G140" s="76">
        <f t="shared" si="42"/>
        <v>72.916264225896441</v>
      </c>
      <c r="I140" s="77">
        <f t="shared" si="48"/>
        <v>8</v>
      </c>
      <c r="J140" s="73">
        <f t="shared" si="43"/>
        <v>2032</v>
      </c>
      <c r="K140" s="78">
        <f t="shared" si="45"/>
        <v>48427</v>
      </c>
    </row>
    <row r="141" spans="2:11" hidden="1" outlineLevel="1">
      <c r="B141" s="78">
        <f t="shared" si="40"/>
        <v>48458</v>
      </c>
      <c r="C141" s="75">
        <v>3318934.9463724047</v>
      </c>
      <c r="D141" s="71">
        <f>IF(F141&lt;&gt;0,VLOOKUP($J141,'Table 1'!$B$13:$C$33,2,FALSE)/12*1000*Study_MW,0)</f>
        <v>0</v>
      </c>
      <c r="E141" s="71">
        <f t="shared" si="41"/>
        <v>3318934.9463724047</v>
      </c>
      <c r="F141" s="75">
        <v>72000</v>
      </c>
      <c r="G141" s="76">
        <f t="shared" si="42"/>
        <v>46.096318699616731</v>
      </c>
      <c r="I141" s="77">
        <f t="shared" si="48"/>
        <v>9</v>
      </c>
      <c r="J141" s="73">
        <f t="shared" si="43"/>
        <v>2032</v>
      </c>
      <c r="K141" s="78">
        <f t="shared" si="45"/>
        <v>48458</v>
      </c>
    </row>
    <row r="142" spans="2:11" hidden="1" outlineLevel="1">
      <c r="B142" s="78">
        <f t="shared" ref="B142:B205" si="49">EDATE(B141,1)</f>
        <v>48488</v>
      </c>
      <c r="C142" s="75">
        <v>2081783.1998264194</v>
      </c>
      <c r="D142" s="71">
        <f>IF(F142&lt;&gt;0,VLOOKUP($J142,'Table 1'!$B$13:$C$33,2,FALSE)/12*1000*Study_MW,0)</f>
        <v>0</v>
      </c>
      <c r="E142" s="71">
        <f t="shared" ref="E142:E192" si="50">C142+D142</f>
        <v>2081783.1998264194</v>
      </c>
      <c r="F142" s="75">
        <v>74400</v>
      </c>
      <c r="G142" s="76">
        <f t="shared" ref="G142:G192" si="51">IF(ISNUMBER($F142),E142/$F142,"")</f>
        <v>27.98095698691424</v>
      </c>
      <c r="I142" s="77">
        <f t="shared" si="48"/>
        <v>10</v>
      </c>
      <c r="J142" s="73">
        <f t="shared" ref="J142:J192" si="52">YEAR(B142)</f>
        <v>2032</v>
      </c>
      <c r="K142" s="78">
        <f t="shared" si="45"/>
        <v>48488</v>
      </c>
    </row>
    <row r="143" spans="2:11" hidden="1" outlineLevel="1">
      <c r="B143" s="78">
        <f t="shared" si="49"/>
        <v>48519</v>
      </c>
      <c r="C143" s="75">
        <v>3101305.4160197675</v>
      </c>
      <c r="D143" s="71">
        <f>IF(F143&lt;&gt;0,VLOOKUP($J143,'Table 1'!$B$13:$C$33,2,FALSE)/12*1000*Study_MW,0)</f>
        <v>0</v>
      </c>
      <c r="E143" s="71">
        <f t="shared" si="50"/>
        <v>3101305.4160197675</v>
      </c>
      <c r="F143" s="75">
        <v>72000</v>
      </c>
      <c r="G143" s="76">
        <f t="shared" si="51"/>
        <v>43.073686333607881</v>
      </c>
      <c r="I143" s="77">
        <f t="shared" si="48"/>
        <v>11</v>
      </c>
      <c r="J143" s="73">
        <f t="shared" si="52"/>
        <v>2032</v>
      </c>
      <c r="K143" s="78">
        <f t="shared" si="45"/>
        <v>48519</v>
      </c>
    </row>
    <row r="144" spans="2:11" hidden="1" outlineLevel="1">
      <c r="B144" s="82">
        <f t="shared" si="49"/>
        <v>48549</v>
      </c>
      <c r="C144" s="79">
        <v>3866303.6475105584</v>
      </c>
      <c r="D144" s="80">
        <f>IF(F144&lt;&gt;0,VLOOKUP($J144,'Table 1'!$B$13:$C$33,2,FALSE)/12*1000*Study_MW,0)</f>
        <v>0</v>
      </c>
      <c r="E144" s="80">
        <f t="shared" si="50"/>
        <v>3866303.6475105584</v>
      </c>
      <c r="F144" s="79">
        <v>74400</v>
      </c>
      <c r="G144" s="81">
        <f t="shared" si="51"/>
        <v>51.966446875141912</v>
      </c>
      <c r="I144" s="64">
        <f t="shared" si="48"/>
        <v>12</v>
      </c>
      <c r="J144" s="73">
        <f t="shared" si="52"/>
        <v>2032</v>
      </c>
      <c r="K144" s="82">
        <f t="shared" si="45"/>
        <v>48549</v>
      </c>
    </row>
    <row r="145" spans="2:11" hidden="1" outlineLevel="1">
      <c r="B145" s="74">
        <f t="shared" si="49"/>
        <v>48580</v>
      </c>
      <c r="C145" s="69">
        <v>3292495.7683782429</v>
      </c>
      <c r="D145" s="70">
        <f>IF(F145&lt;&gt;0,VLOOKUP($J145,'Table 1'!$B$13:$C$33,2,FALSE)/12*1000*Study_MW,0)</f>
        <v>998840.11420413991</v>
      </c>
      <c r="E145" s="70">
        <f t="shared" si="50"/>
        <v>4291335.8825823832</v>
      </c>
      <c r="F145" s="69">
        <v>74400</v>
      </c>
      <c r="G145" s="72">
        <f t="shared" si="51"/>
        <v>57.679245733634183</v>
      </c>
      <c r="I145" s="60">
        <f>I25</f>
        <v>14</v>
      </c>
      <c r="J145" s="73">
        <f t="shared" si="52"/>
        <v>2033</v>
      </c>
      <c r="K145" s="74">
        <f t="shared" si="45"/>
        <v>48580</v>
      </c>
    </row>
    <row r="146" spans="2:11" hidden="1" outlineLevel="1">
      <c r="B146" s="78">
        <f t="shared" si="49"/>
        <v>48611</v>
      </c>
      <c r="C146" s="75">
        <v>2584332.5891086459</v>
      </c>
      <c r="D146" s="71">
        <f>IF(F146&lt;&gt;0,VLOOKUP($J146,'Table 1'!$B$13:$C$33,2,FALSE)/12*1000*Study_MW,0)</f>
        <v>998840.11420413991</v>
      </c>
      <c r="E146" s="71">
        <f t="shared" si="50"/>
        <v>3583172.7033127858</v>
      </c>
      <c r="F146" s="75">
        <v>67200</v>
      </c>
      <c r="G146" s="76">
        <f t="shared" si="51"/>
        <v>53.321022370725977</v>
      </c>
      <c r="I146" s="77">
        <f t="shared" si="48"/>
        <v>15</v>
      </c>
      <c r="J146" s="73">
        <f t="shared" si="52"/>
        <v>2033</v>
      </c>
      <c r="K146" s="78">
        <f t="shared" si="45"/>
        <v>48611</v>
      </c>
    </row>
    <row r="147" spans="2:11" hidden="1" outlineLevel="1">
      <c r="B147" s="78">
        <f t="shared" si="49"/>
        <v>48639</v>
      </c>
      <c r="C147" s="75">
        <v>1922313.1022583097</v>
      </c>
      <c r="D147" s="71">
        <f>IF(F147&lt;&gt;0,VLOOKUP($J147,'Table 1'!$B$13:$C$33,2,FALSE)/12*1000*Study_MW,0)</f>
        <v>998840.11420413991</v>
      </c>
      <c r="E147" s="71">
        <f t="shared" si="50"/>
        <v>2921153.2164624496</v>
      </c>
      <c r="F147" s="75">
        <v>74400</v>
      </c>
      <c r="G147" s="76">
        <f t="shared" si="51"/>
        <v>39.262812049226476</v>
      </c>
      <c r="I147" s="77">
        <f t="shared" si="48"/>
        <v>16</v>
      </c>
      <c r="J147" s="73">
        <f t="shared" si="52"/>
        <v>2033</v>
      </c>
      <c r="K147" s="78">
        <f t="shared" si="45"/>
        <v>48639</v>
      </c>
    </row>
    <row r="148" spans="2:11" hidden="1" outlineLevel="1">
      <c r="B148" s="78">
        <f t="shared" si="49"/>
        <v>48670</v>
      </c>
      <c r="C148" s="75">
        <v>982835.00902356952</v>
      </c>
      <c r="D148" s="71">
        <f>IF(F148&lt;&gt;0,VLOOKUP($J148,'Table 1'!$B$13:$C$33,2,FALSE)/12*1000*Study_MW,0)</f>
        <v>998840.11420413991</v>
      </c>
      <c r="E148" s="71">
        <f t="shared" si="50"/>
        <v>1981675.1232277094</v>
      </c>
      <c r="F148" s="75">
        <v>72000</v>
      </c>
      <c r="G148" s="76">
        <f t="shared" si="51"/>
        <v>27.523265600384853</v>
      </c>
      <c r="I148" s="77">
        <f t="shared" si="48"/>
        <v>17</v>
      </c>
      <c r="J148" s="73">
        <f t="shared" si="52"/>
        <v>2033</v>
      </c>
      <c r="K148" s="78">
        <f t="shared" si="45"/>
        <v>48670</v>
      </c>
    </row>
    <row r="149" spans="2:11" hidden="1" outlineLevel="1">
      <c r="B149" s="78">
        <f t="shared" si="49"/>
        <v>48700</v>
      </c>
      <c r="C149" s="75">
        <v>939255.2423409</v>
      </c>
      <c r="D149" s="71">
        <f>IF(F149&lt;&gt;0,VLOOKUP($J149,'Table 1'!$B$13:$C$33,2,FALSE)/12*1000*Study_MW,0)</f>
        <v>998840.11420413991</v>
      </c>
      <c r="E149" s="71">
        <f t="shared" si="50"/>
        <v>1938095.3565450399</v>
      </c>
      <c r="F149" s="75">
        <v>74400</v>
      </c>
      <c r="G149" s="76">
        <f t="shared" si="51"/>
        <v>26.049668770766665</v>
      </c>
      <c r="I149" s="77">
        <f t="shared" si="48"/>
        <v>18</v>
      </c>
      <c r="J149" s="73">
        <f t="shared" si="52"/>
        <v>2033</v>
      </c>
      <c r="K149" s="78">
        <f t="shared" si="45"/>
        <v>48700</v>
      </c>
    </row>
    <row r="150" spans="2:11" hidden="1" outlineLevel="1">
      <c r="B150" s="78">
        <f t="shared" si="49"/>
        <v>48731</v>
      </c>
      <c r="C150" s="75">
        <v>932433.20271083713</v>
      </c>
      <c r="D150" s="71">
        <f>IF(F150&lt;&gt;0,VLOOKUP($J150,'Table 1'!$B$13:$C$33,2,FALSE)/12*1000*Study_MW,0)</f>
        <v>998840.11420413991</v>
      </c>
      <c r="E150" s="71">
        <f t="shared" si="50"/>
        <v>1931273.316914977</v>
      </c>
      <c r="F150" s="75">
        <v>72000</v>
      </c>
      <c r="G150" s="76">
        <f t="shared" si="51"/>
        <v>26.823240512708015</v>
      </c>
      <c r="I150" s="77">
        <f t="shared" si="48"/>
        <v>19</v>
      </c>
      <c r="J150" s="73">
        <f t="shared" si="52"/>
        <v>2033</v>
      </c>
      <c r="K150" s="78">
        <f t="shared" si="45"/>
        <v>48731</v>
      </c>
    </row>
    <row r="151" spans="2:11" hidden="1" outlineLevel="1">
      <c r="B151" s="78">
        <f t="shared" si="49"/>
        <v>48761</v>
      </c>
      <c r="C151" s="75">
        <v>3805866.284482196</v>
      </c>
      <c r="D151" s="71">
        <f>IF(F151&lt;&gt;0,VLOOKUP($J151,'Table 1'!$B$13:$C$33,2,FALSE)/12*1000*Study_MW,0)</f>
        <v>998840.11420413991</v>
      </c>
      <c r="E151" s="71">
        <f t="shared" si="50"/>
        <v>4804706.3986863364</v>
      </c>
      <c r="F151" s="75">
        <v>74400</v>
      </c>
      <c r="G151" s="76">
        <f t="shared" si="51"/>
        <v>64.579387079117424</v>
      </c>
      <c r="I151" s="77">
        <f t="shared" si="48"/>
        <v>20</v>
      </c>
      <c r="J151" s="73">
        <f t="shared" si="52"/>
        <v>2033</v>
      </c>
      <c r="K151" s="78">
        <f t="shared" si="45"/>
        <v>48761</v>
      </c>
    </row>
    <row r="152" spans="2:11" hidden="1" outlineLevel="1">
      <c r="B152" s="78">
        <f t="shared" si="49"/>
        <v>48792</v>
      </c>
      <c r="C152" s="75">
        <v>5157876.1635630131</v>
      </c>
      <c r="D152" s="71">
        <f>IF(F152&lt;&gt;0,VLOOKUP($J152,'Table 1'!$B$13:$C$33,2,FALSE)/12*1000*Study_MW,0)</f>
        <v>998840.11420413991</v>
      </c>
      <c r="E152" s="71">
        <f t="shared" si="50"/>
        <v>6156716.2777671535</v>
      </c>
      <c r="F152" s="75">
        <v>74400</v>
      </c>
      <c r="G152" s="76">
        <f t="shared" si="51"/>
        <v>82.751562873214425</v>
      </c>
      <c r="I152" s="77">
        <f t="shared" si="48"/>
        <v>21</v>
      </c>
      <c r="J152" s="73">
        <f t="shared" si="52"/>
        <v>2033</v>
      </c>
      <c r="K152" s="78">
        <f t="shared" si="45"/>
        <v>48792</v>
      </c>
    </row>
    <row r="153" spans="2:11" hidden="1" outlineLevel="1">
      <c r="B153" s="78">
        <f t="shared" si="49"/>
        <v>48823</v>
      </c>
      <c r="C153" s="75">
        <v>3171573.0567353219</v>
      </c>
      <c r="D153" s="71">
        <f>IF(F153&lt;&gt;0,VLOOKUP($J153,'Table 1'!$B$13:$C$33,2,FALSE)/12*1000*Study_MW,0)</f>
        <v>998840.11420413991</v>
      </c>
      <c r="E153" s="71">
        <f t="shared" si="50"/>
        <v>4170413.1709394618</v>
      </c>
      <c r="F153" s="75">
        <v>72000</v>
      </c>
      <c r="G153" s="76">
        <f t="shared" si="51"/>
        <v>57.922405151936971</v>
      </c>
      <c r="I153" s="77">
        <f t="shared" si="48"/>
        <v>22</v>
      </c>
      <c r="J153" s="73">
        <f t="shared" si="52"/>
        <v>2033</v>
      </c>
      <c r="K153" s="78">
        <f t="shared" si="45"/>
        <v>48823</v>
      </c>
    </row>
    <row r="154" spans="2:11" hidden="1" outlineLevel="1">
      <c r="B154" s="78">
        <f t="shared" si="49"/>
        <v>48853</v>
      </c>
      <c r="C154" s="75">
        <v>1991027.8405026346</v>
      </c>
      <c r="D154" s="71">
        <f>IF(F154&lt;&gt;0,VLOOKUP($J154,'Table 1'!$B$13:$C$33,2,FALSE)/12*1000*Study_MW,0)</f>
        <v>998840.11420413991</v>
      </c>
      <c r="E154" s="71">
        <f t="shared" si="50"/>
        <v>2989867.9547067746</v>
      </c>
      <c r="F154" s="75">
        <v>74400</v>
      </c>
      <c r="G154" s="76">
        <f t="shared" si="51"/>
        <v>40.186397240682453</v>
      </c>
      <c r="I154" s="77">
        <f t="shared" si="48"/>
        <v>23</v>
      </c>
      <c r="J154" s="73">
        <f t="shared" si="52"/>
        <v>2033</v>
      </c>
      <c r="K154" s="78">
        <f t="shared" ref="K154:K192" si="53">IF(ISNUMBER(F154),IF(F154&lt;&gt;0,B154,""),"")</f>
        <v>48853</v>
      </c>
    </row>
    <row r="155" spans="2:11" hidden="1" outlineLevel="1">
      <c r="B155" s="78">
        <f t="shared" si="49"/>
        <v>48884</v>
      </c>
      <c r="C155" s="75">
        <v>3140777.3860791028</v>
      </c>
      <c r="D155" s="71">
        <f>IF(F155&lt;&gt;0,VLOOKUP($J155,'Table 1'!$B$13:$C$33,2,FALSE)/12*1000*Study_MW,0)</f>
        <v>998840.11420413991</v>
      </c>
      <c r="E155" s="71">
        <f t="shared" si="50"/>
        <v>4139617.5002832427</v>
      </c>
      <c r="F155" s="75">
        <v>72000</v>
      </c>
      <c r="G155" s="76">
        <f t="shared" si="51"/>
        <v>57.494687503933925</v>
      </c>
      <c r="I155" s="77">
        <f t="shared" si="48"/>
        <v>24</v>
      </c>
      <c r="J155" s="73">
        <f t="shared" si="52"/>
        <v>2033</v>
      </c>
      <c r="K155" s="78">
        <f t="shared" si="53"/>
        <v>48884</v>
      </c>
    </row>
    <row r="156" spans="2:11" hidden="1" outlineLevel="1">
      <c r="B156" s="82">
        <f t="shared" si="49"/>
        <v>48914</v>
      </c>
      <c r="C156" s="79">
        <v>4027390.9551815093</v>
      </c>
      <c r="D156" s="80">
        <f>IF(F156&lt;&gt;0,VLOOKUP($J156,'Table 1'!$B$13:$C$33,2,FALSE)/12*1000*Study_MW,0)</f>
        <v>998840.11420413991</v>
      </c>
      <c r="E156" s="80">
        <f t="shared" si="50"/>
        <v>5026231.0693856496</v>
      </c>
      <c r="F156" s="79">
        <v>74400</v>
      </c>
      <c r="G156" s="81">
        <f t="shared" si="51"/>
        <v>67.556869212172714</v>
      </c>
      <c r="I156" s="64">
        <f t="shared" si="48"/>
        <v>25</v>
      </c>
      <c r="J156" s="73">
        <f t="shared" si="52"/>
        <v>2033</v>
      </c>
      <c r="K156" s="82">
        <f t="shared" si="53"/>
        <v>48914</v>
      </c>
    </row>
    <row r="157" spans="2:11" hidden="1" outlineLevel="1">
      <c r="B157" s="74">
        <f t="shared" si="49"/>
        <v>48945</v>
      </c>
      <c r="C157" s="69">
        <v>4293501.1444610804</v>
      </c>
      <c r="D157" s="70">
        <f>IF(F157&lt;&gt;0,VLOOKUP($J157,'Table 1'!$B$13:$C$33,2,FALSE)/12*1000*Study_MW,0)</f>
        <v>1020342.6124197001</v>
      </c>
      <c r="E157" s="70">
        <f t="shared" si="50"/>
        <v>5313843.7568807807</v>
      </c>
      <c r="F157" s="69">
        <v>74400</v>
      </c>
      <c r="G157" s="72">
        <f t="shared" si="51"/>
        <v>71.422631140870706</v>
      </c>
      <c r="I157" s="60">
        <f>I37</f>
        <v>27</v>
      </c>
      <c r="J157" s="73">
        <f t="shared" si="52"/>
        <v>2034</v>
      </c>
      <c r="K157" s="74">
        <f t="shared" si="53"/>
        <v>48945</v>
      </c>
    </row>
    <row r="158" spans="2:11" hidden="1" outlineLevel="1">
      <c r="B158" s="78">
        <f t="shared" si="49"/>
        <v>48976</v>
      </c>
      <c r="C158" s="75">
        <v>2681310.283608973</v>
      </c>
      <c r="D158" s="71">
        <f>IF(F158&lt;&gt;0,VLOOKUP($J158,'Table 1'!$B$13:$C$33,2,FALSE)/12*1000*Study_MW,0)</f>
        <v>1020342.6124197001</v>
      </c>
      <c r="E158" s="71">
        <f t="shared" si="50"/>
        <v>3701652.8960286733</v>
      </c>
      <c r="F158" s="75">
        <v>67200</v>
      </c>
      <c r="G158" s="76">
        <f t="shared" si="51"/>
        <v>55.084120476617159</v>
      </c>
      <c r="I158" s="77">
        <f t="shared" si="48"/>
        <v>28</v>
      </c>
      <c r="J158" s="73">
        <f t="shared" si="52"/>
        <v>2034</v>
      </c>
      <c r="K158" s="78">
        <f t="shared" si="53"/>
        <v>48976</v>
      </c>
    </row>
    <row r="159" spans="2:11" hidden="1" outlineLevel="1">
      <c r="B159" s="78">
        <f t="shared" si="49"/>
        <v>49004</v>
      </c>
      <c r="C159" s="75">
        <v>2118411.8632178009</v>
      </c>
      <c r="D159" s="71">
        <f>IF(F159&lt;&gt;0,VLOOKUP($J159,'Table 1'!$B$13:$C$33,2,FALSE)/12*1000*Study_MW,0)</f>
        <v>1020342.6124197001</v>
      </c>
      <c r="E159" s="71">
        <f t="shared" si="50"/>
        <v>3138754.4756375011</v>
      </c>
      <c r="F159" s="75">
        <v>74400</v>
      </c>
      <c r="G159" s="76">
        <f t="shared" si="51"/>
        <v>42.187560156418023</v>
      </c>
      <c r="I159" s="77">
        <f t="shared" si="48"/>
        <v>29</v>
      </c>
      <c r="J159" s="73">
        <f t="shared" si="52"/>
        <v>2034</v>
      </c>
      <c r="K159" s="78">
        <f t="shared" si="53"/>
        <v>49004</v>
      </c>
    </row>
    <row r="160" spans="2:11" hidden="1" outlineLevel="1">
      <c r="B160" s="78">
        <f t="shared" si="49"/>
        <v>49035</v>
      </c>
      <c r="C160" s="75">
        <v>1034180.7719020173</v>
      </c>
      <c r="D160" s="71">
        <f>IF(F160&lt;&gt;0,VLOOKUP($J160,'Table 1'!$B$13:$C$33,2,FALSE)/12*1000*Study_MW,0)</f>
        <v>1020342.6124197001</v>
      </c>
      <c r="E160" s="71">
        <f t="shared" si="50"/>
        <v>2054523.3843217175</v>
      </c>
      <c r="F160" s="75">
        <v>72000</v>
      </c>
      <c r="G160" s="76">
        <f t="shared" si="51"/>
        <v>28.5350470044683</v>
      </c>
      <c r="I160" s="77">
        <f t="shared" si="48"/>
        <v>30</v>
      </c>
      <c r="J160" s="73">
        <f t="shared" si="52"/>
        <v>2034</v>
      </c>
      <c r="K160" s="78">
        <f t="shared" si="53"/>
        <v>49035</v>
      </c>
    </row>
    <row r="161" spans="2:11" hidden="1" outlineLevel="1">
      <c r="B161" s="78">
        <f t="shared" si="49"/>
        <v>49065</v>
      </c>
      <c r="C161" s="75">
        <v>887130.56893824786</v>
      </c>
      <c r="D161" s="71">
        <f>IF(F161&lt;&gt;0,VLOOKUP($J161,'Table 1'!$B$13:$C$33,2,FALSE)/12*1000*Study_MW,0)</f>
        <v>1020342.6124197001</v>
      </c>
      <c r="E161" s="71">
        <f t="shared" si="50"/>
        <v>1907473.1813579481</v>
      </c>
      <c r="F161" s="75">
        <v>74400</v>
      </c>
      <c r="G161" s="76">
        <f t="shared" si="51"/>
        <v>25.638080394596077</v>
      </c>
      <c r="I161" s="77">
        <f t="shared" si="48"/>
        <v>31</v>
      </c>
      <c r="J161" s="73">
        <f t="shared" si="52"/>
        <v>2034</v>
      </c>
      <c r="K161" s="78">
        <f t="shared" si="53"/>
        <v>49065</v>
      </c>
    </row>
    <row r="162" spans="2:11" hidden="1" outlineLevel="1">
      <c r="B162" s="78">
        <f t="shared" si="49"/>
        <v>49096</v>
      </c>
      <c r="C162" s="75">
        <v>900487.66180174053</v>
      </c>
      <c r="D162" s="71">
        <f>IF(F162&lt;&gt;0,VLOOKUP($J162,'Table 1'!$B$13:$C$33,2,FALSE)/12*1000*Study_MW,0)</f>
        <v>1020342.6124197001</v>
      </c>
      <c r="E162" s="71">
        <f t="shared" si="50"/>
        <v>1920830.2742214408</v>
      </c>
      <c r="F162" s="75">
        <v>72000</v>
      </c>
      <c r="G162" s="76">
        <f t="shared" si="51"/>
        <v>26.678198253075568</v>
      </c>
      <c r="I162" s="77">
        <f t="shared" si="48"/>
        <v>32</v>
      </c>
      <c r="J162" s="73">
        <f t="shared" si="52"/>
        <v>2034</v>
      </c>
      <c r="K162" s="78">
        <f t="shared" si="53"/>
        <v>49096</v>
      </c>
    </row>
    <row r="163" spans="2:11" hidden="1" outlineLevel="1">
      <c r="B163" s="78">
        <f t="shared" si="49"/>
        <v>49126</v>
      </c>
      <c r="C163" s="75">
        <v>3752568.3237080425</v>
      </c>
      <c r="D163" s="71">
        <f>IF(F163&lt;&gt;0,VLOOKUP($J163,'Table 1'!$B$13:$C$33,2,FALSE)/12*1000*Study_MW,0)</f>
        <v>1020342.6124197001</v>
      </c>
      <c r="E163" s="71">
        <f t="shared" si="50"/>
        <v>4772910.9361277428</v>
      </c>
      <c r="F163" s="75">
        <v>74400</v>
      </c>
      <c r="G163" s="76">
        <f t="shared" si="51"/>
        <v>64.152028711394394</v>
      </c>
      <c r="I163" s="77">
        <f t="shared" si="48"/>
        <v>33</v>
      </c>
      <c r="J163" s="73">
        <f t="shared" si="52"/>
        <v>2034</v>
      </c>
      <c r="K163" s="78">
        <f t="shared" si="53"/>
        <v>49126</v>
      </c>
    </row>
    <row r="164" spans="2:11" hidden="1" outlineLevel="1">
      <c r="B164" s="78">
        <f t="shared" si="49"/>
        <v>49157</v>
      </c>
      <c r="C164" s="75">
        <v>5371472.2020057738</v>
      </c>
      <c r="D164" s="71">
        <f>IF(F164&lt;&gt;0,VLOOKUP($J164,'Table 1'!$B$13:$C$33,2,FALSE)/12*1000*Study_MW,0)</f>
        <v>1020342.6124197001</v>
      </c>
      <c r="E164" s="71">
        <f t="shared" si="50"/>
        <v>6391814.814425474</v>
      </c>
      <c r="F164" s="75">
        <v>74400</v>
      </c>
      <c r="G164" s="76">
        <f t="shared" si="51"/>
        <v>85.911489441202605</v>
      </c>
      <c r="I164" s="77">
        <f t="shared" si="48"/>
        <v>34</v>
      </c>
      <c r="J164" s="73">
        <f t="shared" si="52"/>
        <v>2034</v>
      </c>
      <c r="K164" s="78">
        <f t="shared" si="53"/>
        <v>49157</v>
      </c>
    </row>
    <row r="165" spans="2:11" hidden="1" outlineLevel="1">
      <c r="B165" s="78">
        <f t="shared" si="49"/>
        <v>49188</v>
      </c>
      <c r="C165" s="75">
        <v>3387095.3165471554</v>
      </c>
      <c r="D165" s="71">
        <f>IF(F165&lt;&gt;0,VLOOKUP($J165,'Table 1'!$B$13:$C$33,2,FALSE)/12*1000*Study_MW,0)</f>
        <v>1020342.6124197001</v>
      </c>
      <c r="E165" s="71">
        <f t="shared" si="50"/>
        <v>4407437.9289668556</v>
      </c>
      <c r="F165" s="75">
        <v>72000</v>
      </c>
      <c r="G165" s="76">
        <f t="shared" si="51"/>
        <v>61.214415680095215</v>
      </c>
      <c r="I165" s="77">
        <f t="shared" si="48"/>
        <v>35</v>
      </c>
      <c r="J165" s="73">
        <f t="shared" si="52"/>
        <v>2034</v>
      </c>
      <c r="K165" s="78">
        <f t="shared" si="53"/>
        <v>49188</v>
      </c>
    </row>
    <row r="166" spans="2:11" hidden="1" outlineLevel="1">
      <c r="B166" s="78">
        <f t="shared" si="49"/>
        <v>49218</v>
      </c>
      <c r="C166" s="75">
        <v>2028893.8048690706</v>
      </c>
      <c r="D166" s="71">
        <f>IF(F166&lt;&gt;0,VLOOKUP($J166,'Table 1'!$B$13:$C$33,2,FALSE)/12*1000*Study_MW,0)</f>
        <v>1020342.6124197001</v>
      </c>
      <c r="E166" s="71">
        <f t="shared" si="50"/>
        <v>3049236.4172887709</v>
      </c>
      <c r="F166" s="75">
        <v>74400</v>
      </c>
      <c r="G166" s="76">
        <f t="shared" si="51"/>
        <v>40.984360447429715</v>
      </c>
      <c r="I166" s="77">
        <f t="shared" si="48"/>
        <v>36</v>
      </c>
      <c r="J166" s="73">
        <f t="shared" si="52"/>
        <v>2034</v>
      </c>
      <c r="K166" s="78">
        <f t="shared" si="53"/>
        <v>49218</v>
      </c>
    </row>
    <row r="167" spans="2:11" hidden="1" outlineLevel="1">
      <c r="B167" s="78">
        <f t="shared" si="49"/>
        <v>49249</v>
      </c>
      <c r="C167" s="75">
        <v>3164932.956561923</v>
      </c>
      <c r="D167" s="71">
        <f>IF(F167&lt;&gt;0,VLOOKUP($J167,'Table 1'!$B$13:$C$33,2,FALSE)/12*1000*Study_MW,0)</f>
        <v>1020342.6124197001</v>
      </c>
      <c r="E167" s="71">
        <f t="shared" si="50"/>
        <v>4185275.5689816233</v>
      </c>
      <c r="F167" s="75">
        <v>72000</v>
      </c>
      <c r="G167" s="76">
        <f t="shared" si="51"/>
        <v>58.128827346966993</v>
      </c>
      <c r="I167" s="77">
        <f t="shared" si="48"/>
        <v>37</v>
      </c>
      <c r="J167" s="73">
        <f t="shared" si="52"/>
        <v>2034</v>
      </c>
      <c r="K167" s="78">
        <f t="shared" si="53"/>
        <v>49249</v>
      </c>
    </row>
    <row r="168" spans="2:11" hidden="1" outlineLevel="1">
      <c r="B168" s="82">
        <f t="shared" si="49"/>
        <v>49279</v>
      </c>
      <c r="C168" s="79">
        <v>4179083.1380543113</v>
      </c>
      <c r="D168" s="80">
        <f>IF(F168&lt;&gt;0,VLOOKUP($J168,'Table 1'!$B$13:$C$33,2,FALSE)/12*1000*Study_MW,0)</f>
        <v>1020342.6124197001</v>
      </c>
      <c r="E168" s="80">
        <f t="shared" si="50"/>
        <v>5199425.7504740115</v>
      </c>
      <c r="F168" s="79">
        <v>74400</v>
      </c>
      <c r="G168" s="81">
        <f t="shared" si="51"/>
        <v>69.884754710672198</v>
      </c>
      <c r="I168" s="64">
        <f t="shared" si="48"/>
        <v>38</v>
      </c>
      <c r="J168" s="73">
        <f t="shared" si="52"/>
        <v>2034</v>
      </c>
      <c r="K168" s="82">
        <f t="shared" si="53"/>
        <v>49279</v>
      </c>
    </row>
    <row r="169" spans="2:11" hidden="1" outlineLevel="1">
      <c r="B169" s="74">
        <f t="shared" si="49"/>
        <v>49310</v>
      </c>
      <c r="C169" s="69">
        <v>4264622.0654474348</v>
      </c>
      <c r="D169" s="70">
        <f>IF(F169&lt;&gt;0,VLOOKUP($J169,'Table 1'!$B$13:$C$33,2,FALSE)/12*1000*Study_MW,0)</f>
        <v>1042380.4425410422</v>
      </c>
      <c r="E169" s="70">
        <f t="shared" si="50"/>
        <v>5307002.5079884771</v>
      </c>
      <c r="F169" s="69">
        <v>74400</v>
      </c>
      <c r="G169" s="72">
        <f t="shared" si="51"/>
        <v>71.330678870812861</v>
      </c>
      <c r="I169" s="60">
        <f>I49</f>
        <v>40</v>
      </c>
      <c r="J169" s="73">
        <f t="shared" si="52"/>
        <v>2035</v>
      </c>
      <c r="K169" s="74">
        <f t="shared" si="53"/>
        <v>49310</v>
      </c>
    </row>
    <row r="170" spans="2:11" hidden="1" outlineLevel="1">
      <c r="B170" s="78">
        <f t="shared" si="49"/>
        <v>49341</v>
      </c>
      <c r="C170" s="75">
        <v>2759854.5039643645</v>
      </c>
      <c r="D170" s="71">
        <f>IF(F170&lt;&gt;0,VLOOKUP($J170,'Table 1'!$B$13:$C$33,2,FALSE)/12*1000*Study_MW,0)</f>
        <v>1042380.4425410422</v>
      </c>
      <c r="E170" s="71">
        <f t="shared" si="50"/>
        <v>3802234.9465054069</v>
      </c>
      <c r="F170" s="75">
        <v>67200</v>
      </c>
      <c r="G170" s="76">
        <f t="shared" si="51"/>
        <v>56.580877180139986</v>
      </c>
      <c r="I170" s="77">
        <f t="shared" si="48"/>
        <v>41</v>
      </c>
      <c r="J170" s="73">
        <f t="shared" si="52"/>
        <v>2035</v>
      </c>
      <c r="K170" s="78">
        <f t="shared" si="53"/>
        <v>49341</v>
      </c>
    </row>
    <row r="171" spans="2:11" hidden="1" outlineLevel="1">
      <c r="B171" s="78">
        <f t="shared" si="49"/>
        <v>49369</v>
      </c>
      <c r="C171" s="75">
        <v>2075087.4193538427</v>
      </c>
      <c r="D171" s="71">
        <f>IF(F171&lt;&gt;0,VLOOKUP($J171,'Table 1'!$B$13:$C$33,2,FALSE)/12*1000*Study_MW,0)</f>
        <v>1042380.4425410422</v>
      </c>
      <c r="E171" s="71">
        <f t="shared" si="50"/>
        <v>3117467.8618948851</v>
      </c>
      <c r="F171" s="75">
        <v>74400</v>
      </c>
      <c r="G171" s="76">
        <f t="shared" si="51"/>
        <v>41.901449756651679</v>
      </c>
      <c r="I171" s="77">
        <f t="shared" si="48"/>
        <v>42</v>
      </c>
      <c r="J171" s="73">
        <f t="shared" si="52"/>
        <v>2035</v>
      </c>
      <c r="K171" s="78">
        <f t="shared" si="53"/>
        <v>49369</v>
      </c>
    </row>
    <row r="172" spans="2:11" hidden="1" outlineLevel="1">
      <c r="B172" s="78">
        <f t="shared" si="49"/>
        <v>49400</v>
      </c>
      <c r="C172" s="75">
        <v>1075031.2669808269</v>
      </c>
      <c r="D172" s="71">
        <f>IF(F172&lt;&gt;0,VLOOKUP($J172,'Table 1'!$B$13:$C$33,2,FALSE)/12*1000*Study_MW,0)</f>
        <v>1042380.4425410422</v>
      </c>
      <c r="E172" s="71">
        <f t="shared" si="50"/>
        <v>2117411.7095218692</v>
      </c>
      <c r="F172" s="75">
        <v>72000</v>
      </c>
      <c r="G172" s="76">
        <f t="shared" si="51"/>
        <v>29.408495965581515</v>
      </c>
      <c r="I172" s="77">
        <f t="shared" si="48"/>
        <v>43</v>
      </c>
      <c r="J172" s="73">
        <f t="shared" si="52"/>
        <v>2035</v>
      </c>
      <c r="K172" s="78">
        <f t="shared" si="53"/>
        <v>49400</v>
      </c>
    </row>
    <row r="173" spans="2:11" hidden="1" outlineLevel="1">
      <c r="B173" s="78">
        <f t="shared" si="49"/>
        <v>49430</v>
      </c>
      <c r="C173" s="75">
        <v>978213.49366606772</v>
      </c>
      <c r="D173" s="71">
        <f>IF(F173&lt;&gt;0,VLOOKUP($J173,'Table 1'!$B$13:$C$33,2,FALSE)/12*1000*Study_MW,0)</f>
        <v>1042380.4425410422</v>
      </c>
      <c r="E173" s="71">
        <f t="shared" si="50"/>
        <v>2020593.9362071101</v>
      </c>
      <c r="F173" s="75">
        <v>74400</v>
      </c>
      <c r="G173" s="76">
        <f t="shared" si="51"/>
        <v>27.158520647945029</v>
      </c>
      <c r="I173" s="77">
        <f t="shared" si="48"/>
        <v>44</v>
      </c>
      <c r="J173" s="73">
        <f t="shared" si="52"/>
        <v>2035</v>
      </c>
      <c r="K173" s="78">
        <f t="shared" si="53"/>
        <v>49430</v>
      </c>
    </row>
    <row r="174" spans="2:11" hidden="1" outlineLevel="1">
      <c r="B174" s="78">
        <f t="shared" si="49"/>
        <v>49461</v>
      </c>
      <c r="C174" s="75">
        <v>1116750.5293559581</v>
      </c>
      <c r="D174" s="71">
        <f>IF(F174&lt;&gt;0,VLOOKUP($J174,'Table 1'!$B$13:$C$33,2,FALSE)/12*1000*Study_MW,0)</f>
        <v>1042380.4425410422</v>
      </c>
      <c r="E174" s="71">
        <f t="shared" si="50"/>
        <v>2159130.9718970004</v>
      </c>
      <c r="F174" s="75">
        <v>72000</v>
      </c>
      <c r="G174" s="76">
        <f t="shared" si="51"/>
        <v>29.987930165236119</v>
      </c>
      <c r="I174" s="77">
        <f t="shared" si="48"/>
        <v>45</v>
      </c>
      <c r="J174" s="73">
        <f t="shared" si="52"/>
        <v>2035</v>
      </c>
      <c r="K174" s="78">
        <f t="shared" si="53"/>
        <v>49461</v>
      </c>
    </row>
    <row r="175" spans="2:11" hidden="1" outlineLevel="1">
      <c r="B175" s="78">
        <f t="shared" si="49"/>
        <v>49491</v>
      </c>
      <c r="C175" s="75">
        <v>4231462.992240876</v>
      </c>
      <c r="D175" s="71">
        <f>IF(F175&lt;&gt;0,VLOOKUP($J175,'Table 1'!$B$13:$C$33,2,FALSE)/12*1000*Study_MW,0)</f>
        <v>1042380.4425410422</v>
      </c>
      <c r="E175" s="71">
        <f t="shared" si="50"/>
        <v>5273843.4347819183</v>
      </c>
      <c r="F175" s="75">
        <v>74400</v>
      </c>
      <c r="G175" s="76">
        <f t="shared" si="51"/>
        <v>70.884992402982775</v>
      </c>
      <c r="I175" s="77">
        <f t="shared" si="48"/>
        <v>46</v>
      </c>
      <c r="J175" s="73">
        <f t="shared" si="52"/>
        <v>2035</v>
      </c>
      <c r="K175" s="78">
        <f t="shared" si="53"/>
        <v>49491</v>
      </c>
    </row>
    <row r="176" spans="2:11" hidden="1" outlineLevel="1">
      <c r="B176" s="78">
        <f t="shared" si="49"/>
        <v>49522</v>
      </c>
      <c r="C176" s="75">
        <v>5079272.6501235813</v>
      </c>
      <c r="D176" s="71">
        <f>IF(F176&lt;&gt;0,VLOOKUP($J176,'Table 1'!$B$13:$C$33,2,FALSE)/12*1000*Study_MW,0)</f>
        <v>1042380.4425410422</v>
      </c>
      <c r="E176" s="71">
        <f t="shared" si="50"/>
        <v>6121653.0926646236</v>
      </c>
      <c r="F176" s="75">
        <v>74400</v>
      </c>
      <c r="G176" s="76">
        <f t="shared" si="51"/>
        <v>82.280283503556774</v>
      </c>
      <c r="I176" s="77">
        <f t="shared" si="48"/>
        <v>47</v>
      </c>
      <c r="J176" s="73">
        <f t="shared" si="52"/>
        <v>2035</v>
      </c>
      <c r="K176" s="78">
        <f t="shared" si="53"/>
        <v>49522</v>
      </c>
    </row>
    <row r="177" spans="2:11" hidden="1" outlineLevel="1">
      <c r="B177" s="78">
        <f t="shared" si="49"/>
        <v>49553</v>
      </c>
      <c r="C177" s="75">
        <v>3409931.2183974385</v>
      </c>
      <c r="D177" s="71">
        <f>IF(F177&lt;&gt;0,VLOOKUP($J177,'Table 1'!$B$13:$C$33,2,FALSE)/12*1000*Study_MW,0)</f>
        <v>1042380.4425410422</v>
      </c>
      <c r="E177" s="71">
        <f t="shared" si="50"/>
        <v>4452311.6609384809</v>
      </c>
      <c r="F177" s="75">
        <v>72000</v>
      </c>
      <c r="G177" s="76">
        <f t="shared" si="51"/>
        <v>61.8376619574789</v>
      </c>
      <c r="I177" s="77">
        <f t="shared" si="48"/>
        <v>48</v>
      </c>
      <c r="J177" s="73">
        <f t="shared" si="52"/>
        <v>2035</v>
      </c>
      <c r="K177" s="78">
        <f t="shared" si="53"/>
        <v>49553</v>
      </c>
    </row>
    <row r="178" spans="2:11" hidden="1" outlineLevel="1">
      <c r="B178" s="78">
        <f t="shared" si="49"/>
        <v>49583</v>
      </c>
      <c r="C178" s="75">
        <v>2037292.107615605</v>
      </c>
      <c r="D178" s="71">
        <f>IF(F178&lt;&gt;0,VLOOKUP($J178,'Table 1'!$B$13:$C$33,2,FALSE)/12*1000*Study_MW,0)</f>
        <v>1042380.4425410422</v>
      </c>
      <c r="E178" s="71">
        <f t="shared" si="50"/>
        <v>3079672.5501566473</v>
      </c>
      <c r="F178" s="75">
        <v>74400</v>
      </c>
      <c r="G178" s="76">
        <f t="shared" si="51"/>
        <v>41.393448254793647</v>
      </c>
      <c r="I178" s="77">
        <f t="shared" si="48"/>
        <v>49</v>
      </c>
      <c r="J178" s="73">
        <f t="shared" si="52"/>
        <v>2035</v>
      </c>
      <c r="K178" s="78">
        <f t="shared" si="53"/>
        <v>49583</v>
      </c>
    </row>
    <row r="179" spans="2:11" hidden="1" outlineLevel="1">
      <c r="B179" s="78">
        <f t="shared" si="49"/>
        <v>49614</v>
      </c>
      <c r="C179" s="75">
        <v>3270225.2139777839</v>
      </c>
      <c r="D179" s="71">
        <f>IF(F179&lt;&gt;0,VLOOKUP($J179,'Table 1'!$B$13:$C$33,2,FALSE)/12*1000*Study_MW,0)</f>
        <v>1042380.4425410422</v>
      </c>
      <c r="E179" s="71">
        <f t="shared" si="50"/>
        <v>4312605.6565188263</v>
      </c>
      <c r="F179" s="75">
        <v>72000</v>
      </c>
      <c r="G179" s="76">
        <f t="shared" si="51"/>
        <v>59.897300784983699</v>
      </c>
      <c r="I179" s="77">
        <f t="shared" si="48"/>
        <v>50</v>
      </c>
      <c r="J179" s="73">
        <f t="shared" si="52"/>
        <v>2035</v>
      </c>
      <c r="K179" s="78">
        <f t="shared" si="53"/>
        <v>49614</v>
      </c>
    </row>
    <row r="180" spans="2:11" hidden="1" outlineLevel="1">
      <c r="B180" s="82">
        <f t="shared" si="49"/>
        <v>49644</v>
      </c>
      <c r="C180" s="79">
        <v>4317608.1698647141</v>
      </c>
      <c r="D180" s="80">
        <f>IF(F180&lt;&gt;0,VLOOKUP($J180,'Table 1'!$B$13:$C$33,2,FALSE)/12*1000*Study_MW,0)</f>
        <v>1042380.4425410422</v>
      </c>
      <c r="E180" s="80">
        <f t="shared" si="50"/>
        <v>5359988.6124057565</v>
      </c>
      <c r="F180" s="79">
        <v>74400</v>
      </c>
      <c r="G180" s="81">
        <f t="shared" si="51"/>
        <v>72.042857693625763</v>
      </c>
      <c r="I180" s="64">
        <f t="shared" si="48"/>
        <v>51</v>
      </c>
      <c r="J180" s="73">
        <f t="shared" si="52"/>
        <v>2035</v>
      </c>
      <c r="K180" s="82">
        <f t="shared" si="53"/>
        <v>49644</v>
      </c>
    </row>
    <row r="181" spans="2:11" collapsed="1">
      <c r="B181" s="74">
        <f t="shared" si="49"/>
        <v>49675</v>
      </c>
      <c r="C181" s="69">
        <v>4541270.5611076504</v>
      </c>
      <c r="D181" s="70">
        <f>IF(F181&lt;&gt;0,VLOOKUP($J181,'Table 1'!$B$13:$C$33,2,FALSE)/12*1000*Study_MW,0)</f>
        <v>1064864.3825838687</v>
      </c>
      <c r="E181" s="70">
        <f t="shared" si="50"/>
        <v>5606134.9436915191</v>
      </c>
      <c r="F181" s="69">
        <v>74400</v>
      </c>
      <c r="G181" s="72">
        <f t="shared" si="51"/>
        <v>75.351276124886013</v>
      </c>
      <c r="I181" s="60">
        <f>I61</f>
        <v>53</v>
      </c>
      <c r="J181" s="73">
        <f t="shared" si="52"/>
        <v>2036</v>
      </c>
      <c r="K181" s="74">
        <f t="shared" si="53"/>
        <v>49675</v>
      </c>
    </row>
    <row r="182" spans="2:11">
      <c r="B182" s="78">
        <f t="shared" si="49"/>
        <v>49706</v>
      </c>
      <c r="C182" s="75">
        <v>2521731.9497765452</v>
      </c>
      <c r="D182" s="71">
        <f>IF(F182&lt;&gt;0,VLOOKUP($J182,'Table 1'!$B$13:$C$33,2,FALSE)/12*1000*Study_MW,0)</f>
        <v>1064864.3825838687</v>
      </c>
      <c r="E182" s="71">
        <f t="shared" si="50"/>
        <v>3586596.3323604139</v>
      </c>
      <c r="F182" s="75">
        <v>69600</v>
      </c>
      <c r="G182" s="76">
        <f t="shared" si="51"/>
        <v>51.531556499431233</v>
      </c>
      <c r="I182" s="77">
        <f t="shared" si="48"/>
        <v>54</v>
      </c>
      <c r="J182" s="73">
        <f t="shared" si="52"/>
        <v>2036</v>
      </c>
      <c r="K182" s="78">
        <f t="shared" si="53"/>
        <v>49706</v>
      </c>
    </row>
    <row r="183" spans="2:11">
      <c r="B183" s="78">
        <f t="shared" si="49"/>
        <v>49735</v>
      </c>
      <c r="C183" s="75">
        <v>2157407.9278957099</v>
      </c>
      <c r="D183" s="71">
        <f>IF(F183&lt;&gt;0,VLOOKUP($J183,'Table 1'!$B$13:$C$33,2,FALSE)/12*1000*Study_MW,0)</f>
        <v>1064864.3825838687</v>
      </c>
      <c r="E183" s="71">
        <f t="shared" si="50"/>
        <v>3222272.3104795786</v>
      </c>
      <c r="F183" s="75">
        <v>74400</v>
      </c>
      <c r="G183" s="76">
        <f t="shared" si="51"/>
        <v>43.310111699994337</v>
      </c>
      <c r="I183" s="77">
        <f t="shared" si="48"/>
        <v>55</v>
      </c>
      <c r="J183" s="73">
        <f t="shared" si="52"/>
        <v>2036</v>
      </c>
      <c r="K183" s="78">
        <f t="shared" si="53"/>
        <v>49735</v>
      </c>
    </row>
    <row r="184" spans="2:11">
      <c r="B184" s="78">
        <f t="shared" si="49"/>
        <v>49766</v>
      </c>
      <c r="C184" s="75">
        <v>1048964.1267809421</v>
      </c>
      <c r="D184" s="71">
        <f>IF(F184&lt;&gt;0,VLOOKUP($J184,'Table 1'!$B$13:$C$33,2,FALSE)/12*1000*Study_MW,0)</f>
        <v>1064864.3825838687</v>
      </c>
      <c r="E184" s="71">
        <f t="shared" si="50"/>
        <v>2113828.5093648108</v>
      </c>
      <c r="F184" s="75">
        <v>72000</v>
      </c>
      <c r="G184" s="76">
        <f t="shared" si="51"/>
        <v>29.358729296733483</v>
      </c>
      <c r="I184" s="77">
        <f t="shared" si="48"/>
        <v>56</v>
      </c>
      <c r="J184" s="73">
        <f t="shared" si="52"/>
        <v>2036</v>
      </c>
      <c r="K184" s="78">
        <f t="shared" si="53"/>
        <v>49766</v>
      </c>
    </row>
    <row r="185" spans="2:11">
      <c r="B185" s="78">
        <f t="shared" si="49"/>
        <v>49796</v>
      </c>
      <c r="C185" s="75">
        <v>940467.18310052902</v>
      </c>
      <c r="D185" s="71">
        <f>IF(F185&lt;&gt;0,VLOOKUP($J185,'Table 1'!$B$13:$C$33,2,FALSE)/12*1000*Study_MW,0)</f>
        <v>1064864.3825838687</v>
      </c>
      <c r="E185" s="71">
        <f t="shared" si="50"/>
        <v>2005331.5656843977</v>
      </c>
      <c r="F185" s="75">
        <v>74400</v>
      </c>
      <c r="G185" s="76">
        <f t="shared" si="51"/>
        <v>26.953381259198895</v>
      </c>
      <c r="I185" s="77">
        <f t="shared" si="48"/>
        <v>57</v>
      </c>
      <c r="J185" s="73">
        <f t="shared" si="52"/>
        <v>2036</v>
      </c>
      <c r="K185" s="78">
        <f t="shared" si="53"/>
        <v>49796</v>
      </c>
    </row>
    <row r="186" spans="2:11">
      <c r="B186" s="78">
        <f t="shared" si="49"/>
        <v>49827</v>
      </c>
      <c r="C186" s="75">
        <v>1119087.7529951781</v>
      </c>
      <c r="D186" s="71">
        <f>IF(F186&lt;&gt;0,VLOOKUP($J186,'Table 1'!$B$13:$C$33,2,FALSE)/12*1000*Study_MW,0)</f>
        <v>1064864.3825838687</v>
      </c>
      <c r="E186" s="71">
        <f t="shared" si="50"/>
        <v>2183952.1355790468</v>
      </c>
      <c r="F186" s="75">
        <v>72000</v>
      </c>
      <c r="G186" s="76">
        <f t="shared" si="51"/>
        <v>30.332668549708984</v>
      </c>
      <c r="I186" s="77">
        <f t="shared" si="48"/>
        <v>58</v>
      </c>
      <c r="J186" s="73">
        <f t="shared" si="52"/>
        <v>2036</v>
      </c>
      <c r="K186" s="78">
        <f t="shared" si="53"/>
        <v>49827</v>
      </c>
    </row>
    <row r="187" spans="2:11">
      <c r="B187" s="78">
        <f t="shared" si="49"/>
        <v>49857</v>
      </c>
      <c r="C187" s="75">
        <v>4175872.3505204022</v>
      </c>
      <c r="D187" s="71">
        <f>IF(F187&lt;&gt;0,VLOOKUP($J187,'Table 1'!$B$13:$C$33,2,FALSE)/12*1000*Study_MW,0)</f>
        <v>1064864.3825838687</v>
      </c>
      <c r="E187" s="71">
        <f t="shared" si="50"/>
        <v>5240736.7331042709</v>
      </c>
      <c r="F187" s="75">
        <v>74400</v>
      </c>
      <c r="G187" s="76">
        <f t="shared" si="51"/>
        <v>70.440009853552027</v>
      </c>
      <c r="I187" s="77">
        <f t="shared" si="48"/>
        <v>59</v>
      </c>
      <c r="J187" s="73">
        <f t="shared" si="52"/>
        <v>2036</v>
      </c>
      <c r="K187" s="78">
        <f t="shared" si="53"/>
        <v>49857</v>
      </c>
    </row>
    <row r="188" spans="2:11">
      <c r="B188" s="78">
        <f t="shared" si="49"/>
        <v>49888</v>
      </c>
      <c r="C188" s="75">
        <v>5988087.8421235681</v>
      </c>
      <c r="D188" s="71">
        <f>IF(F188&lt;&gt;0,VLOOKUP($J188,'Table 1'!$B$13:$C$33,2,FALSE)/12*1000*Study_MW,0)</f>
        <v>1064864.3825838687</v>
      </c>
      <c r="E188" s="71">
        <f t="shared" si="50"/>
        <v>7052952.2247074367</v>
      </c>
      <c r="F188" s="75">
        <v>74400</v>
      </c>
      <c r="G188" s="76">
        <f t="shared" si="51"/>
        <v>94.797744955745117</v>
      </c>
      <c r="I188" s="77">
        <f t="shared" si="48"/>
        <v>60</v>
      </c>
      <c r="J188" s="73">
        <f t="shared" si="52"/>
        <v>2036</v>
      </c>
      <c r="K188" s="78">
        <f t="shared" si="53"/>
        <v>49888</v>
      </c>
    </row>
    <row r="189" spans="2:11">
      <c r="B189" s="78">
        <f t="shared" si="49"/>
        <v>49919</v>
      </c>
      <c r="C189" s="75">
        <v>3889031.9468311369</v>
      </c>
      <c r="D189" s="71">
        <f>IF(F189&lt;&gt;0,VLOOKUP($J189,'Table 1'!$B$13:$C$33,2,FALSE)/12*1000*Study_MW,0)</f>
        <v>1064864.3825838687</v>
      </c>
      <c r="E189" s="71">
        <f t="shared" si="50"/>
        <v>4953896.3294150056</v>
      </c>
      <c r="F189" s="75">
        <v>72000</v>
      </c>
      <c r="G189" s="76">
        <f t="shared" si="51"/>
        <v>68.80411568631952</v>
      </c>
      <c r="I189" s="77">
        <f t="shared" si="48"/>
        <v>61</v>
      </c>
      <c r="J189" s="73">
        <f t="shared" si="52"/>
        <v>2036</v>
      </c>
      <c r="K189" s="78">
        <f t="shared" si="53"/>
        <v>49919</v>
      </c>
    </row>
    <row r="190" spans="2:11">
      <c r="B190" s="78">
        <f t="shared" si="49"/>
        <v>49949</v>
      </c>
      <c r="C190" s="75">
        <v>2431515.8500412628</v>
      </c>
      <c r="D190" s="71">
        <f>IF(F190&lt;&gt;0,VLOOKUP($J190,'Table 1'!$B$13:$C$33,2,FALSE)/12*1000*Study_MW,0)</f>
        <v>1064864.3825838687</v>
      </c>
      <c r="E190" s="71">
        <f t="shared" si="50"/>
        <v>3496380.2326251315</v>
      </c>
      <c r="F190" s="75">
        <v>74400</v>
      </c>
      <c r="G190" s="76">
        <f t="shared" si="51"/>
        <v>46.994357965391551</v>
      </c>
      <c r="I190" s="77">
        <f t="shared" si="48"/>
        <v>62</v>
      </c>
      <c r="J190" s="73">
        <f t="shared" si="52"/>
        <v>2036</v>
      </c>
      <c r="K190" s="78">
        <f t="shared" si="53"/>
        <v>49949</v>
      </c>
    </row>
    <row r="191" spans="2:11">
      <c r="B191" s="78">
        <f t="shared" si="49"/>
        <v>49980</v>
      </c>
      <c r="C191" s="75">
        <v>3909554.6559944004</v>
      </c>
      <c r="D191" s="71">
        <f>IF(F191&lt;&gt;0,VLOOKUP($J191,'Table 1'!$B$13:$C$33,2,FALSE)/12*1000*Study_MW,0)</f>
        <v>1064864.3825838687</v>
      </c>
      <c r="E191" s="71">
        <f t="shared" si="50"/>
        <v>4974419.0385782691</v>
      </c>
      <c r="F191" s="75">
        <v>72000</v>
      </c>
      <c r="G191" s="76">
        <f t="shared" si="51"/>
        <v>69.089153313587076</v>
      </c>
      <c r="I191" s="77">
        <f t="shared" si="48"/>
        <v>63</v>
      </c>
      <c r="J191" s="73">
        <f t="shared" si="52"/>
        <v>2036</v>
      </c>
      <c r="K191" s="78">
        <f t="shared" si="53"/>
        <v>49980</v>
      </c>
    </row>
    <row r="192" spans="2:11">
      <c r="B192" s="82">
        <f t="shared" si="49"/>
        <v>50010</v>
      </c>
      <c r="C192" s="79">
        <v>4311139.0372384787</v>
      </c>
      <c r="D192" s="80">
        <f>IF(F192&lt;&gt;0,VLOOKUP($J192,'Table 1'!$B$13:$C$33,2,FALSE)/12*1000*Study_MW,0)</f>
        <v>1064864.3825838687</v>
      </c>
      <c r="E192" s="80">
        <f t="shared" si="50"/>
        <v>5376003.4198223474</v>
      </c>
      <c r="F192" s="79">
        <v>74400</v>
      </c>
      <c r="G192" s="81">
        <f t="shared" si="51"/>
        <v>72.258110481483158</v>
      </c>
      <c r="I192" s="64">
        <f t="shared" si="48"/>
        <v>64</v>
      </c>
      <c r="J192" s="73">
        <f t="shared" si="52"/>
        <v>2036</v>
      </c>
      <c r="K192" s="82">
        <f t="shared" si="53"/>
        <v>50010</v>
      </c>
    </row>
    <row r="193" spans="2:20" hidden="1" outlineLevel="1">
      <c r="B193" s="74">
        <f t="shared" si="49"/>
        <v>50041</v>
      </c>
      <c r="C193" s="69">
        <v>5568841.5483833253</v>
      </c>
      <c r="D193" s="70">
        <f>IF(F193&lt;&gt;0,VLOOKUP($J193,'Table 1'!$B$13:$C$33,2,FALSE)/12*1000*Study_MW,0)</f>
        <v>1087794.43254818</v>
      </c>
      <c r="E193" s="70">
        <f t="shared" ref="E193:E216" si="54">C193+D193</f>
        <v>6656635.9809315056</v>
      </c>
      <c r="F193" s="69">
        <v>74400</v>
      </c>
      <c r="G193" s="72">
        <f t="shared" ref="G193:G216" si="55">IF(ISNUMBER($F193),E193/$F193,"")</f>
        <v>89.47091372219765</v>
      </c>
      <c r="I193" s="60">
        <f>I73</f>
        <v>66</v>
      </c>
      <c r="J193" s="73">
        <f t="shared" ref="J193:J240" si="56">YEAR(B193)</f>
        <v>2037</v>
      </c>
      <c r="K193" s="74">
        <f t="shared" ref="K193:K240" si="57">IF(ISNUMBER(F193),IF(F193&lt;&gt;0,B193,""),"")</f>
        <v>50041</v>
      </c>
      <c r="M193" s="41">
        <f t="shared" ref="M193:M224" si="58">IRP21_Infl_Rate</f>
        <v>2.155E-2</v>
      </c>
    </row>
    <row r="194" spans="2:20" hidden="1" outlineLevel="1">
      <c r="B194" s="78">
        <f t="shared" si="49"/>
        <v>50072</v>
      </c>
      <c r="C194" s="75">
        <v>3434834.5557231307</v>
      </c>
      <c r="D194" s="71">
        <f>IF(F194&lt;&gt;0,VLOOKUP($J194,'Table 1'!$B$13:$C$33,2,FALSE)/12*1000*Study_MW,0)</f>
        <v>1087794.43254818</v>
      </c>
      <c r="E194" s="71">
        <f t="shared" si="54"/>
        <v>4522628.9882713109</v>
      </c>
      <c r="F194" s="75">
        <v>67200</v>
      </c>
      <c r="G194" s="76">
        <f t="shared" si="55"/>
        <v>67.30102661118022</v>
      </c>
      <c r="I194" s="77">
        <f t="shared" si="48"/>
        <v>67</v>
      </c>
      <c r="J194" s="73">
        <f t="shared" si="56"/>
        <v>2037</v>
      </c>
      <c r="K194" s="78">
        <f t="shared" si="57"/>
        <v>50072</v>
      </c>
      <c r="M194" s="41">
        <f t="shared" si="58"/>
        <v>2.155E-2</v>
      </c>
    </row>
    <row r="195" spans="2:20" hidden="1" outlineLevel="1">
      <c r="B195" s="78">
        <f t="shared" si="49"/>
        <v>50100</v>
      </c>
      <c r="C195" s="75">
        <v>2437882.2419729233</v>
      </c>
      <c r="D195" s="71">
        <f>IF(F195&lt;&gt;0,VLOOKUP($J195,'Table 1'!$B$13:$C$33,2,FALSE)/12*1000*Study_MW,0)</f>
        <v>1087794.43254818</v>
      </c>
      <c r="E195" s="71">
        <f t="shared" si="54"/>
        <v>3525676.6745211035</v>
      </c>
      <c r="F195" s="75">
        <v>74400</v>
      </c>
      <c r="G195" s="76">
        <f t="shared" si="55"/>
        <v>47.388127345713755</v>
      </c>
      <c r="I195" s="77">
        <f t="shared" si="48"/>
        <v>68</v>
      </c>
      <c r="J195" s="73">
        <f t="shared" si="56"/>
        <v>2037</v>
      </c>
      <c r="K195" s="78">
        <f t="shared" si="57"/>
        <v>50100</v>
      </c>
      <c r="M195" s="41">
        <f t="shared" si="58"/>
        <v>2.155E-2</v>
      </c>
    </row>
    <row r="196" spans="2:20" hidden="1" outlineLevel="1">
      <c r="B196" s="78">
        <f t="shared" si="49"/>
        <v>50131</v>
      </c>
      <c r="C196" s="75">
        <v>1050284.5263165683</v>
      </c>
      <c r="D196" s="71">
        <f>IF(F196&lt;&gt;0,VLOOKUP($J196,'Table 1'!$B$13:$C$33,2,FALSE)/12*1000*Study_MW,0)</f>
        <v>1087794.43254818</v>
      </c>
      <c r="E196" s="71">
        <f t="shared" si="54"/>
        <v>2138078.9588647485</v>
      </c>
      <c r="F196" s="75">
        <v>72000</v>
      </c>
      <c r="G196" s="76">
        <f t="shared" si="55"/>
        <v>29.695541095343728</v>
      </c>
      <c r="I196" s="77">
        <f t="shared" si="48"/>
        <v>69</v>
      </c>
      <c r="J196" s="73">
        <f t="shared" si="56"/>
        <v>2037</v>
      </c>
      <c r="K196" s="78">
        <f t="shared" si="57"/>
        <v>50131</v>
      </c>
      <c r="M196" s="41">
        <f t="shared" si="58"/>
        <v>2.155E-2</v>
      </c>
    </row>
    <row r="197" spans="2:20" hidden="1" outlineLevel="1">
      <c r="B197" s="78">
        <f t="shared" si="49"/>
        <v>50161</v>
      </c>
      <c r="C197" s="75">
        <v>982663.37967577577</v>
      </c>
      <c r="D197" s="71">
        <f>IF(F197&lt;&gt;0,VLOOKUP($J197,'Table 1'!$B$13:$C$33,2,FALSE)/12*1000*Study_MW,0)</f>
        <v>1087794.43254818</v>
      </c>
      <c r="E197" s="71">
        <f t="shared" si="54"/>
        <v>2070457.8122239558</v>
      </c>
      <c r="F197" s="75">
        <v>74400</v>
      </c>
      <c r="G197" s="76">
        <f t="shared" si="55"/>
        <v>27.828734035268223</v>
      </c>
      <c r="I197" s="77">
        <f t="shared" si="48"/>
        <v>70</v>
      </c>
      <c r="J197" s="73">
        <f t="shared" si="56"/>
        <v>2037</v>
      </c>
      <c r="K197" s="78">
        <f t="shared" si="57"/>
        <v>50161</v>
      </c>
      <c r="M197" s="41">
        <f t="shared" si="58"/>
        <v>2.155E-2</v>
      </c>
    </row>
    <row r="198" spans="2:20" hidden="1" outlineLevel="1">
      <c r="B198" s="78">
        <f t="shared" si="49"/>
        <v>50192</v>
      </c>
      <c r="C198" s="75">
        <v>1213789.179336369</v>
      </c>
      <c r="D198" s="71">
        <f>IF(F198&lt;&gt;0,VLOOKUP($J198,'Table 1'!$B$13:$C$33,2,FALSE)/12*1000*Study_MW,0)</f>
        <v>1087794.43254818</v>
      </c>
      <c r="E198" s="71">
        <f t="shared" si="54"/>
        <v>2301583.6118845493</v>
      </c>
      <c r="F198" s="75">
        <v>72000</v>
      </c>
      <c r="G198" s="76">
        <f t="shared" si="55"/>
        <v>31.966439053952072</v>
      </c>
      <c r="I198" s="77">
        <f t="shared" ref="I198:I204" si="59">I78</f>
        <v>71</v>
      </c>
      <c r="J198" s="73">
        <f t="shared" si="56"/>
        <v>2037</v>
      </c>
      <c r="K198" s="78">
        <f t="shared" si="57"/>
        <v>50192</v>
      </c>
      <c r="M198" s="41">
        <f t="shared" si="58"/>
        <v>2.155E-2</v>
      </c>
    </row>
    <row r="199" spans="2:20" hidden="1" outlineLevel="1">
      <c r="B199" s="78">
        <f t="shared" si="49"/>
        <v>50222</v>
      </c>
      <c r="C199" s="75">
        <v>4564388.9519554079</v>
      </c>
      <c r="D199" s="71">
        <f>IF(F199&lt;&gt;0,VLOOKUP($J199,'Table 1'!$B$13:$C$33,2,FALSE)/12*1000*Study_MW,0)</f>
        <v>1087794.43254818</v>
      </c>
      <c r="E199" s="71">
        <f t="shared" si="54"/>
        <v>5652183.3845035881</v>
      </c>
      <c r="F199" s="75">
        <v>74400</v>
      </c>
      <c r="G199" s="76">
        <f t="shared" si="55"/>
        <v>75.970206780962201</v>
      </c>
      <c r="I199" s="77">
        <f t="shared" si="59"/>
        <v>72</v>
      </c>
      <c r="J199" s="73">
        <f t="shared" si="56"/>
        <v>2037</v>
      </c>
      <c r="K199" s="78">
        <f t="shared" si="57"/>
        <v>50222</v>
      </c>
      <c r="M199" s="41">
        <f t="shared" si="58"/>
        <v>2.155E-2</v>
      </c>
    </row>
    <row r="200" spans="2:20" hidden="1" outlineLevel="1">
      <c r="B200" s="78">
        <f t="shared" si="49"/>
        <v>50253</v>
      </c>
      <c r="C200" s="75">
        <v>6928357.4425933659</v>
      </c>
      <c r="D200" s="71">
        <f>IF(F200&lt;&gt;0,VLOOKUP($J200,'Table 1'!$B$13:$C$33,2,FALSE)/12*1000*Study_MW,0)</f>
        <v>1087794.43254818</v>
      </c>
      <c r="E200" s="71">
        <f t="shared" si="54"/>
        <v>8016151.8751415461</v>
      </c>
      <c r="F200" s="75">
        <v>74400</v>
      </c>
      <c r="G200" s="76">
        <f t="shared" si="55"/>
        <v>107.74397681641864</v>
      </c>
      <c r="I200" s="77">
        <f t="shared" si="59"/>
        <v>73</v>
      </c>
      <c r="J200" s="73">
        <f t="shared" si="56"/>
        <v>2037</v>
      </c>
      <c r="K200" s="78">
        <f t="shared" si="57"/>
        <v>50253</v>
      </c>
      <c r="M200" s="41">
        <f t="shared" si="58"/>
        <v>2.155E-2</v>
      </c>
    </row>
    <row r="201" spans="2:20" hidden="1" outlineLevel="1">
      <c r="B201" s="78">
        <f t="shared" si="49"/>
        <v>50284</v>
      </c>
      <c r="C201" s="75">
        <v>4763997.1152349412</v>
      </c>
      <c r="D201" s="71">
        <f>IF(F201&lt;&gt;0,VLOOKUP($J201,'Table 1'!$B$13:$C$33,2,FALSE)/12*1000*Study_MW,0)</f>
        <v>1087794.43254818</v>
      </c>
      <c r="E201" s="71">
        <f t="shared" si="54"/>
        <v>5851791.5477831215</v>
      </c>
      <c r="F201" s="75">
        <v>72000</v>
      </c>
      <c r="G201" s="76">
        <f t="shared" si="55"/>
        <v>81.274882608098906</v>
      </c>
      <c r="I201" s="77">
        <f t="shared" si="59"/>
        <v>74</v>
      </c>
      <c r="J201" s="73">
        <f t="shared" si="56"/>
        <v>2037</v>
      </c>
      <c r="K201" s="78">
        <f t="shared" si="57"/>
        <v>50284</v>
      </c>
      <c r="M201" s="41">
        <f t="shared" si="58"/>
        <v>2.155E-2</v>
      </c>
    </row>
    <row r="202" spans="2:20" hidden="1" outlineLevel="1">
      <c r="B202" s="78">
        <f t="shared" si="49"/>
        <v>50314</v>
      </c>
      <c r="C202" s="75">
        <v>2762928.0387954861</v>
      </c>
      <c r="D202" s="71">
        <f>IF(F202&lt;&gt;0,VLOOKUP($J202,'Table 1'!$B$13:$C$33,2,FALSE)/12*1000*Study_MW,0)</f>
        <v>1087794.43254818</v>
      </c>
      <c r="E202" s="71">
        <f t="shared" si="54"/>
        <v>3850722.4713436663</v>
      </c>
      <c r="F202" s="75">
        <v>74400</v>
      </c>
      <c r="G202" s="76">
        <f t="shared" si="55"/>
        <v>51.75702246429659</v>
      </c>
      <c r="I202" s="77">
        <f t="shared" si="59"/>
        <v>75</v>
      </c>
      <c r="J202" s="73">
        <f t="shared" si="56"/>
        <v>2037</v>
      </c>
      <c r="K202" s="78">
        <f t="shared" si="57"/>
        <v>50314</v>
      </c>
      <c r="M202" s="41">
        <f t="shared" si="58"/>
        <v>2.155E-2</v>
      </c>
    </row>
    <row r="203" spans="2:20" hidden="1" outlineLevel="1">
      <c r="B203" s="78">
        <f t="shared" si="49"/>
        <v>50345</v>
      </c>
      <c r="C203" s="75">
        <v>4081380.4869735837</v>
      </c>
      <c r="D203" s="71">
        <f>IF(F203&lt;&gt;0,VLOOKUP($J203,'Table 1'!$B$13:$C$33,2,FALSE)/12*1000*Study_MW,0)</f>
        <v>1087794.43254818</v>
      </c>
      <c r="E203" s="71">
        <f t="shared" si="54"/>
        <v>5169174.9195217639</v>
      </c>
      <c r="F203" s="75">
        <v>72000</v>
      </c>
      <c r="G203" s="76">
        <f t="shared" si="55"/>
        <v>71.794096104468949</v>
      </c>
      <c r="I203" s="77">
        <f t="shared" si="59"/>
        <v>76</v>
      </c>
      <c r="J203" s="73">
        <f t="shared" si="56"/>
        <v>2037</v>
      </c>
      <c r="K203" s="78">
        <f t="shared" si="57"/>
        <v>50345</v>
      </c>
      <c r="M203" s="41">
        <f t="shared" si="58"/>
        <v>2.155E-2</v>
      </c>
    </row>
    <row r="204" spans="2:20" hidden="1" outlineLevel="1">
      <c r="B204" s="82">
        <f t="shared" si="49"/>
        <v>50375</v>
      </c>
      <c r="C204" s="79">
        <v>4907935.6894185543</v>
      </c>
      <c r="D204" s="80">
        <f>IF(F204&lt;&gt;0,VLOOKUP($J204,'Table 1'!$B$13:$C$33,2,FALSE)/12*1000*Study_MW,0)</f>
        <v>1087794.43254818</v>
      </c>
      <c r="E204" s="80">
        <f t="shared" si="54"/>
        <v>5995730.1219667345</v>
      </c>
      <c r="F204" s="79">
        <v>74400</v>
      </c>
      <c r="G204" s="81">
        <f t="shared" si="55"/>
        <v>80.587770456542131</v>
      </c>
      <c r="I204" s="64">
        <f t="shared" si="59"/>
        <v>77</v>
      </c>
      <c r="J204" s="73">
        <f t="shared" si="56"/>
        <v>2037</v>
      </c>
      <c r="K204" s="82">
        <f t="shared" si="57"/>
        <v>50375</v>
      </c>
      <c r="M204" s="41">
        <f t="shared" si="58"/>
        <v>2.155E-2</v>
      </c>
    </row>
    <row r="205" spans="2:20" hidden="1" outlineLevel="1">
      <c r="B205" s="74">
        <f t="shared" si="49"/>
        <v>50406</v>
      </c>
      <c r="C205" s="69">
        <v>5088085.8233613074</v>
      </c>
      <c r="D205" s="70">
        <f>IF(F205&lt;&gt;0,VLOOKUP($J205,'Table 1'!$B$13:$C$33,2,FALSE)/12*1000*Study_MW,0)</f>
        <v>1111170.592433976</v>
      </c>
      <c r="E205" s="70">
        <f t="shared" si="54"/>
        <v>6199256.4157952834</v>
      </c>
      <c r="F205" s="69">
        <v>74400</v>
      </c>
      <c r="G205" s="72">
        <f t="shared" si="55"/>
        <v>83.323338921979612</v>
      </c>
      <c r="I205" s="60">
        <f>I85</f>
        <v>79</v>
      </c>
      <c r="J205" s="73">
        <f t="shared" si="56"/>
        <v>2038</v>
      </c>
      <c r="K205" s="74">
        <f t="shared" si="57"/>
        <v>50406</v>
      </c>
      <c r="M205" s="41">
        <f t="shared" si="58"/>
        <v>2.155E-2</v>
      </c>
      <c r="T205" s="170"/>
    </row>
    <row r="206" spans="2:20" hidden="1" outlineLevel="1">
      <c r="B206" s="78">
        <f t="shared" ref="B206:B240" si="60">EDATE(B205,1)</f>
        <v>50437</v>
      </c>
      <c r="C206" s="75">
        <v>3245022.014947027</v>
      </c>
      <c r="D206" s="71">
        <f>IF(F206&lt;&gt;0,VLOOKUP($J206,'Table 1'!$B$13:$C$33,2,FALSE)/12*1000*Study_MW,0)</f>
        <v>1111170.592433976</v>
      </c>
      <c r="E206" s="71">
        <f t="shared" si="54"/>
        <v>4356192.607381003</v>
      </c>
      <c r="F206" s="75">
        <v>67200</v>
      </c>
      <c r="G206" s="76">
        <f t="shared" si="55"/>
        <v>64.82429475269349</v>
      </c>
      <c r="I206" s="77">
        <f t="shared" ref="I206:I216" si="61">I86</f>
        <v>80</v>
      </c>
      <c r="J206" s="73">
        <f t="shared" si="56"/>
        <v>2038</v>
      </c>
      <c r="K206" s="78">
        <f t="shared" si="57"/>
        <v>50437</v>
      </c>
      <c r="M206" s="41">
        <f t="shared" si="58"/>
        <v>2.155E-2</v>
      </c>
      <c r="T206" s="170"/>
    </row>
    <row r="207" spans="2:20" hidden="1" outlineLevel="1">
      <c r="B207" s="78">
        <f t="shared" si="60"/>
        <v>50465</v>
      </c>
      <c r="C207" s="75">
        <v>2313834.3660778329</v>
      </c>
      <c r="D207" s="71">
        <f>IF(F207&lt;&gt;0,VLOOKUP($J207,'Table 1'!$B$13:$C$33,2,FALSE)/12*1000*Study_MW,0)</f>
        <v>1111170.592433976</v>
      </c>
      <c r="E207" s="71">
        <f t="shared" si="54"/>
        <v>3425004.9585118089</v>
      </c>
      <c r="F207" s="75">
        <v>74400</v>
      </c>
      <c r="G207" s="76">
        <f t="shared" si="55"/>
        <v>46.035012883223239</v>
      </c>
      <c r="I207" s="77">
        <f t="shared" si="61"/>
        <v>81</v>
      </c>
      <c r="J207" s="73">
        <f t="shared" si="56"/>
        <v>2038</v>
      </c>
      <c r="K207" s="78">
        <f t="shared" si="57"/>
        <v>50465</v>
      </c>
      <c r="M207" s="41">
        <f t="shared" si="58"/>
        <v>2.155E-2</v>
      </c>
      <c r="T207" s="170"/>
    </row>
    <row r="208" spans="2:20" hidden="1" outlineLevel="1">
      <c r="B208" s="78">
        <f t="shared" si="60"/>
        <v>50496</v>
      </c>
      <c r="C208" s="75">
        <v>895653.51030350477</v>
      </c>
      <c r="D208" s="71">
        <f>IF(F208&lt;&gt;0,VLOOKUP($J208,'Table 1'!$B$13:$C$33,2,FALSE)/12*1000*Study_MW,0)</f>
        <v>1111170.592433976</v>
      </c>
      <c r="E208" s="71">
        <f t="shared" si="54"/>
        <v>2006824.1027374808</v>
      </c>
      <c r="F208" s="75">
        <v>72000</v>
      </c>
      <c r="G208" s="76">
        <f t="shared" si="55"/>
        <v>27.87255698246501</v>
      </c>
      <c r="I208" s="77">
        <f t="shared" si="61"/>
        <v>82</v>
      </c>
      <c r="J208" s="73">
        <f t="shared" si="56"/>
        <v>2038</v>
      </c>
      <c r="K208" s="78">
        <f t="shared" si="57"/>
        <v>50496</v>
      </c>
      <c r="M208" s="41">
        <f t="shared" si="58"/>
        <v>2.155E-2</v>
      </c>
      <c r="T208" s="170"/>
    </row>
    <row r="209" spans="2:20" hidden="1" outlineLevel="1">
      <c r="B209" s="78">
        <f t="shared" si="60"/>
        <v>50526</v>
      </c>
      <c r="C209" s="75">
        <v>743129.4862664938</v>
      </c>
      <c r="D209" s="71">
        <f>IF(F209&lt;&gt;0,VLOOKUP($J209,'Table 1'!$B$13:$C$33,2,FALSE)/12*1000*Study_MW,0)</f>
        <v>1111170.592433976</v>
      </c>
      <c r="E209" s="71">
        <f t="shared" si="54"/>
        <v>1854300.0787004698</v>
      </c>
      <c r="F209" s="75">
        <v>74400</v>
      </c>
      <c r="G209" s="76">
        <f t="shared" si="55"/>
        <v>24.923388154576209</v>
      </c>
      <c r="I209" s="77">
        <f t="shared" si="61"/>
        <v>83</v>
      </c>
      <c r="J209" s="73">
        <f t="shared" si="56"/>
        <v>2038</v>
      </c>
      <c r="K209" s="78">
        <f t="shared" si="57"/>
        <v>50526</v>
      </c>
      <c r="M209" s="41">
        <f t="shared" si="58"/>
        <v>2.155E-2</v>
      </c>
      <c r="T209" s="170"/>
    </row>
    <row r="210" spans="2:20" hidden="1" outlineLevel="1">
      <c r="B210" s="78">
        <f t="shared" si="60"/>
        <v>50557</v>
      </c>
      <c r="C210" s="75">
        <v>964013.43692658842</v>
      </c>
      <c r="D210" s="71">
        <f>IF(F210&lt;&gt;0,VLOOKUP($J210,'Table 1'!$B$13:$C$33,2,FALSE)/12*1000*Study_MW,0)</f>
        <v>1111170.592433976</v>
      </c>
      <c r="E210" s="71">
        <f t="shared" si="54"/>
        <v>2075184.0293605644</v>
      </c>
      <c r="F210" s="75">
        <v>72000</v>
      </c>
      <c r="G210" s="76">
        <f t="shared" si="55"/>
        <v>28.822000407785616</v>
      </c>
      <c r="I210" s="77">
        <f t="shared" si="61"/>
        <v>84</v>
      </c>
      <c r="J210" s="73">
        <f t="shared" si="56"/>
        <v>2038</v>
      </c>
      <c r="K210" s="78">
        <f t="shared" si="57"/>
        <v>50557</v>
      </c>
      <c r="M210" s="41">
        <f t="shared" si="58"/>
        <v>2.155E-2</v>
      </c>
      <c r="T210" s="170"/>
    </row>
    <row r="211" spans="2:20" hidden="1" outlineLevel="1">
      <c r="B211" s="78">
        <f t="shared" si="60"/>
        <v>50587</v>
      </c>
      <c r="C211" s="75">
        <v>4825011.5773873925</v>
      </c>
      <c r="D211" s="71">
        <f>IF(F211&lt;&gt;0,VLOOKUP($J211,'Table 1'!$B$13:$C$33,2,FALSE)/12*1000*Study_MW,0)</f>
        <v>1111170.592433976</v>
      </c>
      <c r="E211" s="71">
        <f t="shared" si="54"/>
        <v>5936182.1698213685</v>
      </c>
      <c r="F211" s="75">
        <v>74400</v>
      </c>
      <c r="G211" s="76">
        <f t="shared" si="55"/>
        <v>79.787394755663556</v>
      </c>
      <c r="I211" s="77">
        <f t="shared" si="61"/>
        <v>85</v>
      </c>
      <c r="J211" s="73">
        <f t="shared" si="56"/>
        <v>2038</v>
      </c>
      <c r="K211" s="78">
        <f t="shared" si="57"/>
        <v>50587</v>
      </c>
      <c r="M211" s="41">
        <f t="shared" si="58"/>
        <v>2.155E-2</v>
      </c>
      <c r="T211" s="170"/>
    </row>
    <row r="212" spans="2:20" hidden="1" outlineLevel="1">
      <c r="B212" s="78">
        <f t="shared" si="60"/>
        <v>50618</v>
      </c>
      <c r="C212" s="75">
        <v>6794453.7591426075</v>
      </c>
      <c r="D212" s="71">
        <f>IF(F212&lt;&gt;0,VLOOKUP($J212,'Table 1'!$B$13:$C$33,2,FALSE)/12*1000*Study_MW,0)</f>
        <v>1111170.592433976</v>
      </c>
      <c r="E212" s="71">
        <f t="shared" si="54"/>
        <v>7905624.3515765835</v>
      </c>
      <c r="F212" s="75">
        <v>74400</v>
      </c>
      <c r="G212" s="76">
        <f t="shared" si="55"/>
        <v>106.25839182226591</v>
      </c>
      <c r="I212" s="77">
        <f t="shared" si="61"/>
        <v>86</v>
      </c>
      <c r="J212" s="73">
        <f t="shared" si="56"/>
        <v>2038</v>
      </c>
      <c r="K212" s="78">
        <f t="shared" si="57"/>
        <v>50618</v>
      </c>
      <c r="M212" s="41">
        <f t="shared" si="58"/>
        <v>2.155E-2</v>
      </c>
      <c r="T212" s="170"/>
    </row>
    <row r="213" spans="2:20" hidden="1" outlineLevel="1">
      <c r="B213" s="78">
        <f t="shared" si="60"/>
        <v>50649</v>
      </c>
      <c r="C213" s="75">
        <v>4604812.0166373551</v>
      </c>
      <c r="D213" s="71">
        <f>IF(F213&lt;&gt;0,VLOOKUP($J213,'Table 1'!$B$13:$C$33,2,FALSE)/12*1000*Study_MW,0)</f>
        <v>1111170.592433976</v>
      </c>
      <c r="E213" s="71">
        <f t="shared" si="54"/>
        <v>5715982.6090713311</v>
      </c>
      <c r="F213" s="75">
        <v>72000</v>
      </c>
      <c r="G213" s="76">
        <f t="shared" si="55"/>
        <v>79.388647348212928</v>
      </c>
      <c r="I213" s="77">
        <f t="shared" si="61"/>
        <v>87</v>
      </c>
      <c r="J213" s="73">
        <f t="shared" si="56"/>
        <v>2038</v>
      </c>
      <c r="K213" s="78">
        <f t="shared" si="57"/>
        <v>50649</v>
      </c>
      <c r="M213" s="41">
        <f t="shared" si="58"/>
        <v>2.155E-2</v>
      </c>
      <c r="T213" s="170"/>
    </row>
    <row r="214" spans="2:20" hidden="1" outlineLevel="1">
      <c r="B214" s="78">
        <f t="shared" si="60"/>
        <v>50679</v>
      </c>
      <c r="C214" s="75">
        <v>2675248.9166430831</v>
      </c>
      <c r="D214" s="71">
        <f>IF(F214&lt;&gt;0,VLOOKUP($J214,'Table 1'!$B$13:$C$33,2,FALSE)/12*1000*Study_MW,0)</f>
        <v>1111170.592433976</v>
      </c>
      <c r="E214" s="71">
        <f t="shared" si="54"/>
        <v>3786419.5090770591</v>
      </c>
      <c r="F214" s="75">
        <v>74400</v>
      </c>
      <c r="G214" s="76">
        <f t="shared" si="55"/>
        <v>50.892735337057246</v>
      </c>
      <c r="I214" s="77">
        <f t="shared" si="61"/>
        <v>88</v>
      </c>
      <c r="J214" s="73">
        <f t="shared" si="56"/>
        <v>2038</v>
      </c>
      <c r="K214" s="78">
        <f t="shared" si="57"/>
        <v>50679</v>
      </c>
      <c r="M214" s="41">
        <f t="shared" si="58"/>
        <v>2.155E-2</v>
      </c>
      <c r="T214" s="170"/>
    </row>
    <row r="215" spans="2:20" hidden="1" outlineLevel="1">
      <c r="B215" s="78">
        <f t="shared" si="60"/>
        <v>50710</v>
      </c>
      <c r="C215" s="75">
        <v>4080133.0620102584</v>
      </c>
      <c r="D215" s="71">
        <f>IF(F215&lt;&gt;0,VLOOKUP($J215,'Table 1'!$B$13:$C$33,2,FALSE)/12*1000*Study_MW,0)</f>
        <v>1111170.592433976</v>
      </c>
      <c r="E215" s="71">
        <f t="shared" si="54"/>
        <v>5191303.6544442344</v>
      </c>
      <c r="F215" s="75">
        <v>72000</v>
      </c>
      <c r="G215" s="76">
        <f t="shared" si="55"/>
        <v>72.101439645058818</v>
      </c>
      <c r="I215" s="77">
        <f t="shared" si="61"/>
        <v>89</v>
      </c>
      <c r="J215" s="73">
        <f t="shared" si="56"/>
        <v>2038</v>
      </c>
      <c r="K215" s="78">
        <f t="shared" si="57"/>
        <v>50710</v>
      </c>
      <c r="M215" s="41">
        <f t="shared" si="58"/>
        <v>2.155E-2</v>
      </c>
      <c r="T215" s="170"/>
    </row>
    <row r="216" spans="2:20" hidden="1" outlineLevel="1">
      <c r="B216" s="82">
        <f t="shared" si="60"/>
        <v>50740</v>
      </c>
      <c r="C216" s="79">
        <v>5066852.9268813729</v>
      </c>
      <c r="D216" s="80">
        <f>IF(F216&lt;&gt;0,VLOOKUP($J216,'Table 1'!$B$13:$C$33,2,FALSE)/12*1000*Study_MW,0)</f>
        <v>1111170.592433976</v>
      </c>
      <c r="E216" s="80">
        <f t="shared" si="54"/>
        <v>6178023.5193153489</v>
      </c>
      <c r="F216" s="79">
        <v>74400</v>
      </c>
      <c r="G216" s="81">
        <f t="shared" si="55"/>
        <v>83.037950528432106</v>
      </c>
      <c r="I216" s="64">
        <f t="shared" si="61"/>
        <v>90</v>
      </c>
      <c r="J216" s="73">
        <f t="shared" si="56"/>
        <v>2038</v>
      </c>
      <c r="K216" s="82">
        <f t="shared" si="57"/>
        <v>50740</v>
      </c>
      <c r="M216" s="41">
        <f t="shared" si="58"/>
        <v>2.155E-2</v>
      </c>
      <c r="T216" s="170"/>
    </row>
    <row r="217" spans="2:20" hidden="1" outlineLevel="1">
      <c r="B217" s="74">
        <f t="shared" si="60"/>
        <v>50771</v>
      </c>
      <c r="C217" s="69">
        <v>5579404.1483845115</v>
      </c>
      <c r="D217" s="70">
        <f>IF(F217&lt;&gt;0,VLOOKUP($J217,'Table 1'!$B$13:$C$33,2,FALSE)/12*1000*Study_MW,0)</f>
        <v>1135082.0842255531</v>
      </c>
      <c r="E217" s="70">
        <f t="shared" ref="E217:E240" si="62">C217+D217</f>
        <v>6714486.2326100646</v>
      </c>
      <c r="F217" s="69">
        <v>74400</v>
      </c>
      <c r="G217" s="72">
        <f t="shared" ref="G217:G240" si="63">IF(ISNUMBER($F217),E217/$F217,"")</f>
        <v>90.248470868414842</v>
      </c>
      <c r="I217" s="60">
        <f>I97</f>
        <v>92</v>
      </c>
      <c r="J217" s="73">
        <f t="shared" si="56"/>
        <v>2039</v>
      </c>
      <c r="K217" s="74">
        <f t="shared" si="57"/>
        <v>50771</v>
      </c>
      <c r="M217" s="41">
        <f t="shared" si="58"/>
        <v>2.155E-2</v>
      </c>
      <c r="T217" s="170"/>
    </row>
    <row r="218" spans="2:20" hidden="1" outlineLevel="1">
      <c r="B218" s="78">
        <f t="shared" si="60"/>
        <v>50802</v>
      </c>
      <c r="C218" s="75">
        <v>3413296.7451394796</v>
      </c>
      <c r="D218" s="71">
        <f>IF(F218&lt;&gt;0,VLOOKUP($J218,'Table 1'!$B$13:$C$33,2,FALSE)/12*1000*Study_MW,0)</f>
        <v>1135082.0842255531</v>
      </c>
      <c r="E218" s="71">
        <f t="shared" si="62"/>
        <v>4548378.8293650327</v>
      </c>
      <c r="F218" s="75">
        <v>67200</v>
      </c>
      <c r="G218" s="76">
        <f t="shared" si="63"/>
        <v>67.684208770312992</v>
      </c>
      <c r="I218" s="77">
        <f t="shared" ref="I218:I228" si="64">I98</f>
        <v>93</v>
      </c>
      <c r="J218" s="73">
        <f t="shared" si="56"/>
        <v>2039</v>
      </c>
      <c r="K218" s="78">
        <f t="shared" si="57"/>
        <v>50802</v>
      </c>
      <c r="M218" s="41">
        <f t="shared" si="58"/>
        <v>2.155E-2</v>
      </c>
      <c r="T218" s="170"/>
    </row>
    <row r="219" spans="2:20" hidden="1" outlineLevel="1">
      <c r="B219" s="78">
        <f t="shared" si="60"/>
        <v>50830</v>
      </c>
      <c r="C219" s="75">
        <v>2474956.0222992897</v>
      </c>
      <c r="D219" s="71">
        <f>IF(F219&lt;&gt;0,VLOOKUP($J219,'Table 1'!$B$13:$C$33,2,FALSE)/12*1000*Study_MW,0)</f>
        <v>1135082.0842255531</v>
      </c>
      <c r="E219" s="71">
        <f t="shared" si="62"/>
        <v>3610038.1065248428</v>
      </c>
      <c r="F219" s="75">
        <v>74400</v>
      </c>
      <c r="G219" s="76">
        <f t="shared" si="63"/>
        <v>48.52201756081778</v>
      </c>
      <c r="I219" s="77">
        <f t="shared" si="64"/>
        <v>94</v>
      </c>
      <c r="J219" s="73">
        <f t="shared" si="56"/>
        <v>2039</v>
      </c>
      <c r="K219" s="78">
        <f t="shared" si="57"/>
        <v>50830</v>
      </c>
      <c r="M219" s="41">
        <f t="shared" si="58"/>
        <v>2.155E-2</v>
      </c>
      <c r="T219" s="170"/>
    </row>
    <row r="220" spans="2:20" hidden="1" outlineLevel="1">
      <c r="B220" s="78">
        <f t="shared" si="60"/>
        <v>50861</v>
      </c>
      <c r="C220" s="75">
        <v>880998.49274995923</v>
      </c>
      <c r="D220" s="71">
        <f>IF(F220&lt;&gt;0,VLOOKUP($J220,'Table 1'!$B$13:$C$33,2,FALSE)/12*1000*Study_MW,0)</f>
        <v>1135082.0842255531</v>
      </c>
      <c r="E220" s="71">
        <f t="shared" si="62"/>
        <v>2016080.5769755123</v>
      </c>
      <c r="F220" s="75">
        <v>72000</v>
      </c>
      <c r="G220" s="76">
        <f t="shared" si="63"/>
        <v>28.001119124659894</v>
      </c>
      <c r="I220" s="77">
        <f t="shared" si="64"/>
        <v>95</v>
      </c>
      <c r="J220" s="73">
        <f t="shared" si="56"/>
        <v>2039</v>
      </c>
      <c r="K220" s="78">
        <f t="shared" si="57"/>
        <v>50861</v>
      </c>
      <c r="M220" s="41">
        <f t="shared" si="58"/>
        <v>2.155E-2</v>
      </c>
      <c r="T220" s="170"/>
    </row>
    <row r="221" spans="2:20" hidden="1" outlineLevel="1">
      <c r="B221" s="78">
        <f t="shared" si="60"/>
        <v>50891</v>
      </c>
      <c r="C221" s="75">
        <v>889304.73219674826</v>
      </c>
      <c r="D221" s="71">
        <f>IF(F221&lt;&gt;0,VLOOKUP($J221,'Table 1'!$B$13:$C$33,2,FALSE)/12*1000*Study_MW,0)</f>
        <v>1135082.0842255531</v>
      </c>
      <c r="E221" s="71">
        <f t="shared" si="62"/>
        <v>2024386.8164223013</v>
      </c>
      <c r="F221" s="75">
        <v>74400</v>
      </c>
      <c r="G221" s="76">
        <f t="shared" si="63"/>
        <v>27.209500220729858</v>
      </c>
      <c r="I221" s="77">
        <f t="shared" si="64"/>
        <v>96</v>
      </c>
      <c r="J221" s="73">
        <f t="shared" si="56"/>
        <v>2039</v>
      </c>
      <c r="K221" s="78">
        <f t="shared" si="57"/>
        <v>50891</v>
      </c>
      <c r="M221" s="41">
        <f t="shared" si="58"/>
        <v>2.155E-2</v>
      </c>
      <c r="T221" s="170"/>
    </row>
    <row r="222" spans="2:20" hidden="1" outlineLevel="1">
      <c r="B222" s="78">
        <f t="shared" si="60"/>
        <v>50922</v>
      </c>
      <c r="C222" s="75">
        <v>1071758.8662692606</v>
      </c>
      <c r="D222" s="71">
        <f>IF(F222&lt;&gt;0,VLOOKUP($J222,'Table 1'!$B$13:$C$33,2,FALSE)/12*1000*Study_MW,0)</f>
        <v>1135082.0842255531</v>
      </c>
      <c r="E222" s="71">
        <f t="shared" si="62"/>
        <v>2206840.9504948137</v>
      </c>
      <c r="F222" s="75">
        <v>72000</v>
      </c>
      <c r="G222" s="76">
        <f t="shared" si="63"/>
        <v>30.650568756872413</v>
      </c>
      <c r="I222" s="77">
        <f t="shared" si="64"/>
        <v>97</v>
      </c>
      <c r="J222" s="73">
        <f t="shared" si="56"/>
        <v>2039</v>
      </c>
      <c r="K222" s="78">
        <f t="shared" si="57"/>
        <v>50922</v>
      </c>
      <c r="M222" s="41">
        <f t="shared" si="58"/>
        <v>2.155E-2</v>
      </c>
      <c r="T222" s="170"/>
    </row>
    <row r="223" spans="2:20" hidden="1" outlineLevel="1">
      <c r="B223" s="78">
        <f t="shared" si="60"/>
        <v>50952</v>
      </c>
      <c r="C223" s="75">
        <v>5214063.967274636</v>
      </c>
      <c r="D223" s="71">
        <f>IF(F223&lt;&gt;0,VLOOKUP($J223,'Table 1'!$B$13:$C$33,2,FALSE)/12*1000*Study_MW,0)</f>
        <v>1135082.0842255531</v>
      </c>
      <c r="E223" s="71">
        <f t="shared" si="62"/>
        <v>6349146.0515001891</v>
      </c>
      <c r="F223" s="75">
        <v>74400</v>
      </c>
      <c r="G223" s="76">
        <f t="shared" si="63"/>
        <v>85.337984563174587</v>
      </c>
      <c r="I223" s="77">
        <f t="shared" si="64"/>
        <v>98</v>
      </c>
      <c r="J223" s="73">
        <f t="shared" si="56"/>
        <v>2039</v>
      </c>
      <c r="K223" s="78">
        <f t="shared" si="57"/>
        <v>50952</v>
      </c>
      <c r="M223" s="41">
        <f t="shared" si="58"/>
        <v>2.155E-2</v>
      </c>
      <c r="T223" s="170"/>
    </row>
    <row r="224" spans="2:20" hidden="1" outlineLevel="1">
      <c r="B224" s="78">
        <f t="shared" si="60"/>
        <v>50983</v>
      </c>
      <c r="C224" s="75">
        <v>7476743.3306960762</v>
      </c>
      <c r="D224" s="71">
        <f>IF(F224&lt;&gt;0,VLOOKUP($J224,'Table 1'!$B$13:$C$33,2,FALSE)/12*1000*Study_MW,0)</f>
        <v>1135082.0842255531</v>
      </c>
      <c r="E224" s="71">
        <f t="shared" si="62"/>
        <v>8611825.4149216302</v>
      </c>
      <c r="F224" s="75">
        <v>74400</v>
      </c>
      <c r="G224" s="76">
        <f t="shared" si="63"/>
        <v>115.75034159840901</v>
      </c>
      <c r="I224" s="77">
        <f t="shared" si="64"/>
        <v>99</v>
      </c>
      <c r="J224" s="73">
        <f t="shared" si="56"/>
        <v>2039</v>
      </c>
      <c r="K224" s="78">
        <f t="shared" si="57"/>
        <v>50983</v>
      </c>
      <c r="M224" s="41">
        <f t="shared" si="58"/>
        <v>2.155E-2</v>
      </c>
      <c r="T224" s="170"/>
    </row>
    <row r="225" spans="2:20" hidden="1" outlineLevel="1">
      <c r="B225" s="78">
        <f t="shared" si="60"/>
        <v>51014</v>
      </c>
      <c r="C225" s="75">
        <v>5547724.0990949571</v>
      </c>
      <c r="D225" s="71">
        <f>IF(F225&lt;&gt;0,VLOOKUP($J225,'Table 1'!$B$13:$C$33,2,FALSE)/12*1000*Study_MW,0)</f>
        <v>1135082.0842255531</v>
      </c>
      <c r="E225" s="71">
        <f t="shared" si="62"/>
        <v>6682806.1833205102</v>
      </c>
      <c r="F225" s="75">
        <v>72000</v>
      </c>
      <c r="G225" s="76">
        <f t="shared" si="63"/>
        <v>92.816752546118195</v>
      </c>
      <c r="I225" s="77">
        <f t="shared" si="64"/>
        <v>100</v>
      </c>
      <c r="J225" s="73">
        <f t="shared" si="56"/>
        <v>2039</v>
      </c>
      <c r="K225" s="78">
        <f t="shared" si="57"/>
        <v>51014</v>
      </c>
      <c r="M225" s="41">
        <f t="shared" ref="M225:M252" si="65">IRP21_Infl_Rate</f>
        <v>2.155E-2</v>
      </c>
      <c r="T225" s="170"/>
    </row>
    <row r="226" spans="2:20" hidden="1" outlineLevel="1">
      <c r="B226" s="78">
        <f t="shared" si="60"/>
        <v>51044</v>
      </c>
      <c r="C226" s="75">
        <v>3011371.2238927484</v>
      </c>
      <c r="D226" s="71">
        <f>IF(F226&lt;&gt;0,VLOOKUP($J226,'Table 1'!$B$13:$C$33,2,FALSE)/12*1000*Study_MW,0)</f>
        <v>1135082.0842255531</v>
      </c>
      <c r="E226" s="71">
        <f t="shared" si="62"/>
        <v>4146453.3081183014</v>
      </c>
      <c r="F226" s="75">
        <v>74400</v>
      </c>
      <c r="G226" s="76">
        <f t="shared" si="63"/>
        <v>55.73189930266534</v>
      </c>
      <c r="I226" s="77">
        <f t="shared" si="64"/>
        <v>101</v>
      </c>
      <c r="J226" s="73">
        <f t="shared" si="56"/>
        <v>2039</v>
      </c>
      <c r="K226" s="78">
        <f t="shared" si="57"/>
        <v>51044</v>
      </c>
      <c r="M226" s="41">
        <f t="shared" si="65"/>
        <v>2.155E-2</v>
      </c>
      <c r="T226" s="170"/>
    </row>
    <row r="227" spans="2:20" hidden="1" outlineLevel="1">
      <c r="B227" s="78">
        <f t="shared" si="60"/>
        <v>51075</v>
      </c>
      <c r="C227" s="75">
        <v>4281444.2765943408</v>
      </c>
      <c r="D227" s="71">
        <f>IF(F227&lt;&gt;0,VLOOKUP($J227,'Table 1'!$B$13:$C$33,2,FALSE)/12*1000*Study_MW,0)</f>
        <v>1135082.0842255531</v>
      </c>
      <c r="E227" s="71">
        <f t="shared" si="62"/>
        <v>5416526.3608198939</v>
      </c>
      <c r="F227" s="75">
        <v>72000</v>
      </c>
      <c r="G227" s="76">
        <f t="shared" si="63"/>
        <v>75.229532789165191</v>
      </c>
      <c r="I227" s="77">
        <f t="shared" si="64"/>
        <v>102</v>
      </c>
      <c r="J227" s="73">
        <f t="shared" si="56"/>
        <v>2039</v>
      </c>
      <c r="K227" s="78">
        <f t="shared" si="57"/>
        <v>51075</v>
      </c>
      <c r="M227" s="41">
        <f t="shared" si="65"/>
        <v>2.155E-2</v>
      </c>
      <c r="T227" s="170"/>
    </row>
    <row r="228" spans="2:20" hidden="1" outlineLevel="1">
      <c r="B228" s="82">
        <f t="shared" si="60"/>
        <v>51105</v>
      </c>
      <c r="C228" s="79">
        <v>5247524.5129826069</v>
      </c>
      <c r="D228" s="80">
        <f>IF(F228&lt;&gt;0,VLOOKUP($J228,'Table 1'!$B$13:$C$33,2,FALSE)/12*1000*Study_MW,0)</f>
        <v>1135082.0842255531</v>
      </c>
      <c r="E228" s="80">
        <f t="shared" si="62"/>
        <v>6382606.59720816</v>
      </c>
      <c r="F228" s="79">
        <v>74400</v>
      </c>
      <c r="G228" s="81">
        <f t="shared" si="63"/>
        <v>85.787723080754844</v>
      </c>
      <c r="I228" s="64">
        <f t="shared" si="64"/>
        <v>103</v>
      </c>
      <c r="J228" s="73">
        <f t="shared" si="56"/>
        <v>2039</v>
      </c>
      <c r="K228" s="82">
        <f t="shared" si="57"/>
        <v>51105</v>
      </c>
      <c r="M228" s="41">
        <f t="shared" si="65"/>
        <v>2.155E-2</v>
      </c>
      <c r="T228" s="170"/>
    </row>
    <row r="229" spans="2:20" hidden="1" outlineLevel="1">
      <c r="B229" s="74">
        <f t="shared" si="60"/>
        <v>51136</v>
      </c>
      <c r="C229" s="69">
        <v>5664917.9386523366</v>
      </c>
      <c r="D229" s="70">
        <f>IF(F229&lt;&gt;0,VLOOKUP($J229,'Table 1'!$B$13:$C$33,2,FALSE)/12*1000*Study_MW,0)</f>
        <v>1159528.9079229124</v>
      </c>
      <c r="E229" s="70">
        <f t="shared" si="62"/>
        <v>6824446.846575249</v>
      </c>
      <c r="F229" s="69">
        <v>74400</v>
      </c>
      <c r="G229" s="72">
        <f t="shared" si="63"/>
        <v>91.726436109882385</v>
      </c>
      <c r="I229" s="60">
        <f>I109</f>
        <v>105</v>
      </c>
      <c r="J229" s="73">
        <f t="shared" si="56"/>
        <v>2040</v>
      </c>
      <c r="K229" s="74">
        <f t="shared" si="57"/>
        <v>51136</v>
      </c>
      <c r="M229" s="41">
        <f t="shared" si="65"/>
        <v>2.155E-2</v>
      </c>
      <c r="T229" s="170"/>
    </row>
    <row r="230" spans="2:20" hidden="1" outlineLevel="1">
      <c r="B230" s="78">
        <f t="shared" si="60"/>
        <v>51167</v>
      </c>
      <c r="C230" s="75">
        <v>3358608.99491629</v>
      </c>
      <c r="D230" s="71">
        <f>IF(F230&lt;&gt;0,VLOOKUP($J230,'Table 1'!$B$13:$C$33,2,FALSE)/12*1000*Study_MW,0)</f>
        <v>1159528.9079229124</v>
      </c>
      <c r="E230" s="71">
        <f t="shared" si="62"/>
        <v>4518137.9028392024</v>
      </c>
      <c r="F230" s="75">
        <v>69600</v>
      </c>
      <c r="G230" s="76">
        <f t="shared" si="63"/>
        <v>64.915774466080492</v>
      </c>
      <c r="I230" s="77">
        <f t="shared" ref="I230:I240" si="66">I110</f>
        <v>106</v>
      </c>
      <c r="J230" s="73">
        <f t="shared" si="56"/>
        <v>2040</v>
      </c>
      <c r="K230" s="78">
        <f t="shared" si="57"/>
        <v>51167</v>
      </c>
      <c r="M230" s="41">
        <f t="shared" si="65"/>
        <v>2.155E-2</v>
      </c>
      <c r="T230" s="170"/>
    </row>
    <row r="231" spans="2:20" hidden="1" outlineLevel="1">
      <c r="B231" s="78">
        <f t="shared" si="60"/>
        <v>51196</v>
      </c>
      <c r="C231" s="75">
        <v>2519351.3437710702</v>
      </c>
      <c r="D231" s="71">
        <f>IF(F231&lt;&gt;0,VLOOKUP($J231,'Table 1'!$B$13:$C$33,2,FALSE)/12*1000*Study_MW,0)</f>
        <v>1159528.9079229124</v>
      </c>
      <c r="E231" s="71">
        <f t="shared" si="62"/>
        <v>3678880.2516939826</v>
      </c>
      <c r="F231" s="75">
        <v>74400</v>
      </c>
      <c r="G231" s="76">
        <f t="shared" si="63"/>
        <v>49.44731521094063</v>
      </c>
      <c r="I231" s="77">
        <f t="shared" si="66"/>
        <v>107</v>
      </c>
      <c r="J231" s="73">
        <f t="shared" si="56"/>
        <v>2040</v>
      </c>
      <c r="K231" s="78">
        <f t="shared" si="57"/>
        <v>51196</v>
      </c>
      <c r="M231" s="41">
        <f t="shared" si="65"/>
        <v>2.155E-2</v>
      </c>
      <c r="T231" s="170"/>
    </row>
    <row r="232" spans="2:20" hidden="1" outlineLevel="1">
      <c r="B232" s="78">
        <f t="shared" si="60"/>
        <v>51227</v>
      </c>
      <c r="C232" s="75">
        <v>928859.3967577517</v>
      </c>
      <c r="D232" s="71">
        <f>IF(F232&lt;&gt;0,VLOOKUP($J232,'Table 1'!$B$13:$C$33,2,FALSE)/12*1000*Study_MW,0)</f>
        <v>1159528.9079229124</v>
      </c>
      <c r="E232" s="71">
        <f t="shared" si="62"/>
        <v>2088388.3046806641</v>
      </c>
      <c r="F232" s="75">
        <v>72000</v>
      </c>
      <c r="G232" s="76">
        <f t="shared" si="63"/>
        <v>29.005393120564779</v>
      </c>
      <c r="I232" s="77">
        <f t="shared" si="66"/>
        <v>108</v>
      </c>
      <c r="J232" s="73">
        <f t="shared" si="56"/>
        <v>2040</v>
      </c>
      <c r="K232" s="78">
        <f t="shared" si="57"/>
        <v>51227</v>
      </c>
      <c r="M232" s="41">
        <f t="shared" si="65"/>
        <v>2.155E-2</v>
      </c>
      <c r="T232" s="170"/>
    </row>
    <row r="233" spans="2:20" hidden="1" outlineLevel="1">
      <c r="B233" s="78">
        <f t="shared" si="60"/>
        <v>51257</v>
      </c>
      <c r="C233" s="75">
        <v>842059.45323553681</v>
      </c>
      <c r="D233" s="71">
        <f>IF(F233&lt;&gt;0,VLOOKUP($J233,'Table 1'!$B$13:$C$33,2,FALSE)/12*1000*Study_MW,0)</f>
        <v>1159528.9079229124</v>
      </c>
      <c r="E233" s="71">
        <f t="shared" si="62"/>
        <v>2001588.3611584492</v>
      </c>
      <c r="F233" s="75">
        <v>74400</v>
      </c>
      <c r="G233" s="76">
        <f t="shared" si="63"/>
        <v>26.903069370409263</v>
      </c>
      <c r="I233" s="77">
        <f t="shared" si="66"/>
        <v>109</v>
      </c>
      <c r="J233" s="73">
        <f t="shared" si="56"/>
        <v>2040</v>
      </c>
      <c r="K233" s="78">
        <f t="shared" si="57"/>
        <v>51257</v>
      </c>
      <c r="M233" s="41">
        <f t="shared" si="65"/>
        <v>2.155E-2</v>
      </c>
      <c r="T233" s="170"/>
    </row>
    <row r="234" spans="2:20" hidden="1" outlineLevel="1">
      <c r="B234" s="78">
        <f t="shared" si="60"/>
        <v>51288</v>
      </c>
      <c r="C234" s="75">
        <v>1072840.3004370928</v>
      </c>
      <c r="D234" s="71">
        <f>IF(F234&lt;&gt;0,VLOOKUP($J234,'Table 1'!$B$13:$C$33,2,FALSE)/12*1000*Study_MW,0)</f>
        <v>1159528.9079229124</v>
      </c>
      <c r="E234" s="71">
        <f t="shared" si="62"/>
        <v>2232369.2083600052</v>
      </c>
      <c r="F234" s="75">
        <v>72000</v>
      </c>
      <c r="G234" s="76">
        <f t="shared" si="63"/>
        <v>31.005127893888961</v>
      </c>
      <c r="I234" s="77">
        <f t="shared" si="66"/>
        <v>110</v>
      </c>
      <c r="J234" s="73">
        <f t="shared" si="56"/>
        <v>2040</v>
      </c>
      <c r="K234" s="78">
        <f t="shared" si="57"/>
        <v>51288</v>
      </c>
      <c r="M234" s="41">
        <f t="shared" si="65"/>
        <v>2.155E-2</v>
      </c>
      <c r="T234" s="170"/>
    </row>
    <row r="235" spans="2:20" hidden="1" outlineLevel="1">
      <c r="B235" s="78">
        <f t="shared" si="60"/>
        <v>51318</v>
      </c>
      <c r="C235" s="75">
        <v>5476168.939362973</v>
      </c>
      <c r="D235" s="71">
        <f>IF(F235&lt;&gt;0,VLOOKUP($J235,'Table 1'!$B$13:$C$33,2,FALSE)/12*1000*Study_MW,0)</f>
        <v>1159528.9079229124</v>
      </c>
      <c r="E235" s="71">
        <f t="shared" si="62"/>
        <v>6635697.8472858854</v>
      </c>
      <c r="F235" s="75">
        <v>74400</v>
      </c>
      <c r="G235" s="76">
        <f t="shared" si="63"/>
        <v>89.189487194702764</v>
      </c>
      <c r="I235" s="77">
        <f t="shared" si="66"/>
        <v>111</v>
      </c>
      <c r="J235" s="73">
        <f t="shared" si="56"/>
        <v>2040</v>
      </c>
      <c r="K235" s="78">
        <f t="shared" si="57"/>
        <v>51318</v>
      </c>
      <c r="M235" s="41">
        <f t="shared" si="65"/>
        <v>2.155E-2</v>
      </c>
      <c r="T235" s="170"/>
    </row>
    <row r="236" spans="2:20" hidden="1" outlineLevel="1">
      <c r="B236" s="78">
        <f t="shared" si="60"/>
        <v>51349</v>
      </c>
      <c r="C236" s="75">
        <v>7740299.1586999893</v>
      </c>
      <c r="D236" s="71">
        <f>IF(F236&lt;&gt;0,VLOOKUP($J236,'Table 1'!$B$13:$C$33,2,FALSE)/12*1000*Study_MW,0)</f>
        <v>1159528.9079229124</v>
      </c>
      <c r="E236" s="71">
        <f t="shared" si="62"/>
        <v>8899828.0666229017</v>
      </c>
      <c r="F236" s="75">
        <v>74400</v>
      </c>
      <c r="G236" s="76">
        <f t="shared" si="63"/>
        <v>119.62134498149061</v>
      </c>
      <c r="I236" s="77">
        <f t="shared" si="66"/>
        <v>112</v>
      </c>
      <c r="J236" s="73">
        <f t="shared" si="56"/>
        <v>2040</v>
      </c>
      <c r="K236" s="78">
        <f t="shared" si="57"/>
        <v>51349</v>
      </c>
      <c r="M236" s="41">
        <f t="shared" si="65"/>
        <v>2.155E-2</v>
      </c>
      <c r="T236" s="170"/>
    </row>
    <row r="237" spans="2:20" hidden="1" outlineLevel="1">
      <c r="B237" s="78">
        <f t="shared" si="60"/>
        <v>51380</v>
      </c>
      <c r="C237" s="75">
        <v>5771047.5552528501</v>
      </c>
      <c r="D237" s="71">
        <f>IF(F237&lt;&gt;0,VLOOKUP($J237,'Table 1'!$B$13:$C$33,2,FALSE)/12*1000*Study_MW,0)</f>
        <v>1159528.9079229124</v>
      </c>
      <c r="E237" s="71">
        <f t="shared" si="62"/>
        <v>6930576.4631757624</v>
      </c>
      <c r="F237" s="75">
        <v>72000</v>
      </c>
      <c r="G237" s="76">
        <f t="shared" si="63"/>
        <v>96.258006432996694</v>
      </c>
      <c r="I237" s="77">
        <f t="shared" si="66"/>
        <v>113</v>
      </c>
      <c r="J237" s="73">
        <f t="shared" si="56"/>
        <v>2040</v>
      </c>
      <c r="K237" s="78">
        <f t="shared" si="57"/>
        <v>51380</v>
      </c>
      <c r="M237" s="41">
        <f t="shared" si="65"/>
        <v>2.155E-2</v>
      </c>
      <c r="T237" s="170"/>
    </row>
    <row r="238" spans="2:20" hidden="1" outlineLevel="1">
      <c r="B238" s="78">
        <f t="shared" si="60"/>
        <v>51410</v>
      </c>
      <c r="C238" s="75">
        <v>3067375.475127697</v>
      </c>
      <c r="D238" s="71">
        <f>IF(F238&lt;&gt;0,VLOOKUP($J238,'Table 1'!$B$13:$C$33,2,FALSE)/12*1000*Study_MW,0)</f>
        <v>1159528.9079229124</v>
      </c>
      <c r="E238" s="71">
        <f t="shared" si="62"/>
        <v>4226904.3830506094</v>
      </c>
      <c r="F238" s="75">
        <v>74400</v>
      </c>
      <c r="G238" s="76">
        <f t="shared" si="63"/>
        <v>56.813230954981307</v>
      </c>
      <c r="I238" s="77">
        <f t="shared" si="66"/>
        <v>114</v>
      </c>
      <c r="J238" s="73">
        <f t="shared" si="56"/>
        <v>2040</v>
      </c>
      <c r="K238" s="78">
        <f t="shared" si="57"/>
        <v>51410</v>
      </c>
      <c r="M238" s="41">
        <f t="shared" si="65"/>
        <v>2.155E-2</v>
      </c>
      <c r="T238" s="170"/>
    </row>
    <row r="239" spans="2:20" hidden="1" outlineLevel="1">
      <c r="B239" s="78">
        <f t="shared" si="60"/>
        <v>51441</v>
      </c>
      <c r="C239" s="75">
        <v>4064993.2915226221</v>
      </c>
      <c r="D239" s="71">
        <f>IF(F239&lt;&gt;0,VLOOKUP($J239,'Table 1'!$B$13:$C$33,2,FALSE)/12*1000*Study_MW,0)</f>
        <v>1159528.9079229124</v>
      </c>
      <c r="E239" s="71">
        <f t="shared" si="62"/>
        <v>5224522.1994455345</v>
      </c>
      <c r="F239" s="75">
        <v>72000</v>
      </c>
      <c r="G239" s="76">
        <f t="shared" si="63"/>
        <v>72.562808325632417</v>
      </c>
      <c r="I239" s="77">
        <f t="shared" si="66"/>
        <v>115</v>
      </c>
      <c r="J239" s="73">
        <f t="shared" si="56"/>
        <v>2040</v>
      </c>
      <c r="K239" s="78">
        <f t="shared" si="57"/>
        <v>51441</v>
      </c>
      <c r="M239" s="41">
        <f t="shared" si="65"/>
        <v>2.155E-2</v>
      </c>
      <c r="T239" s="170"/>
    </row>
    <row r="240" spans="2:20" hidden="1" outlineLevel="1">
      <c r="B240" s="82">
        <f t="shared" si="60"/>
        <v>51471</v>
      </c>
      <c r="C240" s="79">
        <v>5281981.8885661364</v>
      </c>
      <c r="D240" s="80">
        <f>IF(F240&lt;&gt;0,VLOOKUP($J240,'Table 1'!$B$13:$C$33,2,FALSE)/12*1000*Study_MW,0)</f>
        <v>1159528.9079229124</v>
      </c>
      <c r="E240" s="80">
        <f t="shared" si="62"/>
        <v>6441510.7964890487</v>
      </c>
      <c r="F240" s="79">
        <v>74400</v>
      </c>
      <c r="G240" s="81">
        <f t="shared" si="63"/>
        <v>86.579446189368937</v>
      </c>
      <c r="I240" s="64">
        <f t="shared" si="66"/>
        <v>116</v>
      </c>
      <c r="J240" s="73">
        <f t="shared" si="56"/>
        <v>2040</v>
      </c>
      <c r="K240" s="82">
        <f t="shared" si="57"/>
        <v>51471</v>
      </c>
      <c r="M240" s="41">
        <f t="shared" si="65"/>
        <v>2.155E-2</v>
      </c>
      <c r="T240" s="170"/>
    </row>
    <row r="241" spans="2:20" hidden="1" outlineLevel="1">
      <c r="B241" s="177">
        <f t="shared" ref="B241:B252" si="67">EDATE(B240,1)</f>
        <v>51502</v>
      </c>
      <c r="C241" s="355">
        <f>(C229*(1+M241))*IF(AND(MONTH(K241)=2,OR(J229=2036,J229=2040)),28/29,1)</f>
        <v>5786996.9202302946</v>
      </c>
      <c r="D241" s="356">
        <f>IF(ISNUMBER($F241)*SUM(F241:F252)&lt;&gt;0,VLOOKUP($J241,'Table 1'!$B$13:$C$33,2,FALSE)/12*1000*Study_MW,0)</f>
        <v>1184511.0635260532</v>
      </c>
      <c r="E241" s="356">
        <f t="shared" ref="E241:E252" si="68">C241+D241</f>
        <v>6971507.9837563476</v>
      </c>
      <c r="F241" s="355">
        <v>74400</v>
      </c>
      <c r="G241" s="357">
        <f t="shared" ref="G241:G252" si="69">IFERROR(E241/$F241,0)</f>
        <v>93.703064297800367</v>
      </c>
      <c r="I241" s="60">
        <f>I121</f>
        <v>118</v>
      </c>
      <c r="J241" s="73">
        <f t="shared" ref="J241:J252" si="70">YEAR(B241)</f>
        <v>2041</v>
      </c>
      <c r="K241" s="74">
        <f t="shared" ref="K241:K252" si="71">IF(ISNUMBER(F241),IF(F241&lt;&gt;0,B241,""),"")</f>
        <v>51502</v>
      </c>
      <c r="M241" s="41">
        <f t="shared" si="65"/>
        <v>2.155E-2</v>
      </c>
      <c r="T241" s="170"/>
    </row>
    <row r="242" spans="2:20" hidden="1" outlineLevel="1">
      <c r="B242" s="178">
        <f t="shared" si="67"/>
        <v>51533</v>
      </c>
      <c r="C242" s="358">
        <f t="shared" ref="C242:C252" si="72">(C230*(1+M242))*IF(AND(MONTH(K242)=2,OR(J230=2036,J230=2040)),28/29,1)</f>
        <v>3312677.121558228</v>
      </c>
      <c r="D242" s="359">
        <f>IF(ISNUMBER($F242)*SUM(F242:F252)&lt;&gt;0,VLOOKUP($J242,'Table 1'!$B$13:$C$33,2,FALSE)/12*1000*Study_MW,0)</f>
        <v>1184511.0635260532</v>
      </c>
      <c r="E242" s="359">
        <f t="shared" si="68"/>
        <v>4497188.1850842815</v>
      </c>
      <c r="F242" s="358">
        <v>67200</v>
      </c>
      <c r="G242" s="360">
        <f t="shared" si="69"/>
        <v>66.922443230420853</v>
      </c>
      <c r="I242" s="77">
        <f t="shared" ref="I242:I252" si="73">I122</f>
        <v>119</v>
      </c>
      <c r="J242" s="73">
        <f t="shared" si="70"/>
        <v>2041</v>
      </c>
      <c r="K242" s="78">
        <f t="shared" si="71"/>
        <v>51533</v>
      </c>
      <c r="M242" s="41">
        <f t="shared" si="65"/>
        <v>2.155E-2</v>
      </c>
      <c r="T242" s="170"/>
    </row>
    <row r="243" spans="2:20" hidden="1" outlineLevel="1">
      <c r="B243" s="178">
        <f t="shared" si="67"/>
        <v>51561</v>
      </c>
      <c r="C243" s="358">
        <f t="shared" si="72"/>
        <v>2573643.3652293365</v>
      </c>
      <c r="D243" s="359">
        <f>IF(ISNUMBER($F243)*SUM(F243:F252)&lt;&gt;0,VLOOKUP($J243,'Table 1'!$B$13:$C$33,2,FALSE)/12*1000*Study_MW,0)</f>
        <v>1184511.0635260532</v>
      </c>
      <c r="E243" s="359">
        <f t="shared" si="68"/>
        <v>3758154.4287553895</v>
      </c>
      <c r="F243" s="358">
        <v>74400</v>
      </c>
      <c r="G243" s="360">
        <f t="shared" si="69"/>
        <v>50.512828343486419</v>
      </c>
      <c r="I243" s="77">
        <f t="shared" si="73"/>
        <v>120</v>
      </c>
      <c r="J243" s="73">
        <f t="shared" si="70"/>
        <v>2041</v>
      </c>
      <c r="K243" s="78">
        <f t="shared" si="71"/>
        <v>51561</v>
      </c>
      <c r="M243" s="41">
        <f t="shared" si="65"/>
        <v>2.155E-2</v>
      </c>
      <c r="T243" s="170"/>
    </row>
    <row r="244" spans="2:20" hidden="1" outlineLevel="1">
      <c r="B244" s="178">
        <f t="shared" si="67"/>
        <v>51592</v>
      </c>
      <c r="C244" s="358">
        <f t="shared" si="72"/>
        <v>948876.3167578812</v>
      </c>
      <c r="D244" s="359">
        <f>IF(ISNUMBER($F244)*SUM(F244:F252)&lt;&gt;0,VLOOKUP($J244,'Table 1'!$B$13:$C$33,2,FALSE)/12*1000*Study_MW,0)</f>
        <v>1184511.0635260532</v>
      </c>
      <c r="E244" s="359">
        <f t="shared" si="68"/>
        <v>2133387.3802839345</v>
      </c>
      <c r="F244" s="358">
        <v>72000</v>
      </c>
      <c r="G244" s="360">
        <f t="shared" si="69"/>
        <v>29.630380281721312</v>
      </c>
      <c r="I244" s="77">
        <f t="shared" si="73"/>
        <v>121</v>
      </c>
      <c r="J244" s="73">
        <f t="shared" si="70"/>
        <v>2041</v>
      </c>
      <c r="K244" s="78">
        <f t="shared" si="71"/>
        <v>51592</v>
      </c>
      <c r="M244" s="41">
        <f t="shared" si="65"/>
        <v>2.155E-2</v>
      </c>
      <c r="T244" s="170"/>
    </row>
    <row r="245" spans="2:20" hidden="1" outlineLevel="1">
      <c r="B245" s="178">
        <f t="shared" si="67"/>
        <v>51622</v>
      </c>
      <c r="C245" s="358">
        <f t="shared" si="72"/>
        <v>860205.83445276262</v>
      </c>
      <c r="D245" s="359">
        <f>IF(ISNUMBER($F245)*SUM(F245:F252)&lt;&gt;0,VLOOKUP($J245,'Table 1'!$B$13:$C$33,2,FALSE)/12*1000*Study_MW,0)</f>
        <v>1184511.0635260532</v>
      </c>
      <c r="E245" s="359">
        <f t="shared" si="68"/>
        <v>2044716.8979788157</v>
      </c>
      <c r="F245" s="358">
        <v>74400</v>
      </c>
      <c r="G245" s="360">
        <f t="shared" si="69"/>
        <v>27.482754005091611</v>
      </c>
      <c r="I245" s="77">
        <f t="shared" si="73"/>
        <v>122</v>
      </c>
      <c r="J245" s="73">
        <f t="shared" si="70"/>
        <v>2041</v>
      </c>
      <c r="K245" s="78">
        <f t="shared" si="71"/>
        <v>51622</v>
      </c>
      <c r="M245" s="41">
        <f t="shared" si="65"/>
        <v>2.155E-2</v>
      </c>
      <c r="T245" s="170"/>
    </row>
    <row r="246" spans="2:20" hidden="1" outlineLevel="1">
      <c r="B246" s="178">
        <f t="shared" si="67"/>
        <v>51653</v>
      </c>
      <c r="C246" s="358">
        <f t="shared" si="72"/>
        <v>1095960.0089115121</v>
      </c>
      <c r="D246" s="359">
        <f>IF(ISNUMBER($F246)*SUM(F246:F252)&lt;&gt;0,VLOOKUP($J246,'Table 1'!$B$13:$C$33,2,FALSE)/12*1000*Study_MW,0)</f>
        <v>1184511.0635260532</v>
      </c>
      <c r="E246" s="359">
        <f t="shared" si="68"/>
        <v>2280471.0724375653</v>
      </c>
      <c r="F246" s="358">
        <v>72000</v>
      </c>
      <c r="G246" s="360">
        <f t="shared" si="69"/>
        <v>31.673209339410629</v>
      </c>
      <c r="I246" s="77">
        <f t="shared" si="73"/>
        <v>123</v>
      </c>
      <c r="J246" s="73">
        <f t="shared" si="70"/>
        <v>2041</v>
      </c>
      <c r="K246" s="78">
        <f t="shared" si="71"/>
        <v>51653</v>
      </c>
      <c r="M246" s="41">
        <f t="shared" si="65"/>
        <v>2.155E-2</v>
      </c>
      <c r="T246" s="170"/>
    </row>
    <row r="247" spans="2:20" hidden="1" outlineLevel="1">
      <c r="B247" s="178">
        <f t="shared" si="67"/>
        <v>51683</v>
      </c>
      <c r="C247" s="358">
        <f t="shared" si="72"/>
        <v>5594180.3800062444</v>
      </c>
      <c r="D247" s="359">
        <f>IF(ISNUMBER($F247)*SUM(F247:F252)&lt;&gt;0,VLOOKUP($J247,'Table 1'!$B$13:$C$33,2,FALSE)/12*1000*Study_MW,0)</f>
        <v>1184511.0635260532</v>
      </c>
      <c r="E247" s="359">
        <f t="shared" si="68"/>
        <v>6778691.4435322974</v>
      </c>
      <c r="F247" s="358">
        <v>74400</v>
      </c>
      <c r="G247" s="360">
        <f t="shared" si="69"/>
        <v>91.111444133498622</v>
      </c>
      <c r="I247" s="77">
        <f t="shared" si="73"/>
        <v>124</v>
      </c>
      <c r="J247" s="73">
        <f t="shared" si="70"/>
        <v>2041</v>
      </c>
      <c r="K247" s="78">
        <f t="shared" si="71"/>
        <v>51683</v>
      </c>
      <c r="M247" s="41">
        <f t="shared" si="65"/>
        <v>2.155E-2</v>
      </c>
      <c r="T247" s="170"/>
    </row>
    <row r="248" spans="2:20" hidden="1" outlineLevel="1">
      <c r="B248" s="178">
        <f t="shared" si="67"/>
        <v>51714</v>
      </c>
      <c r="C248" s="358">
        <f t="shared" si="72"/>
        <v>7907102.6055699736</v>
      </c>
      <c r="D248" s="359">
        <f>IF(ISNUMBER($F248)*SUM(F248:F252)&lt;&gt;0,VLOOKUP($J248,'Table 1'!$B$13:$C$33,2,FALSE)/12*1000*Study_MW,0)</f>
        <v>1184511.0635260532</v>
      </c>
      <c r="E248" s="359">
        <f t="shared" si="68"/>
        <v>9091613.6690960266</v>
      </c>
      <c r="F248" s="358">
        <v>74400</v>
      </c>
      <c r="G248" s="360">
        <f t="shared" si="69"/>
        <v>122.19910845559176</v>
      </c>
      <c r="I248" s="77">
        <f t="shared" si="73"/>
        <v>125</v>
      </c>
      <c r="J248" s="73">
        <f t="shared" si="70"/>
        <v>2041</v>
      </c>
      <c r="K248" s="78">
        <f t="shared" si="71"/>
        <v>51714</v>
      </c>
      <c r="M248" s="41">
        <f t="shared" si="65"/>
        <v>2.155E-2</v>
      </c>
      <c r="T248" s="170"/>
    </row>
    <row r="249" spans="2:20" hidden="1" outlineLevel="1">
      <c r="B249" s="178">
        <f t="shared" si="67"/>
        <v>51745</v>
      </c>
      <c r="C249" s="358">
        <f t="shared" si="72"/>
        <v>5895413.630068549</v>
      </c>
      <c r="D249" s="359">
        <f>IF(ISNUMBER($F249)*SUM(F249:F252)&lt;&gt;0,VLOOKUP($J249,'Table 1'!$B$13:$C$33,2,FALSE)/12*1000*Study_MW,0)</f>
        <v>1184511.0635260532</v>
      </c>
      <c r="E249" s="359">
        <f t="shared" si="68"/>
        <v>7079924.6935946019</v>
      </c>
      <c r="F249" s="358">
        <v>72000</v>
      </c>
      <c r="G249" s="360">
        <f t="shared" si="69"/>
        <v>98.332287411036134</v>
      </c>
      <c r="I249" s="77">
        <f t="shared" si="73"/>
        <v>126</v>
      </c>
      <c r="J249" s="73">
        <f t="shared" si="70"/>
        <v>2041</v>
      </c>
      <c r="K249" s="78">
        <f t="shared" si="71"/>
        <v>51745</v>
      </c>
      <c r="M249" s="41">
        <f t="shared" si="65"/>
        <v>2.155E-2</v>
      </c>
      <c r="T249" s="170"/>
    </row>
    <row r="250" spans="2:20" hidden="1" outlineLevel="1">
      <c r="B250" s="178">
        <f t="shared" si="67"/>
        <v>51775</v>
      </c>
      <c r="C250" s="358">
        <f t="shared" si="72"/>
        <v>3133477.4166166987</v>
      </c>
      <c r="D250" s="359">
        <f>IF(ISNUMBER($F250)*SUM(F250:F252)&lt;&gt;0,VLOOKUP($J250,'Table 1'!$B$13:$C$33,2,FALSE)/12*1000*Study_MW,0)</f>
        <v>1184511.0635260532</v>
      </c>
      <c r="E250" s="359">
        <f t="shared" si="68"/>
        <v>4317988.4801427517</v>
      </c>
      <c r="F250" s="358">
        <v>74400</v>
      </c>
      <c r="G250" s="360">
        <f t="shared" si="69"/>
        <v>58.037479571811176</v>
      </c>
      <c r="I250" s="77">
        <f t="shared" si="73"/>
        <v>127</v>
      </c>
      <c r="J250" s="73">
        <f t="shared" si="70"/>
        <v>2041</v>
      </c>
      <c r="K250" s="78">
        <f t="shared" si="71"/>
        <v>51775</v>
      </c>
      <c r="M250" s="41">
        <f t="shared" si="65"/>
        <v>2.155E-2</v>
      </c>
      <c r="T250" s="170"/>
    </row>
    <row r="251" spans="2:20" hidden="1" outlineLevel="1">
      <c r="B251" s="178">
        <f t="shared" si="67"/>
        <v>51806</v>
      </c>
      <c r="C251" s="358">
        <f t="shared" si="72"/>
        <v>4152593.8969549346</v>
      </c>
      <c r="D251" s="359">
        <f>IF(ISNUMBER($F251)*SUM(F251:F252)&lt;&gt;0,VLOOKUP($J251,'Table 1'!$B$13:$C$33,2,FALSE)/12*1000*Study_MW,0)</f>
        <v>1184511.0635260532</v>
      </c>
      <c r="E251" s="359">
        <f t="shared" si="68"/>
        <v>5337104.960480988</v>
      </c>
      <c r="F251" s="358">
        <v>72000</v>
      </c>
      <c r="G251" s="360">
        <f t="shared" si="69"/>
        <v>74.126457784458168</v>
      </c>
      <c r="I251" s="77">
        <f t="shared" si="73"/>
        <v>128</v>
      </c>
      <c r="J251" s="73">
        <f t="shared" si="70"/>
        <v>2041</v>
      </c>
      <c r="K251" s="78">
        <f t="shared" si="71"/>
        <v>51806</v>
      </c>
      <c r="M251" s="41">
        <f t="shared" si="65"/>
        <v>2.155E-2</v>
      </c>
      <c r="O251" s="170"/>
      <c r="P251" s="170"/>
      <c r="T251" s="170"/>
    </row>
    <row r="252" spans="2:20" hidden="1" outlineLevel="1" collapsed="1">
      <c r="B252" s="179">
        <f t="shared" si="67"/>
        <v>51836</v>
      </c>
      <c r="C252" s="361">
        <f t="shared" si="72"/>
        <v>5395808.5982647361</v>
      </c>
      <c r="D252" s="362">
        <f>IF(ISNUMBER($F252)*SUM(F252:F252)&lt;&gt;0,VLOOKUP($J252,'Table 1'!$B$13:$C$33,2,FALSE)/12*1000*Study_MW,0)</f>
        <v>1184511.0635260532</v>
      </c>
      <c r="E252" s="362">
        <f t="shared" si="68"/>
        <v>6580319.6617907891</v>
      </c>
      <c r="F252" s="361">
        <v>74400</v>
      </c>
      <c r="G252" s="363">
        <f t="shared" si="69"/>
        <v>88.445156744499855</v>
      </c>
      <c r="I252" s="64">
        <f t="shared" si="73"/>
        <v>129</v>
      </c>
      <c r="J252" s="73">
        <f t="shared" si="70"/>
        <v>2041</v>
      </c>
      <c r="K252" s="82">
        <f t="shared" si="71"/>
        <v>51836</v>
      </c>
      <c r="M252" s="41">
        <f t="shared" si="65"/>
        <v>2.155E-2</v>
      </c>
      <c r="O252" s="170"/>
      <c r="P252" s="170"/>
      <c r="T252" s="170"/>
    </row>
    <row r="253" spans="2:20" collapsed="1"/>
  </sheetData>
  <printOptions horizontalCentered="1"/>
  <pageMargins left="0.25" right="0.25" top="0.75" bottom="0.75" header="0.3" footer="0.3"/>
  <pageSetup scale="52" orientation="landscape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pageSetUpPr fitToPage="1"/>
  </sheetPr>
  <dimension ref="B1:BM73"/>
  <sheetViews>
    <sheetView topLeftCell="O9" zoomScale="80" zoomScaleNormal="80" workbookViewId="0">
      <selection activeCell="AA4" sqref="AA4:AD4"/>
    </sheetView>
  </sheetViews>
  <sheetFormatPr defaultColWidth="9.33203125" defaultRowHeight="13.2"/>
  <cols>
    <col min="1" max="1" width="1.44140625" style="116" customWidth="1"/>
    <col min="2" max="2" width="10.77734375" style="116" customWidth="1"/>
    <col min="3" max="3" width="14.21875" style="116" customWidth="1"/>
    <col min="4" max="4" width="12.33203125" style="116" customWidth="1"/>
    <col min="5" max="5" width="16.77734375" style="116" customWidth="1"/>
    <col min="6" max="6" width="7.77734375" style="116" customWidth="1"/>
    <col min="7" max="7" width="9.77734375" style="116" customWidth="1"/>
    <col min="8" max="8" width="13.77734375" style="116" customWidth="1"/>
    <col min="9" max="10" width="12.44140625" style="116" customWidth="1"/>
    <col min="11" max="11" width="4.77734375" style="116" customWidth="1"/>
    <col min="12" max="12" width="9.77734375" style="116" customWidth="1"/>
    <col min="13" max="13" width="13.77734375" style="116" customWidth="1"/>
    <col min="14" max="14" width="12.44140625" style="116" customWidth="1"/>
    <col min="15" max="15" width="18" style="116" customWidth="1"/>
    <col min="16" max="16" width="7" style="116" customWidth="1"/>
    <col min="17" max="17" width="9.77734375" style="116" customWidth="1"/>
    <col min="18" max="18" width="13.77734375" style="116" customWidth="1"/>
    <col min="19" max="20" width="12.44140625" style="116" customWidth="1"/>
    <col min="21" max="21" width="5.21875" style="116" customWidth="1"/>
    <col min="22" max="22" width="9.77734375" style="116" customWidth="1"/>
    <col min="23" max="23" width="13.77734375" style="116" customWidth="1"/>
    <col min="24" max="25" width="12.44140625" style="116" customWidth="1"/>
    <col min="26" max="26" width="5.6640625" style="116" customWidth="1"/>
    <col min="27" max="27" width="9.77734375" style="116" customWidth="1"/>
    <col min="28" max="28" width="13.77734375" style="116" customWidth="1"/>
    <col min="29" max="30" width="12.44140625" style="116" customWidth="1"/>
    <col min="31" max="31" width="6.33203125" style="116" customWidth="1"/>
    <col min="32" max="32" width="9.77734375" style="116" customWidth="1"/>
    <col min="33" max="33" width="13.77734375" style="116" customWidth="1"/>
    <col min="34" max="35" width="12.44140625" style="116" customWidth="1"/>
    <col min="36" max="36" width="5.6640625" style="116" customWidth="1"/>
    <col min="37" max="37" width="9.77734375" style="116" customWidth="1"/>
    <col min="38" max="38" width="13.77734375" style="116" customWidth="1"/>
    <col min="39" max="40" width="12.44140625" style="116" customWidth="1"/>
    <col min="41" max="41" width="5.6640625" style="116" customWidth="1"/>
    <col min="42" max="42" width="9.77734375" style="116" customWidth="1"/>
    <col min="43" max="43" width="13.77734375" style="116" customWidth="1"/>
    <col min="44" max="45" width="12.44140625" style="116" customWidth="1"/>
    <col min="46" max="46" width="5.6640625" style="116" customWidth="1"/>
    <col min="47" max="47" width="9.77734375" style="116" customWidth="1"/>
    <col min="48" max="48" width="13.77734375" style="116" customWidth="1"/>
    <col min="49" max="50" width="12.44140625" style="116" customWidth="1"/>
    <col min="51" max="51" width="6.33203125" style="116" customWidth="1"/>
    <col min="52" max="52" width="9.77734375" style="116" customWidth="1"/>
    <col min="53" max="53" width="13.77734375" style="116" customWidth="1"/>
    <col min="54" max="54" width="12.44140625" style="116" customWidth="1"/>
    <col min="55" max="55" width="15.21875" style="116" customWidth="1"/>
    <col min="56" max="56" width="11.6640625" style="116" customWidth="1"/>
    <col min="57" max="57" width="9.77734375" style="116" customWidth="1"/>
    <col min="58" max="58" width="13.77734375" style="116" customWidth="1"/>
    <col min="59" max="59" width="12.44140625" style="158" customWidth="1"/>
    <col min="60" max="60" width="12.44140625" style="116" customWidth="1"/>
    <col min="61" max="61" width="9.33203125" style="116"/>
    <col min="62" max="62" width="9.77734375" style="116" customWidth="1"/>
    <col min="63" max="63" width="13.77734375" style="116" customWidth="1"/>
    <col min="64" max="64" width="12.44140625" style="158" customWidth="1"/>
    <col min="65" max="65" width="12.44140625" style="116" customWidth="1"/>
    <col min="66" max="16384" width="9.33203125" style="116"/>
  </cols>
  <sheetData>
    <row r="1" spans="2:65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</row>
    <row r="2" spans="2:65" ht="15.6">
      <c r="B2" s="114" t="s">
        <v>178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</row>
    <row r="3" spans="2:65" ht="15.6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</row>
    <row r="4" spans="2:65" s="329" customFormat="1" ht="19.05" customHeight="1">
      <c r="B4" s="447" t="s">
        <v>145</v>
      </c>
      <c r="C4" s="448"/>
      <c r="D4" s="448"/>
      <c r="E4" s="449"/>
      <c r="F4" s="117"/>
      <c r="G4" s="447" t="s">
        <v>163</v>
      </c>
      <c r="H4" s="448"/>
      <c r="I4" s="448"/>
      <c r="J4" s="449"/>
      <c r="K4" s="117"/>
      <c r="L4" s="443" t="s">
        <v>164</v>
      </c>
      <c r="M4" s="444"/>
      <c r="N4" s="444"/>
      <c r="O4" s="445"/>
      <c r="Q4" s="443" t="s">
        <v>166</v>
      </c>
      <c r="R4" s="444"/>
      <c r="S4" s="444"/>
      <c r="T4" s="445"/>
      <c r="U4" s="117"/>
      <c r="V4" s="447" t="s">
        <v>167</v>
      </c>
      <c r="W4" s="448"/>
      <c r="X4" s="448"/>
      <c r="Y4" s="449"/>
      <c r="Z4" s="117"/>
      <c r="AA4" s="447" t="s">
        <v>168</v>
      </c>
      <c r="AB4" s="448"/>
      <c r="AC4" s="448"/>
      <c r="AD4" s="449"/>
      <c r="AE4" s="117"/>
      <c r="AF4" s="447" t="s">
        <v>170</v>
      </c>
      <c r="AG4" s="448"/>
      <c r="AH4" s="448"/>
      <c r="AI4" s="449"/>
      <c r="AJ4" s="117"/>
      <c r="AK4" s="443" t="s">
        <v>171</v>
      </c>
      <c r="AL4" s="444"/>
      <c r="AM4" s="444"/>
      <c r="AN4" s="445"/>
      <c r="AO4" s="117"/>
      <c r="AP4" s="443" t="s">
        <v>173</v>
      </c>
      <c r="AQ4" s="444"/>
      <c r="AR4" s="444"/>
      <c r="AS4" s="445"/>
      <c r="AT4" s="117"/>
      <c r="AU4" s="443" t="s">
        <v>146</v>
      </c>
      <c r="AV4" s="444"/>
      <c r="AW4" s="444"/>
      <c r="AX4" s="445"/>
      <c r="AY4" s="117"/>
      <c r="AZ4" s="443" t="s">
        <v>176</v>
      </c>
      <c r="BA4" s="444"/>
      <c r="BB4" s="444"/>
      <c r="BC4" s="445"/>
      <c r="BD4" s="343"/>
      <c r="BE4" s="443" t="s">
        <v>177</v>
      </c>
      <c r="BF4" s="444"/>
      <c r="BG4" s="444"/>
      <c r="BH4" s="445"/>
      <c r="BJ4" s="443" t="s">
        <v>147</v>
      </c>
      <c r="BK4" s="444"/>
      <c r="BL4" s="444"/>
      <c r="BM4" s="445"/>
    </row>
    <row r="5" spans="2:65" ht="51.75" customHeight="1">
      <c r="B5" s="119" t="s">
        <v>0</v>
      </c>
      <c r="C5" s="120" t="s">
        <v>86</v>
      </c>
      <c r="D5" s="120" t="s">
        <v>82</v>
      </c>
      <c r="E5" s="17" t="s">
        <v>52</v>
      </c>
      <c r="G5" s="119" t="s">
        <v>0</v>
      </c>
      <c r="H5" s="120" t="s">
        <v>86</v>
      </c>
      <c r="I5" s="120" t="s">
        <v>82</v>
      </c>
      <c r="J5" s="17" t="s">
        <v>52</v>
      </c>
      <c r="L5" s="119" t="s">
        <v>0</v>
      </c>
      <c r="M5" s="120" t="s">
        <v>86</v>
      </c>
      <c r="N5" s="120" t="s">
        <v>82</v>
      </c>
      <c r="O5" s="17" t="s">
        <v>52</v>
      </c>
      <c r="Q5" s="119" t="s">
        <v>0</v>
      </c>
      <c r="R5" s="120" t="s">
        <v>86</v>
      </c>
      <c r="S5" s="120" t="s">
        <v>82</v>
      </c>
      <c r="T5" s="17" t="s">
        <v>52</v>
      </c>
      <c r="V5" s="119" t="s">
        <v>0</v>
      </c>
      <c r="W5" s="120" t="s">
        <v>86</v>
      </c>
      <c r="X5" s="120" t="s">
        <v>82</v>
      </c>
      <c r="Y5" s="17" t="s">
        <v>52</v>
      </c>
      <c r="AA5" s="119" t="s">
        <v>0</v>
      </c>
      <c r="AB5" s="120" t="s">
        <v>86</v>
      </c>
      <c r="AC5" s="120" t="s">
        <v>82</v>
      </c>
      <c r="AD5" s="17" t="s">
        <v>52</v>
      </c>
      <c r="AF5" s="119" t="s">
        <v>0</v>
      </c>
      <c r="AG5" s="120" t="s">
        <v>86</v>
      </c>
      <c r="AH5" s="120" t="s">
        <v>82</v>
      </c>
      <c r="AI5" s="17" t="s">
        <v>52</v>
      </c>
      <c r="AK5" s="119" t="s">
        <v>0</v>
      </c>
      <c r="AL5" s="120" t="s">
        <v>86</v>
      </c>
      <c r="AM5" s="120" t="s">
        <v>82</v>
      </c>
      <c r="AN5" s="17" t="s">
        <v>52</v>
      </c>
      <c r="AP5" s="119" t="s">
        <v>0</v>
      </c>
      <c r="AQ5" s="120" t="s">
        <v>86</v>
      </c>
      <c r="AR5" s="120" t="s">
        <v>82</v>
      </c>
      <c r="AS5" s="17" t="s">
        <v>52</v>
      </c>
      <c r="AU5" s="119" t="s">
        <v>0</v>
      </c>
      <c r="AV5" s="120" t="s">
        <v>86</v>
      </c>
      <c r="AW5" s="120" t="s">
        <v>82</v>
      </c>
      <c r="AX5" s="17" t="s">
        <v>52</v>
      </c>
      <c r="AZ5" s="119" t="s">
        <v>0</v>
      </c>
      <c r="BA5" s="120" t="s">
        <v>86</v>
      </c>
      <c r="BB5" s="120" t="s">
        <v>82</v>
      </c>
      <c r="BC5" s="17" t="s">
        <v>52</v>
      </c>
      <c r="BE5" s="119" t="s">
        <v>0</v>
      </c>
      <c r="BF5" s="120" t="s">
        <v>86</v>
      </c>
      <c r="BG5" s="120" t="s">
        <v>82</v>
      </c>
      <c r="BH5" s="17" t="s">
        <v>52</v>
      </c>
      <c r="BJ5" s="119" t="s">
        <v>0</v>
      </c>
      <c r="BK5" s="120" t="s">
        <v>86</v>
      </c>
      <c r="BL5" s="120" t="s">
        <v>82</v>
      </c>
      <c r="BM5" s="17" t="s">
        <v>52</v>
      </c>
    </row>
    <row r="6" spans="2:65" ht="24" customHeight="1">
      <c r="B6" s="121"/>
      <c r="C6" s="123" t="s">
        <v>9</v>
      </c>
      <c r="D6" s="122" t="s">
        <v>83</v>
      </c>
      <c r="E6" s="19" t="s">
        <v>9</v>
      </c>
      <c r="G6" s="121"/>
      <c r="H6" s="123" t="s">
        <v>9</v>
      </c>
      <c r="I6" s="122" t="s">
        <v>83</v>
      </c>
      <c r="J6" s="19" t="s">
        <v>9</v>
      </c>
      <c r="L6" s="121"/>
      <c r="M6" s="123" t="s">
        <v>9</v>
      </c>
      <c r="N6" s="122" t="s">
        <v>83</v>
      </c>
      <c r="O6" s="19" t="s">
        <v>9</v>
      </c>
      <c r="Q6" s="121"/>
      <c r="R6" s="123" t="s">
        <v>9</v>
      </c>
      <c r="S6" s="122" t="s">
        <v>83</v>
      </c>
      <c r="T6" s="19" t="s">
        <v>9</v>
      </c>
      <c r="V6" s="121"/>
      <c r="W6" s="123" t="s">
        <v>9</v>
      </c>
      <c r="X6" s="122" t="s">
        <v>83</v>
      </c>
      <c r="Y6" s="19" t="s">
        <v>9</v>
      </c>
      <c r="AA6" s="121"/>
      <c r="AB6" s="123" t="s">
        <v>9</v>
      </c>
      <c r="AC6" s="122" t="s">
        <v>83</v>
      </c>
      <c r="AD6" s="19" t="s">
        <v>9</v>
      </c>
      <c r="AF6" s="121"/>
      <c r="AG6" s="123" t="s">
        <v>9</v>
      </c>
      <c r="AH6" s="122" t="s">
        <v>83</v>
      </c>
      <c r="AI6" s="19" t="s">
        <v>9</v>
      </c>
      <c r="AK6" s="121"/>
      <c r="AL6" s="123" t="s">
        <v>9</v>
      </c>
      <c r="AM6" s="122" t="s">
        <v>83</v>
      </c>
      <c r="AN6" s="19" t="s">
        <v>9</v>
      </c>
      <c r="AP6" s="121"/>
      <c r="AQ6" s="123" t="s">
        <v>9</v>
      </c>
      <c r="AR6" s="122" t="s">
        <v>83</v>
      </c>
      <c r="AS6" s="19" t="s">
        <v>9</v>
      </c>
      <c r="AU6" s="121"/>
      <c r="AV6" s="123" t="s">
        <v>9</v>
      </c>
      <c r="AW6" s="122" t="s">
        <v>83</v>
      </c>
      <c r="AX6" s="19" t="s">
        <v>9</v>
      </c>
      <c r="AZ6" s="121"/>
      <c r="BA6" s="123" t="s">
        <v>9</v>
      </c>
      <c r="BB6" s="122" t="s">
        <v>83</v>
      </c>
      <c r="BC6" s="19" t="s">
        <v>9</v>
      </c>
      <c r="BE6" s="121"/>
      <c r="BF6" s="123" t="s">
        <v>9</v>
      </c>
      <c r="BG6" s="122" t="s">
        <v>83</v>
      </c>
      <c r="BH6" s="19" t="s">
        <v>9</v>
      </c>
      <c r="BJ6" s="121"/>
      <c r="BK6" s="123" t="s">
        <v>9</v>
      </c>
      <c r="BL6" s="122" t="s">
        <v>83</v>
      </c>
      <c r="BM6" s="19" t="s">
        <v>9</v>
      </c>
    </row>
    <row r="7" spans="2:65">
      <c r="C7" s="124" t="s">
        <v>2</v>
      </c>
      <c r="D7" s="124" t="s">
        <v>4</v>
      </c>
      <c r="E7" s="124" t="s">
        <v>23</v>
      </c>
      <c r="H7" s="124" t="s">
        <v>2</v>
      </c>
      <c r="I7" s="124" t="s">
        <v>4</v>
      </c>
      <c r="J7" s="124" t="s">
        <v>23</v>
      </c>
      <c r="M7" s="124" t="s">
        <v>2</v>
      </c>
      <c r="N7" s="124" t="s">
        <v>4</v>
      </c>
      <c r="O7" s="124" t="s">
        <v>23</v>
      </c>
      <c r="R7" s="124" t="s">
        <v>2</v>
      </c>
      <c r="S7" s="124" t="s">
        <v>4</v>
      </c>
      <c r="T7" s="124" t="s">
        <v>23</v>
      </c>
      <c r="W7" s="124" t="s">
        <v>2</v>
      </c>
      <c r="X7" s="124" t="s">
        <v>4</v>
      </c>
      <c r="Y7" s="124" t="s">
        <v>23</v>
      </c>
      <c r="AB7" s="124" t="s">
        <v>2</v>
      </c>
      <c r="AC7" s="124" t="s">
        <v>4</v>
      </c>
      <c r="AD7" s="124" t="s">
        <v>23</v>
      </c>
      <c r="AG7" s="124" t="s">
        <v>2</v>
      </c>
      <c r="AH7" s="124" t="s">
        <v>4</v>
      </c>
      <c r="AI7" s="124" t="s">
        <v>23</v>
      </c>
      <c r="AL7" s="124" t="s">
        <v>2</v>
      </c>
      <c r="AM7" s="124" t="s">
        <v>4</v>
      </c>
      <c r="AN7" s="124" t="s">
        <v>23</v>
      </c>
      <c r="AQ7" s="124" t="s">
        <v>2</v>
      </c>
      <c r="AR7" s="124" t="s">
        <v>4</v>
      </c>
      <c r="AS7" s="124" t="s">
        <v>23</v>
      </c>
      <c r="AV7" s="124" t="s">
        <v>2</v>
      </c>
      <c r="AW7" s="124" t="s">
        <v>4</v>
      </c>
      <c r="AX7" s="124" t="s">
        <v>23</v>
      </c>
      <c r="BA7" s="124" t="s">
        <v>2</v>
      </c>
      <c r="BB7" s="124" t="s">
        <v>4</v>
      </c>
      <c r="BC7" s="124" t="s">
        <v>23</v>
      </c>
      <c r="BF7" s="124" t="s">
        <v>2</v>
      </c>
      <c r="BG7" s="124" t="s">
        <v>4</v>
      </c>
      <c r="BH7" s="124" t="s">
        <v>23</v>
      </c>
      <c r="BK7" s="124" t="s">
        <v>2</v>
      </c>
      <c r="BL7" s="124" t="s">
        <v>4</v>
      </c>
      <c r="BM7" s="124" t="s">
        <v>23</v>
      </c>
    </row>
    <row r="8" spans="2:65" ht="6" customHeight="1">
      <c r="BG8" s="116"/>
      <c r="BL8" s="116"/>
    </row>
    <row r="9" spans="2:65">
      <c r="B9" s="342" t="str">
        <f>B4</f>
        <v>Aeolus_Wyoming - to - Utah S, Expansion</v>
      </c>
      <c r="D9" s="118"/>
      <c r="E9" s="118"/>
      <c r="G9" s="342" t="str">
        <f>G4</f>
        <v>Utah S - to - Utah N, Expansion</v>
      </c>
      <c r="I9" s="118"/>
      <c r="J9" s="118"/>
      <c r="L9" s="342" t="str">
        <f>L4</f>
        <v>Portland NC - Willamette V, Expansion</v>
      </c>
      <c r="N9" s="118"/>
      <c r="O9" s="118"/>
      <c r="Q9" s="342" t="str">
        <f>Q4</f>
        <v>Portland NC - to - Southern Oregon, Expansion</v>
      </c>
      <c r="S9" s="118"/>
      <c r="T9" s="118"/>
      <c r="V9" s="342" t="str">
        <f>V4</f>
        <v>Central OR - to - Willamette V, Expansion</v>
      </c>
      <c r="X9" s="118"/>
      <c r="Y9" s="118"/>
      <c r="AA9" s="342" t="s">
        <v>148</v>
      </c>
      <c r="AC9" s="118"/>
      <c r="AD9" s="118"/>
      <c r="AF9" s="342" t="s">
        <v>149</v>
      </c>
      <c r="AH9" s="118"/>
      <c r="AI9" s="118"/>
      <c r="AK9" s="342" t="str">
        <f>AK4</f>
        <v>Portland NC, Transmission Integration</v>
      </c>
      <c r="AM9" s="118"/>
      <c r="AN9" s="118"/>
      <c r="AP9" s="342" t="str">
        <f>AP4</f>
        <v>Southern OR, Transmission Integration 2028</v>
      </c>
      <c r="AR9" s="118"/>
      <c r="AS9" s="118"/>
      <c r="AU9" s="342" t="str">
        <f>AU4</f>
        <v>Utah N, Transmission Integration</v>
      </c>
      <c r="AW9" s="118"/>
      <c r="AX9" s="118"/>
      <c r="AZ9" s="342" t="str">
        <f>AZ4</f>
        <v>Utah S, Transmission Integration</v>
      </c>
      <c r="BB9" s="118"/>
      <c r="BC9" s="118"/>
      <c r="BE9" s="342" t="str">
        <f>BE4</f>
        <v>Willamette V, Transmission Integration</v>
      </c>
      <c r="BG9" s="118"/>
      <c r="BH9" s="118"/>
      <c r="BJ9" s="342" t="str">
        <f>BJ4</f>
        <v>Yakima, Transmission Integration</v>
      </c>
      <c r="BL9" s="118"/>
      <c r="BM9" s="118"/>
    </row>
    <row r="10" spans="2:65">
      <c r="B10" s="134">
        <v>2023</v>
      </c>
      <c r="C10" s="127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4">
        <v>12</v>
      </c>
      <c r="E10" s="129">
        <f t="shared" ref="E10:E32" si="0">SUM(C10:C10)*D10/12</f>
        <v>0</v>
      </c>
      <c r="F10" s="118"/>
      <c r="G10" s="134">
        <v>2023</v>
      </c>
      <c r="H10" s="127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4">
        <v>12</v>
      </c>
      <c r="J10" s="129">
        <f t="shared" ref="J10:J32" si="1">SUM(H10:H10)*I10/12</f>
        <v>0</v>
      </c>
      <c r="K10" s="118"/>
      <c r="L10" s="134">
        <v>2023</v>
      </c>
      <c r="M10" s="127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4">
        <v>12</v>
      </c>
      <c r="O10" s="129">
        <f t="shared" ref="O10:O32" si="2">SUM(M10:M10)*N10/12</f>
        <v>0</v>
      </c>
      <c r="P10" s="133"/>
      <c r="Q10" s="134">
        <f>$B10</f>
        <v>2023</v>
      </c>
      <c r="R10" s="127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4">
        <v>12</v>
      </c>
      <c r="T10" s="129">
        <f t="shared" ref="T10:T32" si="3">SUM(R10:R10)*S10/12</f>
        <v>0</v>
      </c>
      <c r="U10" s="118"/>
      <c r="V10" s="134">
        <f>$B10</f>
        <v>2023</v>
      </c>
      <c r="W10" s="127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4">
        <v>12</v>
      </c>
      <c r="Y10" s="129">
        <f t="shared" ref="Y10:Y32" si="4">SUM(W10:W10)*X10/12</f>
        <v>0</v>
      </c>
      <c r="Z10" s="118"/>
      <c r="AA10" s="134">
        <f>$B10</f>
        <v>2023</v>
      </c>
      <c r="AB10" s="127">
        <f>IF($B10&lt;AC$35,0,IF($B10=AC$35,AC$39,ROUND(AB9*(1+(IFERROR(INDEX($D$44:$D$52,MATCH($B10,$C$44:$C$52,0),1),0)+IFERROR(INDEX($G$44:$G$52,MATCH($B10,$F$44:$F$52,0),1),0)+IFERROR(INDEX($J$44:$J$52,MATCH($B10,$I$44:$I$52,0),1),0))),2)))</f>
        <v>0</v>
      </c>
      <c r="AC10" s="134">
        <v>12</v>
      </c>
      <c r="AD10" s="129">
        <f t="shared" ref="AD10:AD32" si="5">SUM(AB10:AB10)*AC10/12</f>
        <v>0</v>
      </c>
      <c r="AE10" s="118"/>
      <c r="AF10" s="134">
        <f>$B10</f>
        <v>2023</v>
      </c>
      <c r="AG10" s="127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4">
        <v>12</v>
      </c>
      <c r="AI10" s="129">
        <f t="shared" ref="AI10:AI32" si="6">SUM(AG10:AG10)*AH10/12</f>
        <v>0</v>
      </c>
      <c r="AJ10" s="118"/>
      <c r="AK10" s="134">
        <f>$B10</f>
        <v>2023</v>
      </c>
      <c r="AL10" s="127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4">
        <v>12</v>
      </c>
      <c r="AN10" s="129">
        <f t="shared" ref="AN10:AN32" si="7">SUM(AL10:AL10)*AM10/12</f>
        <v>0</v>
      </c>
      <c r="AO10" s="118"/>
      <c r="AP10" s="134">
        <f>$B10</f>
        <v>2023</v>
      </c>
      <c r="AQ10" s="127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4">
        <v>12</v>
      </c>
      <c r="AS10" s="129">
        <f t="shared" ref="AS10:AS32" si="8">SUM(AQ10:AQ10)*AR10/12</f>
        <v>0</v>
      </c>
      <c r="AT10" s="118"/>
      <c r="AU10" s="134">
        <f>$B10</f>
        <v>2023</v>
      </c>
      <c r="AV10" s="127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4">
        <v>12</v>
      </c>
      <c r="AX10" s="129">
        <f t="shared" ref="AX10:AX32" si="9">SUM(AV10:AV10)*AW10/12</f>
        <v>0</v>
      </c>
      <c r="AY10" s="118"/>
      <c r="AZ10" s="134">
        <f>V10</f>
        <v>2023</v>
      </c>
      <c r="BA10" s="127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4">
        <v>12</v>
      </c>
      <c r="BC10" s="129">
        <f t="shared" ref="BC10:BC32" si="10">SUM(BA10:BA10)*BB10/12</f>
        <v>0</v>
      </c>
      <c r="BE10" s="134">
        <f>AA10</f>
        <v>2023</v>
      </c>
      <c r="BF10" s="127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4">
        <v>12</v>
      </c>
      <c r="BH10" s="129">
        <f t="shared" ref="BH10:BH32" si="11">SUM(BF10:BF10)*BG10/12</f>
        <v>0</v>
      </c>
      <c r="BJ10" s="134">
        <f>AF10</f>
        <v>2023</v>
      </c>
      <c r="BK10" s="127">
        <f>IF($B10&lt;BL$35,0,IF($B10=BL$35,BL$39,ROUND(BK9*(1+(IFERROR(INDEX($D$44:$D$52,MATCH($B10,$C$44:$C$52,0),1),0)+IFERROR(INDEX($G$44:$G$52,MATCH($B10,$F$44:$F$52,0),1),0)+IFERROR(INDEX($J$44:$J$52,MATCH($B10,$I$44:$I$52,0),1),0))),2)))</f>
        <v>0</v>
      </c>
      <c r="BL10" s="134">
        <v>12</v>
      </c>
      <c r="BM10" s="129">
        <f t="shared" ref="BM10:BM32" si="12">SUM(BK10:BK10)*BL10/12</f>
        <v>0</v>
      </c>
    </row>
    <row r="11" spans="2:65">
      <c r="B11" s="134">
        <f t="shared" ref="B11:B32" si="13">B10+1</f>
        <v>2024</v>
      </c>
      <c r="C11" s="127">
        <f>IF($B11&lt;D$35,0,IF($B11=D$35,D$39,ROUND(C10*(1+(IFERROR(INDEX($D$44:$D$52,MATCH($B11,$C$44:$C$52,0),1),0)+IFERROR(INDEX($G$44:$G$52,MATCH($B11,$F$44:$F$52,0),1),0)+IFERROR(INDEX($J$44:$J$52,MATCH($B11,$I$44:$I$52,0),1),0))),2)))</f>
        <v>0</v>
      </c>
      <c r="D11" s="134">
        <v>12</v>
      </c>
      <c r="E11" s="129">
        <f t="shared" si="0"/>
        <v>0</v>
      </c>
      <c r="F11" s="118"/>
      <c r="G11" s="134">
        <f t="shared" ref="G11:G32" si="14">G10+1</f>
        <v>2024</v>
      </c>
      <c r="H11" s="127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4">
        <v>12</v>
      </c>
      <c r="J11" s="129">
        <f t="shared" si="1"/>
        <v>0</v>
      </c>
      <c r="K11" s="118"/>
      <c r="L11" s="134">
        <f t="shared" ref="L11:L32" si="15">L10+1</f>
        <v>2024</v>
      </c>
      <c r="M11" s="127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4">
        <v>12</v>
      </c>
      <c r="O11" s="129">
        <f t="shared" si="2"/>
        <v>0</v>
      </c>
      <c r="P11" s="133"/>
      <c r="Q11" s="134">
        <f t="shared" ref="Q11:Q32" si="16">Q10+1</f>
        <v>2024</v>
      </c>
      <c r="R11" s="127">
        <f>IF($B11&lt;S$35,0,IF($B11=S$35,S$39,ROUND(R10*(1+(IFERROR(INDEX($D$44:$D$52,MATCH($B11,$C$44:$C$52,0),1),0)+IFERROR(INDEX($G$44:$G$52,MATCH($B11,$F$44:$F$52,0),1),0)+IFERROR(INDEX($J$44:$J$52,MATCH($B11,$I$44:$I$52,0),1),0))),2)))</f>
        <v>0</v>
      </c>
      <c r="S11" s="134">
        <v>12</v>
      </c>
      <c r="T11" s="129">
        <f t="shared" si="3"/>
        <v>0</v>
      </c>
      <c r="U11" s="118"/>
      <c r="V11" s="134">
        <f t="shared" ref="V11:V32" si="17">V10+1</f>
        <v>2024</v>
      </c>
      <c r="W11" s="127">
        <f>IF($B11&lt;X$35,0,IF($B11=X$35,X$39,ROUND(W10*(1+(IFERROR(INDEX($D$44:$D$52,MATCH($B11,$C$44:$C$52,0),1),0)+IFERROR(INDEX($G$44:$G$52,MATCH($B11,$F$44:$F$52,0),1),0)+IFERROR(INDEX($J$44:$J$52,MATCH($B11,$I$44:$I$52,0),1),0))),2)))</f>
        <v>0</v>
      </c>
      <c r="X11" s="134">
        <v>12</v>
      </c>
      <c r="Y11" s="129">
        <f t="shared" si="4"/>
        <v>0</v>
      </c>
      <c r="Z11" s="118"/>
      <c r="AA11" s="134">
        <f t="shared" ref="AA11:AA32" si="18">AA10+1</f>
        <v>2024</v>
      </c>
      <c r="AB11" s="127">
        <f>IF($B11&lt;AC$35,0,IF($B11=AC$35,AC$39,ROUND(AB10*(1+(IFERROR(INDEX($D$44:$D$52,MATCH($B11,$C$44:$C$52,0),1),0)+IFERROR(INDEX($G$44:$G$52,MATCH($B11,$F$44:$F$52,0),1),0)+IFERROR(INDEX($J$44:$J$52,MATCH($B11,$I$44:$I$52,0),1),0))),2)))</f>
        <v>0</v>
      </c>
      <c r="AC11" s="134">
        <v>12</v>
      </c>
      <c r="AD11" s="129">
        <f t="shared" si="5"/>
        <v>0</v>
      </c>
      <c r="AE11" s="118"/>
      <c r="AF11" s="134">
        <f t="shared" ref="AF11:AF32" si="19">AF10+1</f>
        <v>2024</v>
      </c>
      <c r="AG11" s="127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4">
        <v>12</v>
      </c>
      <c r="AI11" s="129">
        <f t="shared" si="6"/>
        <v>0</v>
      </c>
      <c r="AJ11" s="118"/>
      <c r="AK11" s="134">
        <f t="shared" ref="AK11:AK32" si="20">AK10+1</f>
        <v>2024</v>
      </c>
      <c r="AL11" s="127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4">
        <v>12</v>
      </c>
      <c r="AN11" s="129">
        <f t="shared" si="7"/>
        <v>0</v>
      </c>
      <c r="AO11" s="118"/>
      <c r="AP11" s="134">
        <f t="shared" ref="AP11:AP32" si="21">AP10+1</f>
        <v>2024</v>
      </c>
      <c r="AQ11" s="127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4">
        <v>12</v>
      </c>
      <c r="AS11" s="129">
        <f t="shared" si="8"/>
        <v>0</v>
      </c>
      <c r="AT11" s="118"/>
      <c r="AU11" s="134">
        <f t="shared" ref="AU11:AU32" si="22">AU10+1</f>
        <v>2024</v>
      </c>
      <c r="AV11" s="127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4">
        <v>12</v>
      </c>
      <c r="AX11" s="129">
        <f t="shared" si="9"/>
        <v>0</v>
      </c>
      <c r="AY11" s="118"/>
      <c r="AZ11" s="333">
        <f t="shared" ref="AZ11:AZ32" si="23">AZ10+1</f>
        <v>2024</v>
      </c>
      <c r="BA11" s="127">
        <f>IF($B11&lt;BB$35,0,IF($B11=BB$35,BB$39,ROUND(BA10*(1+(IFERROR(INDEX($D$44:$D$52,MATCH($B11,$C$44:$C$52,0),1),0)+IFERROR(INDEX($G$44:$G$52,MATCH($B11,$F$44:$F$52,0),1),0)+IFERROR(INDEX($J$44:$J$52,MATCH($B11,$I$44:$I$52,0),1),0))),2)))</f>
        <v>578.93401308399336</v>
      </c>
      <c r="BB11" s="134">
        <v>12</v>
      </c>
      <c r="BC11" s="129">
        <f t="shared" si="10"/>
        <v>578.93401308399336</v>
      </c>
      <c r="BE11" s="134">
        <f t="shared" ref="BE11:BE32" si="24">BE10+1</f>
        <v>2024</v>
      </c>
      <c r="BF11" s="127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4">
        <v>12</v>
      </c>
      <c r="BH11" s="129">
        <f t="shared" si="11"/>
        <v>0</v>
      </c>
      <c r="BJ11" s="134">
        <f t="shared" ref="BJ11:BJ32" si="25">BJ10+1</f>
        <v>2024</v>
      </c>
      <c r="BK11" s="127">
        <f>IF($B11&lt;BL$35,0,IF($B11=BL$35,BL$39,ROUND(BK10*(1+(IFERROR(INDEX($D$44:$D$52,MATCH($B11,$C$44:$C$52,0),1),0)+IFERROR(INDEX($G$44:$G$52,MATCH($B11,$F$44:$F$52,0),1),0)+IFERROR(INDEX($J$44:$J$52,MATCH($B11,$I$44:$I$52,0),1),0))),2)))</f>
        <v>0</v>
      </c>
      <c r="BL11" s="134">
        <v>12</v>
      </c>
      <c r="BM11" s="129">
        <f t="shared" si="12"/>
        <v>0</v>
      </c>
    </row>
    <row r="12" spans="2:65">
      <c r="B12" s="333">
        <f t="shared" si="13"/>
        <v>2025</v>
      </c>
      <c r="C12" s="127">
        <f t="shared" ref="C12:C32" si="26">IF($B12&lt;D$35,0,IF($B12=D$35,D$39,ROUND(C11*(1+(IFERROR(INDEX($D$44:$D$52,MATCH($B12,$C$44:$C$52,0),1),0)+IFERROR(INDEX($G$44:$G$52,MATCH($B12,$F$44:$F$52,0),1),0)+IFERROR(INDEX($J$44:$J$52,MATCH($B12,$I$44:$I$52,0),1),0))),2)))</f>
        <v>58.544856686682266</v>
      </c>
      <c r="D12" s="134">
        <v>12</v>
      </c>
      <c r="E12" s="129">
        <f t="shared" si="0"/>
        <v>58.544856686682266</v>
      </c>
      <c r="F12" s="118"/>
      <c r="G12" s="134">
        <f t="shared" si="14"/>
        <v>2025</v>
      </c>
      <c r="H12" s="127">
        <f t="shared" ref="H12:H32" si="27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4">
        <v>12</v>
      </c>
      <c r="J12" s="129">
        <f t="shared" si="1"/>
        <v>0</v>
      </c>
      <c r="K12" s="118"/>
      <c r="L12" s="134">
        <f t="shared" si="15"/>
        <v>2025</v>
      </c>
      <c r="M12" s="127">
        <f t="shared" ref="M12:M32" si="28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4">
        <v>12</v>
      </c>
      <c r="O12" s="129">
        <f t="shared" si="2"/>
        <v>0</v>
      </c>
      <c r="Q12" s="134">
        <f t="shared" si="16"/>
        <v>2025</v>
      </c>
      <c r="R12" s="127">
        <f t="shared" ref="R12:R32" si="29">IF($B12&lt;S$35,0,IF($B12=S$35,S$39,ROUND(R11*(1+(IFERROR(INDEX($D$44:$D$52,MATCH($B12,$C$44:$C$52,0),1),0)+IFERROR(INDEX($G$44:$G$52,MATCH($B12,$F$44:$F$52,0),1),0)+IFERROR(INDEX($J$44:$J$52,MATCH($B12,$I$44:$I$52,0),1),0))),2)))</f>
        <v>0</v>
      </c>
      <c r="S12" s="134">
        <v>12</v>
      </c>
      <c r="T12" s="129">
        <f t="shared" si="3"/>
        <v>0</v>
      </c>
      <c r="U12" s="118"/>
      <c r="V12" s="134">
        <f t="shared" si="17"/>
        <v>2025</v>
      </c>
      <c r="W12" s="127">
        <f t="shared" ref="W12:W32" si="30">IF($B12&lt;X$35,0,IF($B12=X$35,X$39,ROUND(W11*(1+(IFERROR(INDEX($D$44:$D$52,MATCH($B12,$C$44:$C$52,0),1),0)+IFERROR(INDEX($G$44:$G$52,MATCH($B12,$F$44:$F$52,0),1),0)+IFERROR(INDEX($J$44:$J$52,MATCH($B12,$I$44:$I$52,0),1),0))),2)))</f>
        <v>0</v>
      </c>
      <c r="X12" s="134">
        <v>12</v>
      </c>
      <c r="Y12" s="129">
        <f t="shared" si="4"/>
        <v>0</v>
      </c>
      <c r="Z12" s="118"/>
      <c r="AA12" s="134">
        <f t="shared" si="18"/>
        <v>2025</v>
      </c>
      <c r="AB12" s="127">
        <f t="shared" ref="AB12:AB32" si="31">IF($B12&lt;AC$35,0,IF($B12=AC$35,AC$39,ROUND(AB11*(1+(IFERROR(INDEX($D$44:$D$52,MATCH($B12,$C$44:$C$52,0),1),0)+IFERROR(INDEX($G$44:$G$52,MATCH($B12,$F$44:$F$52,0),1),0)+IFERROR(INDEX($J$44:$J$52,MATCH($B12,$I$44:$I$52,0),1),0))),2)))</f>
        <v>0</v>
      </c>
      <c r="AC12" s="134">
        <v>12</v>
      </c>
      <c r="AD12" s="129">
        <f t="shared" si="5"/>
        <v>0</v>
      </c>
      <c r="AE12" s="118"/>
      <c r="AF12" s="134">
        <f t="shared" si="19"/>
        <v>2025</v>
      </c>
      <c r="AG12" s="127">
        <f t="shared" ref="AG12:AG32" si="32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4">
        <v>12</v>
      </c>
      <c r="AI12" s="129">
        <f t="shared" si="6"/>
        <v>0</v>
      </c>
      <c r="AJ12" s="118"/>
      <c r="AK12" s="134">
        <f t="shared" si="20"/>
        <v>2025</v>
      </c>
      <c r="AL12" s="127">
        <f t="shared" ref="AL12:AL32" si="33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4">
        <v>12</v>
      </c>
      <c r="AN12" s="129">
        <f t="shared" si="7"/>
        <v>0</v>
      </c>
      <c r="AO12" s="118"/>
      <c r="AP12" s="134">
        <f t="shared" si="21"/>
        <v>2025</v>
      </c>
      <c r="AQ12" s="127">
        <f t="shared" ref="AQ12:AQ32" si="34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4">
        <v>12</v>
      </c>
      <c r="AS12" s="129">
        <f t="shared" si="8"/>
        <v>0</v>
      </c>
      <c r="AT12" s="118"/>
      <c r="AU12" s="134">
        <f t="shared" si="22"/>
        <v>2025</v>
      </c>
      <c r="AV12" s="127">
        <f t="shared" ref="AV12:AV32" si="35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4">
        <v>12</v>
      </c>
      <c r="AX12" s="129">
        <f t="shared" si="9"/>
        <v>0</v>
      </c>
      <c r="AY12" s="118"/>
      <c r="AZ12" s="134">
        <f t="shared" si="23"/>
        <v>2025</v>
      </c>
      <c r="BA12" s="127">
        <f t="shared" ref="BA12:BA32" si="36">IF($B12&lt;BB$35,0,IF($B12=BB$35,BB$39,ROUND(BA11*(1+(IFERROR(INDEX($D$44:$D$52,MATCH($B12,$C$44:$C$52,0),1),0)+IFERROR(INDEX($G$44:$G$52,MATCH($B12,$F$44:$F$52,0),1),0)+IFERROR(INDEX($J$44:$J$52,MATCH($B12,$I$44:$I$52,0),1),0))),2)))</f>
        <v>592.25</v>
      </c>
      <c r="BB12" s="134">
        <v>12</v>
      </c>
      <c r="BC12" s="129">
        <f t="shared" si="10"/>
        <v>592.25</v>
      </c>
      <c r="BE12" s="134">
        <f t="shared" si="24"/>
        <v>2025</v>
      </c>
      <c r="BF12" s="127">
        <f t="shared" ref="BF12:BF32" si="37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4">
        <v>12</v>
      </c>
      <c r="BH12" s="129">
        <f t="shared" si="11"/>
        <v>0</v>
      </c>
      <c r="BJ12" s="134">
        <f t="shared" si="25"/>
        <v>2025</v>
      </c>
      <c r="BK12" s="127">
        <f t="shared" ref="BK12:BK32" si="38">IF($B12&lt;BL$35,0,IF($B12=BL$35,BL$39,ROUND(BK11*(1+(IFERROR(INDEX($D$44:$D$52,MATCH($B12,$C$44:$C$52,0),1),0)+IFERROR(INDEX($G$44:$G$52,MATCH($B12,$F$44:$F$52,0),1),0)+IFERROR(INDEX($J$44:$J$52,MATCH($B12,$I$44:$I$52,0),1),0))),2)))</f>
        <v>0</v>
      </c>
      <c r="BL12" s="134">
        <v>12</v>
      </c>
      <c r="BM12" s="129">
        <f t="shared" si="12"/>
        <v>0</v>
      </c>
    </row>
    <row r="13" spans="2:65">
      <c r="B13" s="134">
        <f t="shared" si="13"/>
        <v>2026</v>
      </c>
      <c r="C13" s="127">
        <f t="shared" si="26"/>
        <v>59.89</v>
      </c>
      <c r="D13" s="134">
        <v>12</v>
      </c>
      <c r="E13" s="129">
        <f t="shared" si="0"/>
        <v>59.890000000000008</v>
      </c>
      <c r="F13" s="118"/>
      <c r="G13" s="134">
        <f t="shared" si="14"/>
        <v>2026</v>
      </c>
      <c r="H13" s="127">
        <f t="shared" si="27"/>
        <v>0</v>
      </c>
      <c r="I13" s="134">
        <v>12</v>
      </c>
      <c r="J13" s="129">
        <f t="shared" si="1"/>
        <v>0</v>
      </c>
      <c r="K13" s="118"/>
      <c r="L13" s="134">
        <f t="shared" si="15"/>
        <v>2026</v>
      </c>
      <c r="M13" s="127">
        <f t="shared" si="28"/>
        <v>0</v>
      </c>
      <c r="N13" s="134">
        <v>12</v>
      </c>
      <c r="O13" s="129">
        <f t="shared" si="2"/>
        <v>0</v>
      </c>
      <c r="Q13" s="134">
        <f t="shared" si="16"/>
        <v>2026</v>
      </c>
      <c r="R13" s="127">
        <f t="shared" si="29"/>
        <v>0</v>
      </c>
      <c r="S13" s="134">
        <v>12</v>
      </c>
      <c r="T13" s="129">
        <f t="shared" si="3"/>
        <v>0</v>
      </c>
      <c r="U13" s="118"/>
      <c r="V13" s="134">
        <f t="shared" si="17"/>
        <v>2026</v>
      </c>
      <c r="W13" s="127">
        <f t="shared" si="30"/>
        <v>0</v>
      </c>
      <c r="X13" s="134">
        <v>12</v>
      </c>
      <c r="Y13" s="129">
        <f t="shared" si="4"/>
        <v>0</v>
      </c>
      <c r="Z13" s="118"/>
      <c r="AA13" s="333">
        <f t="shared" si="18"/>
        <v>2026</v>
      </c>
      <c r="AB13" s="127">
        <f t="shared" si="31"/>
        <v>54.441007169221002</v>
      </c>
      <c r="AC13" s="134">
        <v>12</v>
      </c>
      <c r="AD13" s="129">
        <f t="shared" si="5"/>
        <v>54.441007169221002</v>
      </c>
      <c r="AE13" s="118"/>
      <c r="AF13" s="134">
        <f t="shared" si="19"/>
        <v>2026</v>
      </c>
      <c r="AG13" s="127">
        <f t="shared" si="32"/>
        <v>0</v>
      </c>
      <c r="AH13" s="134">
        <v>12</v>
      </c>
      <c r="AI13" s="129">
        <f t="shared" si="6"/>
        <v>0</v>
      </c>
      <c r="AJ13" s="118"/>
      <c r="AK13" s="333">
        <f t="shared" si="20"/>
        <v>2026</v>
      </c>
      <c r="AL13" s="127">
        <f t="shared" si="33"/>
        <v>24.740174248339812</v>
      </c>
      <c r="AM13" s="134">
        <v>12</v>
      </c>
      <c r="AN13" s="129">
        <f t="shared" si="7"/>
        <v>24.740174248339812</v>
      </c>
      <c r="AO13" s="118"/>
      <c r="AP13" s="134">
        <f t="shared" si="21"/>
        <v>2026</v>
      </c>
      <c r="AQ13" s="127">
        <f t="shared" si="34"/>
        <v>0</v>
      </c>
      <c r="AR13" s="134">
        <v>12</v>
      </c>
      <c r="AS13" s="129">
        <f t="shared" si="8"/>
        <v>0</v>
      </c>
      <c r="AT13" s="118"/>
      <c r="AU13" s="134">
        <f t="shared" si="22"/>
        <v>2026</v>
      </c>
      <c r="AV13" s="127">
        <f t="shared" si="35"/>
        <v>0</v>
      </c>
      <c r="AW13" s="134">
        <v>12</v>
      </c>
      <c r="AX13" s="129">
        <f t="shared" si="9"/>
        <v>0</v>
      </c>
      <c r="AY13" s="118"/>
      <c r="AZ13" s="134">
        <f t="shared" si="23"/>
        <v>2026</v>
      </c>
      <c r="BA13" s="127">
        <f t="shared" si="36"/>
        <v>605.87</v>
      </c>
      <c r="BB13" s="134">
        <v>12</v>
      </c>
      <c r="BC13" s="129">
        <f t="shared" si="10"/>
        <v>605.87</v>
      </c>
      <c r="BE13" s="333">
        <f t="shared" si="24"/>
        <v>2026</v>
      </c>
      <c r="BF13" s="127">
        <f t="shared" si="37"/>
        <v>2.5355612781817829</v>
      </c>
      <c r="BG13" s="134">
        <v>12</v>
      </c>
      <c r="BH13" s="129">
        <f t="shared" si="11"/>
        <v>2.5355612781817829</v>
      </c>
      <c r="BJ13" s="134">
        <f t="shared" si="25"/>
        <v>2026</v>
      </c>
      <c r="BK13" s="127">
        <f t="shared" si="38"/>
        <v>0</v>
      </c>
      <c r="BL13" s="134">
        <v>12</v>
      </c>
      <c r="BM13" s="129">
        <f t="shared" si="12"/>
        <v>0</v>
      </c>
    </row>
    <row r="14" spans="2:65">
      <c r="B14" s="134">
        <f t="shared" si="13"/>
        <v>2027</v>
      </c>
      <c r="C14" s="127">
        <f t="shared" si="26"/>
        <v>61.33</v>
      </c>
      <c r="D14" s="134">
        <v>12</v>
      </c>
      <c r="E14" s="129">
        <f t="shared" si="0"/>
        <v>61.330000000000005</v>
      </c>
      <c r="F14" s="118"/>
      <c r="G14" s="134">
        <f t="shared" si="14"/>
        <v>2027</v>
      </c>
      <c r="H14" s="127">
        <f t="shared" si="27"/>
        <v>0</v>
      </c>
      <c r="I14" s="134">
        <v>12</v>
      </c>
      <c r="J14" s="129">
        <f t="shared" si="1"/>
        <v>0</v>
      </c>
      <c r="K14" s="118"/>
      <c r="L14" s="134">
        <f t="shared" si="15"/>
        <v>2027</v>
      </c>
      <c r="M14" s="127">
        <f t="shared" si="28"/>
        <v>0</v>
      </c>
      <c r="N14" s="134">
        <v>12</v>
      </c>
      <c r="O14" s="129">
        <f t="shared" si="2"/>
        <v>0</v>
      </c>
      <c r="Q14" s="134">
        <f t="shared" si="16"/>
        <v>2027</v>
      </c>
      <c r="R14" s="127">
        <f t="shared" si="29"/>
        <v>0</v>
      </c>
      <c r="S14" s="134">
        <v>12</v>
      </c>
      <c r="T14" s="129">
        <f t="shared" si="3"/>
        <v>0</v>
      </c>
      <c r="U14" s="118"/>
      <c r="V14" s="134">
        <f t="shared" si="17"/>
        <v>2027</v>
      </c>
      <c r="W14" s="127">
        <f t="shared" si="30"/>
        <v>0</v>
      </c>
      <c r="X14" s="134">
        <v>12</v>
      </c>
      <c r="Y14" s="129">
        <f t="shared" si="4"/>
        <v>0</v>
      </c>
      <c r="Z14" s="118"/>
      <c r="AA14" s="134">
        <f t="shared" si="18"/>
        <v>2027</v>
      </c>
      <c r="AB14" s="127">
        <f t="shared" si="31"/>
        <v>55.75</v>
      </c>
      <c r="AC14" s="134">
        <v>12</v>
      </c>
      <c r="AD14" s="129">
        <f t="shared" si="5"/>
        <v>55.75</v>
      </c>
      <c r="AE14" s="118"/>
      <c r="AF14" s="134">
        <f t="shared" si="19"/>
        <v>2027</v>
      </c>
      <c r="AG14" s="127">
        <f t="shared" si="32"/>
        <v>0</v>
      </c>
      <c r="AH14" s="134">
        <v>12</v>
      </c>
      <c r="AI14" s="129">
        <f t="shared" si="6"/>
        <v>0</v>
      </c>
      <c r="AJ14" s="118"/>
      <c r="AK14" s="134">
        <f t="shared" si="20"/>
        <v>2027</v>
      </c>
      <c r="AL14" s="127">
        <f t="shared" si="33"/>
        <v>25.33</v>
      </c>
      <c r="AM14" s="134">
        <v>12</v>
      </c>
      <c r="AN14" s="129">
        <f t="shared" si="7"/>
        <v>25.33</v>
      </c>
      <c r="AO14" s="118"/>
      <c r="AP14" s="134">
        <f t="shared" si="21"/>
        <v>2027</v>
      </c>
      <c r="AQ14" s="127">
        <f t="shared" si="34"/>
        <v>0</v>
      </c>
      <c r="AR14" s="134">
        <v>12</v>
      </c>
      <c r="AS14" s="129">
        <f t="shared" si="8"/>
        <v>0</v>
      </c>
      <c r="AT14" s="118"/>
      <c r="AU14" s="134">
        <f t="shared" si="22"/>
        <v>2027</v>
      </c>
      <c r="AV14" s="127">
        <f t="shared" si="35"/>
        <v>0</v>
      </c>
      <c r="AW14" s="134">
        <v>12</v>
      </c>
      <c r="AX14" s="129">
        <f t="shared" si="9"/>
        <v>0</v>
      </c>
      <c r="AY14" s="118"/>
      <c r="AZ14" s="134">
        <f t="shared" si="23"/>
        <v>2027</v>
      </c>
      <c r="BA14" s="127">
        <f t="shared" si="36"/>
        <v>620.41</v>
      </c>
      <c r="BB14" s="134">
        <v>12</v>
      </c>
      <c r="BC14" s="129">
        <f t="shared" si="10"/>
        <v>620.41</v>
      </c>
      <c r="BD14" s="172"/>
      <c r="BE14" s="134">
        <f t="shared" si="24"/>
        <v>2027</v>
      </c>
      <c r="BF14" s="127">
        <f t="shared" si="37"/>
        <v>2.6</v>
      </c>
      <c r="BG14" s="134">
        <v>12</v>
      </c>
      <c r="BH14" s="129">
        <f t="shared" si="11"/>
        <v>2.6</v>
      </c>
      <c r="BJ14" s="134">
        <f t="shared" si="25"/>
        <v>2027</v>
      </c>
      <c r="BK14" s="127">
        <f t="shared" si="38"/>
        <v>0</v>
      </c>
      <c r="BL14" s="134">
        <v>12</v>
      </c>
      <c r="BM14" s="129">
        <f t="shared" si="12"/>
        <v>0</v>
      </c>
    </row>
    <row r="15" spans="2:65">
      <c r="B15" s="134">
        <f t="shared" si="13"/>
        <v>2028</v>
      </c>
      <c r="C15" s="127">
        <f t="shared" si="26"/>
        <v>62.8</v>
      </c>
      <c r="D15" s="134">
        <v>12</v>
      </c>
      <c r="E15" s="129">
        <f t="shared" si="0"/>
        <v>62.79999999999999</v>
      </c>
      <c r="F15" s="118"/>
      <c r="G15" s="134">
        <f t="shared" si="14"/>
        <v>2028</v>
      </c>
      <c r="H15" s="127">
        <f t="shared" si="27"/>
        <v>0</v>
      </c>
      <c r="I15" s="134">
        <v>12</v>
      </c>
      <c r="J15" s="129">
        <f t="shared" si="1"/>
        <v>0</v>
      </c>
      <c r="K15" s="118"/>
      <c r="L15" s="134">
        <f t="shared" si="15"/>
        <v>2028</v>
      </c>
      <c r="M15" s="127">
        <f t="shared" si="28"/>
        <v>0</v>
      </c>
      <c r="N15" s="134">
        <v>12</v>
      </c>
      <c r="O15" s="129">
        <f t="shared" si="2"/>
        <v>0</v>
      </c>
      <c r="Q15" s="134">
        <f t="shared" si="16"/>
        <v>2028</v>
      </c>
      <c r="R15" s="127">
        <f t="shared" si="29"/>
        <v>0</v>
      </c>
      <c r="S15" s="134">
        <v>12</v>
      </c>
      <c r="T15" s="129">
        <f t="shared" si="3"/>
        <v>0</v>
      </c>
      <c r="U15" s="118"/>
      <c r="V15" s="134">
        <f t="shared" si="17"/>
        <v>2028</v>
      </c>
      <c r="W15" s="127">
        <f t="shared" si="30"/>
        <v>0</v>
      </c>
      <c r="X15" s="134">
        <v>12</v>
      </c>
      <c r="Y15" s="129">
        <f t="shared" si="4"/>
        <v>0</v>
      </c>
      <c r="Z15" s="118"/>
      <c r="AA15" s="134">
        <f t="shared" si="18"/>
        <v>2028</v>
      </c>
      <c r="AB15" s="127">
        <f t="shared" si="31"/>
        <v>57.09</v>
      </c>
      <c r="AC15" s="134">
        <v>12</v>
      </c>
      <c r="AD15" s="129">
        <f t="shared" si="5"/>
        <v>57.09</v>
      </c>
      <c r="AE15" s="118"/>
      <c r="AF15" s="134">
        <f t="shared" si="19"/>
        <v>2028</v>
      </c>
      <c r="AG15" s="127">
        <f t="shared" si="32"/>
        <v>0</v>
      </c>
      <c r="AH15" s="134">
        <v>12</v>
      </c>
      <c r="AI15" s="129">
        <f t="shared" si="6"/>
        <v>0</v>
      </c>
      <c r="AJ15" s="118"/>
      <c r="AK15" s="134">
        <f t="shared" si="20"/>
        <v>2028</v>
      </c>
      <c r="AL15" s="127">
        <f t="shared" si="33"/>
        <v>25.94</v>
      </c>
      <c r="AM15" s="134">
        <v>12</v>
      </c>
      <c r="AN15" s="129">
        <f t="shared" si="7"/>
        <v>25.94</v>
      </c>
      <c r="AO15" s="118"/>
      <c r="AP15" s="333">
        <f t="shared" si="21"/>
        <v>2028</v>
      </c>
      <c r="AQ15" s="127">
        <f t="shared" si="34"/>
        <v>9.0939944302083777</v>
      </c>
      <c r="AR15" s="134">
        <v>12</v>
      </c>
      <c r="AS15" s="129">
        <f t="shared" si="8"/>
        <v>9.0939944302083777</v>
      </c>
      <c r="AT15" s="118"/>
      <c r="AU15" s="134">
        <f t="shared" si="22"/>
        <v>2028</v>
      </c>
      <c r="AV15" s="127">
        <f t="shared" si="35"/>
        <v>0</v>
      </c>
      <c r="AW15" s="134">
        <v>12</v>
      </c>
      <c r="AX15" s="129">
        <f t="shared" si="9"/>
        <v>0</v>
      </c>
      <c r="AY15" s="118"/>
      <c r="AZ15" s="134">
        <f t="shared" si="23"/>
        <v>2028</v>
      </c>
      <c r="BA15" s="127">
        <f t="shared" si="36"/>
        <v>635.29999999999995</v>
      </c>
      <c r="BB15" s="134">
        <v>12</v>
      </c>
      <c r="BC15" s="129">
        <f t="shared" si="10"/>
        <v>635.29999999999995</v>
      </c>
      <c r="BE15" s="134">
        <f t="shared" si="24"/>
        <v>2028</v>
      </c>
      <c r="BF15" s="127">
        <f t="shared" si="37"/>
        <v>2.66</v>
      </c>
      <c r="BG15" s="134">
        <v>12</v>
      </c>
      <c r="BH15" s="129">
        <f t="shared" si="11"/>
        <v>2.66</v>
      </c>
      <c r="BJ15" s="134">
        <f t="shared" si="25"/>
        <v>2028</v>
      </c>
      <c r="BK15" s="127">
        <f t="shared" si="38"/>
        <v>0</v>
      </c>
      <c r="BL15" s="134">
        <v>12</v>
      </c>
      <c r="BM15" s="129">
        <f t="shared" si="12"/>
        <v>0</v>
      </c>
    </row>
    <row r="16" spans="2:65">
      <c r="B16" s="134">
        <f t="shared" si="13"/>
        <v>2029</v>
      </c>
      <c r="C16" s="127">
        <f t="shared" si="26"/>
        <v>64.31</v>
      </c>
      <c r="D16" s="134">
        <v>12</v>
      </c>
      <c r="E16" s="129">
        <f t="shared" si="0"/>
        <v>64.31</v>
      </c>
      <c r="F16" s="118"/>
      <c r="G16" s="134">
        <f t="shared" si="14"/>
        <v>2029</v>
      </c>
      <c r="H16" s="127">
        <f t="shared" si="27"/>
        <v>0</v>
      </c>
      <c r="I16" s="134">
        <v>12</v>
      </c>
      <c r="J16" s="129">
        <f t="shared" si="1"/>
        <v>0</v>
      </c>
      <c r="K16" s="118"/>
      <c r="L16" s="134">
        <f t="shared" si="15"/>
        <v>2029</v>
      </c>
      <c r="M16" s="127">
        <f t="shared" si="28"/>
        <v>0</v>
      </c>
      <c r="N16" s="134">
        <v>12</v>
      </c>
      <c r="O16" s="129">
        <f t="shared" si="2"/>
        <v>0</v>
      </c>
      <c r="Q16" s="134">
        <f t="shared" si="16"/>
        <v>2029</v>
      </c>
      <c r="R16" s="127">
        <f t="shared" si="29"/>
        <v>0</v>
      </c>
      <c r="S16" s="134">
        <v>12</v>
      </c>
      <c r="T16" s="129">
        <f t="shared" si="3"/>
        <v>0</v>
      </c>
      <c r="U16" s="118"/>
      <c r="V16" s="134">
        <f t="shared" si="17"/>
        <v>2029</v>
      </c>
      <c r="W16" s="127">
        <f t="shared" si="30"/>
        <v>0</v>
      </c>
      <c r="X16" s="134">
        <v>12</v>
      </c>
      <c r="Y16" s="129">
        <f t="shared" si="4"/>
        <v>0</v>
      </c>
      <c r="Z16" s="118"/>
      <c r="AA16" s="134">
        <f t="shared" si="18"/>
        <v>2029</v>
      </c>
      <c r="AB16" s="127">
        <f t="shared" si="31"/>
        <v>58.46</v>
      </c>
      <c r="AC16" s="134">
        <v>12</v>
      </c>
      <c r="AD16" s="129">
        <f t="shared" si="5"/>
        <v>58.46</v>
      </c>
      <c r="AE16" s="118"/>
      <c r="AF16" s="134">
        <f t="shared" si="19"/>
        <v>2029</v>
      </c>
      <c r="AG16" s="127">
        <f t="shared" si="32"/>
        <v>0</v>
      </c>
      <c r="AH16" s="134">
        <v>12</v>
      </c>
      <c r="AI16" s="129">
        <f t="shared" si="6"/>
        <v>0</v>
      </c>
      <c r="AJ16" s="118"/>
      <c r="AK16" s="134">
        <f t="shared" si="20"/>
        <v>2029</v>
      </c>
      <c r="AL16" s="127">
        <f t="shared" si="33"/>
        <v>26.56</v>
      </c>
      <c r="AM16" s="134">
        <v>12</v>
      </c>
      <c r="AN16" s="129">
        <f t="shared" si="7"/>
        <v>26.56</v>
      </c>
      <c r="AO16" s="118"/>
      <c r="AP16" s="134">
        <f t="shared" si="21"/>
        <v>2029</v>
      </c>
      <c r="AQ16" s="127">
        <f t="shared" si="34"/>
        <v>9.31</v>
      </c>
      <c r="AR16" s="134">
        <v>12</v>
      </c>
      <c r="AS16" s="129">
        <f t="shared" si="8"/>
        <v>9.31</v>
      </c>
      <c r="AT16" s="118"/>
      <c r="AU16" s="134">
        <f t="shared" si="22"/>
        <v>2029</v>
      </c>
      <c r="AV16" s="127">
        <f t="shared" si="35"/>
        <v>0</v>
      </c>
      <c r="AW16" s="134">
        <v>12</v>
      </c>
      <c r="AX16" s="129">
        <f t="shared" si="9"/>
        <v>0</v>
      </c>
      <c r="AY16" s="118"/>
      <c r="AZ16" s="134">
        <f t="shared" si="23"/>
        <v>2029</v>
      </c>
      <c r="BA16" s="127">
        <f t="shared" si="36"/>
        <v>650.54999999999995</v>
      </c>
      <c r="BB16" s="134">
        <v>12</v>
      </c>
      <c r="BC16" s="129">
        <f t="shared" si="10"/>
        <v>650.54999999999995</v>
      </c>
      <c r="BE16" s="134">
        <f t="shared" si="24"/>
        <v>2029</v>
      </c>
      <c r="BF16" s="127">
        <f t="shared" si="37"/>
        <v>2.72</v>
      </c>
      <c r="BG16" s="134">
        <v>12</v>
      </c>
      <c r="BH16" s="129">
        <f t="shared" si="11"/>
        <v>2.72</v>
      </c>
      <c r="BJ16" s="134">
        <f t="shared" si="25"/>
        <v>2029</v>
      </c>
      <c r="BK16" s="127">
        <f t="shared" si="38"/>
        <v>0</v>
      </c>
      <c r="BL16" s="134">
        <v>12</v>
      </c>
      <c r="BM16" s="129">
        <f t="shared" si="12"/>
        <v>0</v>
      </c>
    </row>
    <row r="17" spans="2:65">
      <c r="B17" s="134">
        <f t="shared" si="13"/>
        <v>2030</v>
      </c>
      <c r="C17" s="127">
        <f t="shared" si="26"/>
        <v>65.790000000000006</v>
      </c>
      <c r="D17" s="134">
        <v>12</v>
      </c>
      <c r="E17" s="129">
        <f t="shared" si="0"/>
        <v>65.790000000000006</v>
      </c>
      <c r="F17" s="118"/>
      <c r="G17" s="134">
        <f t="shared" si="14"/>
        <v>2030</v>
      </c>
      <c r="H17" s="127">
        <f t="shared" si="27"/>
        <v>0</v>
      </c>
      <c r="I17" s="134">
        <v>12</v>
      </c>
      <c r="J17" s="129">
        <f t="shared" si="1"/>
        <v>0</v>
      </c>
      <c r="K17" s="118"/>
      <c r="L17" s="134">
        <f t="shared" si="15"/>
        <v>2030</v>
      </c>
      <c r="M17" s="127">
        <f t="shared" si="28"/>
        <v>0</v>
      </c>
      <c r="N17" s="134">
        <v>12</v>
      </c>
      <c r="O17" s="129">
        <f t="shared" si="2"/>
        <v>0</v>
      </c>
      <c r="Q17" s="134">
        <f t="shared" si="16"/>
        <v>2030</v>
      </c>
      <c r="R17" s="127">
        <f t="shared" si="29"/>
        <v>0</v>
      </c>
      <c r="S17" s="134">
        <v>12</v>
      </c>
      <c r="T17" s="129">
        <f t="shared" si="3"/>
        <v>0</v>
      </c>
      <c r="U17" s="118"/>
      <c r="V17" s="134">
        <f t="shared" si="17"/>
        <v>2030</v>
      </c>
      <c r="W17" s="127">
        <f t="shared" si="30"/>
        <v>0</v>
      </c>
      <c r="X17" s="134">
        <v>12</v>
      </c>
      <c r="Y17" s="129">
        <f t="shared" si="4"/>
        <v>0</v>
      </c>
      <c r="Z17" s="118"/>
      <c r="AA17" s="134">
        <f t="shared" si="18"/>
        <v>2030</v>
      </c>
      <c r="AB17" s="127">
        <f t="shared" si="31"/>
        <v>59.8</v>
      </c>
      <c r="AC17" s="134">
        <v>12</v>
      </c>
      <c r="AD17" s="129">
        <f t="shared" si="5"/>
        <v>59.79999999999999</v>
      </c>
      <c r="AE17" s="118"/>
      <c r="AF17" s="134">
        <f t="shared" si="19"/>
        <v>2030</v>
      </c>
      <c r="AG17" s="127">
        <f t="shared" si="32"/>
        <v>0</v>
      </c>
      <c r="AH17" s="134">
        <v>12</v>
      </c>
      <c r="AI17" s="129">
        <f t="shared" si="6"/>
        <v>0</v>
      </c>
      <c r="AJ17" s="118"/>
      <c r="AK17" s="134">
        <f t="shared" si="20"/>
        <v>2030</v>
      </c>
      <c r="AL17" s="127">
        <f t="shared" si="33"/>
        <v>27.17</v>
      </c>
      <c r="AM17" s="134">
        <v>12</v>
      </c>
      <c r="AN17" s="129">
        <f t="shared" si="7"/>
        <v>27.17</v>
      </c>
      <c r="AO17" s="118"/>
      <c r="AP17" s="134">
        <f t="shared" si="21"/>
        <v>2030</v>
      </c>
      <c r="AQ17" s="127">
        <f t="shared" si="34"/>
        <v>9.52</v>
      </c>
      <c r="AR17" s="134">
        <v>12</v>
      </c>
      <c r="AS17" s="129">
        <f t="shared" si="8"/>
        <v>9.52</v>
      </c>
      <c r="AT17" s="118"/>
      <c r="AU17" s="134">
        <f t="shared" si="22"/>
        <v>2030</v>
      </c>
      <c r="AV17" s="127">
        <f t="shared" si="35"/>
        <v>0</v>
      </c>
      <c r="AW17" s="134">
        <v>12</v>
      </c>
      <c r="AX17" s="129">
        <f t="shared" si="9"/>
        <v>0</v>
      </c>
      <c r="AY17" s="118"/>
      <c r="AZ17" s="134">
        <f t="shared" si="23"/>
        <v>2030</v>
      </c>
      <c r="BA17" s="127">
        <f t="shared" si="36"/>
        <v>665.51</v>
      </c>
      <c r="BB17" s="134">
        <v>12</v>
      </c>
      <c r="BC17" s="129">
        <f t="shared" si="10"/>
        <v>665.51</v>
      </c>
      <c r="BE17" s="134">
        <f t="shared" si="24"/>
        <v>2030</v>
      </c>
      <c r="BF17" s="127">
        <f t="shared" si="37"/>
        <v>2.78</v>
      </c>
      <c r="BG17" s="134">
        <v>12</v>
      </c>
      <c r="BH17" s="129">
        <f t="shared" si="11"/>
        <v>2.78</v>
      </c>
      <c r="BJ17" s="333">
        <f t="shared" si="25"/>
        <v>2030</v>
      </c>
      <c r="BK17" s="127">
        <f t="shared" si="38"/>
        <v>5.7969932450072994</v>
      </c>
      <c r="BL17" s="134">
        <v>12</v>
      </c>
      <c r="BM17" s="129">
        <f t="shared" si="12"/>
        <v>5.7969932450072994</v>
      </c>
    </row>
    <row r="18" spans="2:65">
      <c r="B18" s="134">
        <f t="shared" si="13"/>
        <v>2031</v>
      </c>
      <c r="C18" s="127">
        <f t="shared" si="26"/>
        <v>67.3</v>
      </c>
      <c r="D18" s="134">
        <v>12</v>
      </c>
      <c r="E18" s="129">
        <f t="shared" si="0"/>
        <v>67.3</v>
      </c>
      <c r="F18" s="118"/>
      <c r="G18" s="134">
        <f t="shared" si="14"/>
        <v>2031</v>
      </c>
      <c r="H18" s="127">
        <f t="shared" si="27"/>
        <v>0</v>
      </c>
      <c r="I18" s="134">
        <v>12</v>
      </c>
      <c r="J18" s="129">
        <f t="shared" si="1"/>
        <v>0</v>
      </c>
      <c r="K18" s="118"/>
      <c r="L18" s="134">
        <f t="shared" si="15"/>
        <v>2031</v>
      </c>
      <c r="M18" s="127">
        <f t="shared" si="28"/>
        <v>0</v>
      </c>
      <c r="N18" s="134">
        <v>12</v>
      </c>
      <c r="O18" s="129">
        <f t="shared" si="2"/>
        <v>0</v>
      </c>
      <c r="Q18" s="134">
        <f t="shared" si="16"/>
        <v>2031</v>
      </c>
      <c r="R18" s="127">
        <f t="shared" si="29"/>
        <v>0</v>
      </c>
      <c r="S18" s="134">
        <v>12</v>
      </c>
      <c r="T18" s="129">
        <f t="shared" si="3"/>
        <v>0</v>
      </c>
      <c r="U18" s="118"/>
      <c r="V18" s="134">
        <f t="shared" si="17"/>
        <v>2031</v>
      </c>
      <c r="W18" s="127">
        <f t="shared" si="30"/>
        <v>0</v>
      </c>
      <c r="X18" s="134">
        <v>12</v>
      </c>
      <c r="Y18" s="129">
        <f t="shared" si="4"/>
        <v>0</v>
      </c>
      <c r="Z18" s="118"/>
      <c r="AA18" s="134">
        <f t="shared" si="18"/>
        <v>2031</v>
      </c>
      <c r="AB18" s="127">
        <f t="shared" si="31"/>
        <v>61.18</v>
      </c>
      <c r="AC18" s="134">
        <v>12</v>
      </c>
      <c r="AD18" s="129">
        <f t="shared" si="5"/>
        <v>61.18</v>
      </c>
      <c r="AE18" s="118"/>
      <c r="AF18" s="134">
        <f t="shared" si="19"/>
        <v>2031</v>
      </c>
      <c r="AG18" s="127">
        <f t="shared" si="32"/>
        <v>0</v>
      </c>
      <c r="AH18" s="134">
        <v>12</v>
      </c>
      <c r="AI18" s="129">
        <f t="shared" si="6"/>
        <v>0</v>
      </c>
      <c r="AJ18" s="118"/>
      <c r="AK18" s="134">
        <f t="shared" si="20"/>
        <v>2031</v>
      </c>
      <c r="AL18" s="127">
        <f t="shared" si="33"/>
        <v>27.79</v>
      </c>
      <c r="AM18" s="134">
        <v>12</v>
      </c>
      <c r="AN18" s="129">
        <f t="shared" si="7"/>
        <v>27.790000000000003</v>
      </c>
      <c r="AO18" s="118"/>
      <c r="AP18" s="134">
        <f t="shared" si="21"/>
        <v>2031</v>
      </c>
      <c r="AQ18" s="127">
        <f t="shared" si="34"/>
        <v>9.74</v>
      </c>
      <c r="AR18" s="134">
        <v>12</v>
      </c>
      <c r="AS18" s="129">
        <f t="shared" si="8"/>
        <v>9.74</v>
      </c>
      <c r="AT18" s="118"/>
      <c r="AU18" s="333">
        <f t="shared" si="22"/>
        <v>2031</v>
      </c>
      <c r="AV18" s="127">
        <f t="shared" si="35"/>
        <v>12.45513744317196</v>
      </c>
      <c r="AW18" s="134">
        <v>12</v>
      </c>
      <c r="AX18" s="129">
        <f t="shared" si="9"/>
        <v>12.455137443171958</v>
      </c>
      <c r="AY18" s="118"/>
      <c r="AZ18" s="134">
        <f t="shared" si="23"/>
        <v>2031</v>
      </c>
      <c r="BA18" s="127">
        <f t="shared" si="36"/>
        <v>680.82</v>
      </c>
      <c r="BB18" s="134">
        <v>12</v>
      </c>
      <c r="BC18" s="129">
        <f t="shared" si="10"/>
        <v>680.82</v>
      </c>
      <c r="BE18" s="134">
        <f t="shared" si="24"/>
        <v>2031</v>
      </c>
      <c r="BF18" s="127">
        <f t="shared" si="37"/>
        <v>2.84</v>
      </c>
      <c r="BG18" s="134">
        <v>12</v>
      </c>
      <c r="BH18" s="129">
        <f t="shared" si="11"/>
        <v>2.84</v>
      </c>
      <c r="BJ18" s="134">
        <f t="shared" si="25"/>
        <v>2031</v>
      </c>
      <c r="BK18" s="127">
        <f t="shared" si="38"/>
        <v>5.93</v>
      </c>
      <c r="BL18" s="134">
        <v>12</v>
      </c>
      <c r="BM18" s="129">
        <f t="shared" si="12"/>
        <v>5.93</v>
      </c>
    </row>
    <row r="19" spans="2:65">
      <c r="B19" s="134">
        <f t="shared" si="13"/>
        <v>2032</v>
      </c>
      <c r="C19" s="127">
        <f t="shared" si="26"/>
        <v>68.849999999999994</v>
      </c>
      <c r="D19" s="134">
        <v>12</v>
      </c>
      <c r="E19" s="129">
        <f t="shared" si="0"/>
        <v>68.849999999999994</v>
      </c>
      <c r="F19" s="118"/>
      <c r="G19" s="134">
        <f t="shared" si="14"/>
        <v>2032</v>
      </c>
      <c r="H19" s="127">
        <f t="shared" si="27"/>
        <v>0</v>
      </c>
      <c r="I19" s="134">
        <v>12</v>
      </c>
      <c r="J19" s="129">
        <f t="shared" si="1"/>
        <v>0</v>
      </c>
      <c r="K19" s="118"/>
      <c r="L19" s="333">
        <f t="shared" si="15"/>
        <v>2032</v>
      </c>
      <c r="M19" s="127">
        <f t="shared" si="28"/>
        <v>34.476843122008333</v>
      </c>
      <c r="N19" s="134">
        <v>12</v>
      </c>
      <c r="O19" s="129">
        <f t="shared" si="2"/>
        <v>34.476843122008333</v>
      </c>
      <c r="Q19" s="134">
        <f t="shared" si="16"/>
        <v>2032</v>
      </c>
      <c r="R19" s="127">
        <f t="shared" si="29"/>
        <v>0</v>
      </c>
      <c r="S19" s="134">
        <v>12</v>
      </c>
      <c r="T19" s="129">
        <f t="shared" si="3"/>
        <v>0</v>
      </c>
      <c r="U19" s="118"/>
      <c r="V19" s="134">
        <f t="shared" si="17"/>
        <v>2032</v>
      </c>
      <c r="W19" s="127">
        <f t="shared" si="30"/>
        <v>0</v>
      </c>
      <c r="X19" s="134">
        <v>12</v>
      </c>
      <c r="Y19" s="129">
        <f t="shared" si="4"/>
        <v>0</v>
      </c>
      <c r="Z19" s="118"/>
      <c r="AA19" s="134">
        <f t="shared" si="18"/>
        <v>2032</v>
      </c>
      <c r="AB19" s="127">
        <f t="shared" si="31"/>
        <v>62.59</v>
      </c>
      <c r="AC19" s="134">
        <v>12</v>
      </c>
      <c r="AD19" s="129">
        <f t="shared" si="5"/>
        <v>62.59</v>
      </c>
      <c r="AE19" s="118"/>
      <c r="AF19" s="134">
        <f t="shared" si="19"/>
        <v>2032</v>
      </c>
      <c r="AG19" s="127">
        <f t="shared" si="32"/>
        <v>0</v>
      </c>
      <c r="AH19" s="134">
        <v>12</v>
      </c>
      <c r="AI19" s="129">
        <f t="shared" si="6"/>
        <v>0</v>
      </c>
      <c r="AJ19" s="118"/>
      <c r="AK19" s="134">
        <f t="shared" si="20"/>
        <v>2032</v>
      </c>
      <c r="AL19" s="127">
        <f t="shared" si="33"/>
        <v>28.43</v>
      </c>
      <c r="AM19" s="134">
        <v>12</v>
      </c>
      <c r="AN19" s="129">
        <f t="shared" si="7"/>
        <v>28.429999999999996</v>
      </c>
      <c r="AO19" s="118"/>
      <c r="AP19" s="134">
        <f t="shared" si="21"/>
        <v>2032</v>
      </c>
      <c r="AQ19" s="127">
        <f t="shared" si="34"/>
        <v>9.9600000000000009</v>
      </c>
      <c r="AR19" s="134">
        <v>12</v>
      </c>
      <c r="AS19" s="129">
        <f t="shared" si="8"/>
        <v>9.9600000000000009</v>
      </c>
      <c r="AT19" s="118"/>
      <c r="AU19" s="134">
        <f t="shared" si="22"/>
        <v>2032</v>
      </c>
      <c r="AV19" s="127">
        <f t="shared" si="35"/>
        <v>12.74</v>
      </c>
      <c r="AW19" s="134">
        <v>12</v>
      </c>
      <c r="AX19" s="129">
        <f t="shared" si="9"/>
        <v>12.74</v>
      </c>
      <c r="AY19" s="118"/>
      <c r="AZ19" s="134">
        <f t="shared" si="23"/>
        <v>2032</v>
      </c>
      <c r="BA19" s="127">
        <f t="shared" si="36"/>
        <v>696.48</v>
      </c>
      <c r="BB19" s="134">
        <v>12</v>
      </c>
      <c r="BC19" s="129">
        <f t="shared" si="10"/>
        <v>696.48</v>
      </c>
      <c r="BE19" s="134">
        <f t="shared" si="24"/>
        <v>2032</v>
      </c>
      <c r="BF19" s="127">
        <f t="shared" si="37"/>
        <v>2.91</v>
      </c>
      <c r="BG19" s="134">
        <v>12</v>
      </c>
      <c r="BH19" s="129">
        <f t="shared" si="11"/>
        <v>2.91</v>
      </c>
      <c r="BJ19" s="134">
        <f t="shared" si="25"/>
        <v>2032</v>
      </c>
      <c r="BK19" s="127">
        <f t="shared" si="38"/>
        <v>6.07</v>
      </c>
      <c r="BL19" s="134">
        <v>12</v>
      </c>
      <c r="BM19" s="129">
        <f t="shared" si="12"/>
        <v>6.07</v>
      </c>
    </row>
    <row r="20" spans="2:65">
      <c r="B20" s="134">
        <f t="shared" si="13"/>
        <v>2033</v>
      </c>
      <c r="C20" s="127">
        <f t="shared" si="26"/>
        <v>70.430000000000007</v>
      </c>
      <c r="D20" s="134">
        <v>12</v>
      </c>
      <c r="E20" s="129">
        <f t="shared" si="0"/>
        <v>70.430000000000007</v>
      </c>
      <c r="F20" s="118"/>
      <c r="G20" s="333">
        <f t="shared" si="14"/>
        <v>2033</v>
      </c>
      <c r="H20" s="127">
        <f t="shared" si="27"/>
        <v>13.460972789327549</v>
      </c>
      <c r="I20" s="134">
        <v>12</v>
      </c>
      <c r="J20" s="129">
        <f t="shared" si="1"/>
        <v>13.460972789327549</v>
      </c>
      <c r="K20" s="118"/>
      <c r="L20" s="134">
        <f t="shared" si="15"/>
        <v>2033</v>
      </c>
      <c r="M20" s="127">
        <f t="shared" si="28"/>
        <v>35.270000000000003</v>
      </c>
      <c r="N20" s="134">
        <v>12</v>
      </c>
      <c r="O20" s="129">
        <f t="shared" si="2"/>
        <v>35.270000000000003</v>
      </c>
      <c r="Q20" s="134">
        <f t="shared" si="16"/>
        <v>2033</v>
      </c>
      <c r="R20" s="127">
        <f t="shared" si="29"/>
        <v>0</v>
      </c>
      <c r="S20" s="134">
        <v>12</v>
      </c>
      <c r="T20" s="129">
        <f t="shared" si="3"/>
        <v>0</v>
      </c>
      <c r="U20" s="118"/>
      <c r="V20" s="134">
        <f t="shared" si="17"/>
        <v>2033</v>
      </c>
      <c r="W20" s="127">
        <f t="shared" si="30"/>
        <v>0</v>
      </c>
      <c r="X20" s="134">
        <v>12</v>
      </c>
      <c r="Y20" s="129">
        <f t="shared" si="4"/>
        <v>0</v>
      </c>
      <c r="Z20" s="118"/>
      <c r="AA20" s="134">
        <f t="shared" si="18"/>
        <v>2033</v>
      </c>
      <c r="AB20" s="127">
        <f t="shared" si="31"/>
        <v>64.03</v>
      </c>
      <c r="AC20" s="134">
        <v>12</v>
      </c>
      <c r="AD20" s="129">
        <f t="shared" si="5"/>
        <v>64.03</v>
      </c>
      <c r="AE20" s="118"/>
      <c r="AF20" s="134">
        <f t="shared" si="19"/>
        <v>2033</v>
      </c>
      <c r="AG20" s="127">
        <f t="shared" si="32"/>
        <v>0</v>
      </c>
      <c r="AH20" s="134">
        <v>12</v>
      </c>
      <c r="AI20" s="129">
        <f t="shared" si="6"/>
        <v>0</v>
      </c>
      <c r="AJ20" s="118"/>
      <c r="AK20" s="134">
        <f t="shared" si="20"/>
        <v>2033</v>
      </c>
      <c r="AL20" s="127">
        <f t="shared" si="33"/>
        <v>29.08</v>
      </c>
      <c r="AM20" s="134">
        <v>12</v>
      </c>
      <c r="AN20" s="129">
        <f t="shared" si="7"/>
        <v>29.08</v>
      </c>
      <c r="AO20" s="118"/>
      <c r="AP20" s="134">
        <f t="shared" si="21"/>
        <v>2033</v>
      </c>
      <c r="AQ20" s="127">
        <f t="shared" si="34"/>
        <v>10.19</v>
      </c>
      <c r="AR20" s="134">
        <v>12</v>
      </c>
      <c r="AS20" s="129">
        <f t="shared" si="8"/>
        <v>10.19</v>
      </c>
      <c r="AT20" s="118"/>
      <c r="AU20" s="134">
        <f t="shared" si="22"/>
        <v>2033</v>
      </c>
      <c r="AV20" s="127">
        <f t="shared" si="35"/>
        <v>13.03</v>
      </c>
      <c r="AW20" s="134">
        <v>12</v>
      </c>
      <c r="AX20" s="129">
        <f t="shared" si="9"/>
        <v>13.03</v>
      </c>
      <c r="AY20" s="118"/>
      <c r="AZ20" s="134">
        <f t="shared" si="23"/>
        <v>2033</v>
      </c>
      <c r="BA20" s="127">
        <f t="shared" si="36"/>
        <v>712.5</v>
      </c>
      <c r="BB20" s="134">
        <v>12</v>
      </c>
      <c r="BC20" s="129">
        <f t="shared" si="10"/>
        <v>712.5</v>
      </c>
      <c r="BE20" s="134">
        <f t="shared" si="24"/>
        <v>2033</v>
      </c>
      <c r="BF20" s="127">
        <f t="shared" si="37"/>
        <v>2.98</v>
      </c>
      <c r="BG20" s="134">
        <v>12</v>
      </c>
      <c r="BH20" s="129">
        <f t="shared" si="11"/>
        <v>2.98</v>
      </c>
      <c r="BJ20" s="134">
        <f t="shared" si="25"/>
        <v>2033</v>
      </c>
      <c r="BK20" s="127">
        <f t="shared" si="38"/>
        <v>6.21</v>
      </c>
      <c r="BL20" s="134">
        <v>12</v>
      </c>
      <c r="BM20" s="129">
        <f t="shared" si="12"/>
        <v>6.21</v>
      </c>
    </row>
    <row r="21" spans="2:65">
      <c r="B21" s="134">
        <f t="shared" si="13"/>
        <v>2034</v>
      </c>
      <c r="C21" s="127">
        <f t="shared" si="26"/>
        <v>72.05</v>
      </c>
      <c r="D21" s="134">
        <v>12</v>
      </c>
      <c r="E21" s="129">
        <f t="shared" si="0"/>
        <v>72.05</v>
      </c>
      <c r="F21" s="118"/>
      <c r="G21" s="134">
        <f t="shared" si="14"/>
        <v>2034</v>
      </c>
      <c r="H21" s="127">
        <f t="shared" si="27"/>
        <v>13.77</v>
      </c>
      <c r="I21" s="134">
        <v>12</v>
      </c>
      <c r="J21" s="129">
        <f t="shared" si="1"/>
        <v>13.770000000000001</v>
      </c>
      <c r="K21" s="118"/>
      <c r="L21" s="134">
        <f t="shared" si="15"/>
        <v>2034</v>
      </c>
      <c r="M21" s="127">
        <f t="shared" si="28"/>
        <v>36.08</v>
      </c>
      <c r="N21" s="134">
        <v>12</v>
      </c>
      <c r="O21" s="129">
        <f t="shared" si="2"/>
        <v>36.08</v>
      </c>
      <c r="Q21" s="134">
        <f t="shared" si="16"/>
        <v>2034</v>
      </c>
      <c r="R21" s="127">
        <f t="shared" si="29"/>
        <v>0</v>
      </c>
      <c r="S21" s="134">
        <v>12</v>
      </c>
      <c r="T21" s="129">
        <f t="shared" si="3"/>
        <v>0</v>
      </c>
      <c r="U21" s="118"/>
      <c r="V21" s="134">
        <f t="shared" si="17"/>
        <v>2034</v>
      </c>
      <c r="W21" s="127">
        <f t="shared" si="30"/>
        <v>0</v>
      </c>
      <c r="X21" s="134">
        <v>12</v>
      </c>
      <c r="Y21" s="129">
        <f t="shared" si="4"/>
        <v>0</v>
      </c>
      <c r="Z21" s="118"/>
      <c r="AA21" s="134">
        <f t="shared" si="18"/>
        <v>2034</v>
      </c>
      <c r="AB21" s="127">
        <f t="shared" si="31"/>
        <v>65.5</v>
      </c>
      <c r="AC21" s="134">
        <v>12</v>
      </c>
      <c r="AD21" s="129">
        <f t="shared" si="5"/>
        <v>65.5</v>
      </c>
      <c r="AE21" s="118"/>
      <c r="AF21" s="134">
        <f t="shared" si="19"/>
        <v>2034</v>
      </c>
      <c r="AG21" s="127">
        <f t="shared" si="32"/>
        <v>0</v>
      </c>
      <c r="AH21" s="134">
        <v>12</v>
      </c>
      <c r="AI21" s="129">
        <f t="shared" si="6"/>
        <v>0</v>
      </c>
      <c r="AJ21" s="118"/>
      <c r="AK21" s="134">
        <f t="shared" si="20"/>
        <v>2034</v>
      </c>
      <c r="AL21" s="127">
        <f t="shared" si="33"/>
        <v>29.75</v>
      </c>
      <c r="AM21" s="134">
        <v>12</v>
      </c>
      <c r="AN21" s="129">
        <f t="shared" si="7"/>
        <v>29.75</v>
      </c>
      <c r="AO21" s="118"/>
      <c r="AP21" s="134">
        <f t="shared" si="21"/>
        <v>2034</v>
      </c>
      <c r="AQ21" s="127">
        <f t="shared" si="34"/>
        <v>10.42</v>
      </c>
      <c r="AR21" s="134">
        <v>12</v>
      </c>
      <c r="AS21" s="129">
        <f t="shared" si="8"/>
        <v>10.42</v>
      </c>
      <c r="AT21" s="118"/>
      <c r="AU21" s="134">
        <f t="shared" si="22"/>
        <v>2034</v>
      </c>
      <c r="AV21" s="127">
        <f t="shared" si="35"/>
        <v>13.33</v>
      </c>
      <c r="AW21" s="134">
        <v>12</v>
      </c>
      <c r="AX21" s="129">
        <f t="shared" si="9"/>
        <v>13.33</v>
      </c>
      <c r="AY21" s="118"/>
      <c r="AZ21" s="134">
        <f t="shared" si="23"/>
        <v>2034</v>
      </c>
      <c r="BA21" s="127">
        <f t="shared" si="36"/>
        <v>728.89</v>
      </c>
      <c r="BB21" s="134">
        <v>12</v>
      </c>
      <c r="BC21" s="129">
        <f t="shared" si="10"/>
        <v>728.89</v>
      </c>
      <c r="BE21" s="134">
        <f t="shared" si="24"/>
        <v>2034</v>
      </c>
      <c r="BF21" s="127">
        <f t="shared" si="37"/>
        <v>3.05</v>
      </c>
      <c r="BG21" s="134">
        <v>12</v>
      </c>
      <c r="BH21" s="129">
        <f t="shared" si="11"/>
        <v>3.0499999999999994</v>
      </c>
      <c r="BJ21" s="134">
        <f t="shared" si="25"/>
        <v>2034</v>
      </c>
      <c r="BK21" s="127">
        <f t="shared" si="38"/>
        <v>6.35</v>
      </c>
      <c r="BL21" s="134">
        <v>12</v>
      </c>
      <c r="BM21" s="129">
        <f t="shared" si="12"/>
        <v>6.3499999999999988</v>
      </c>
    </row>
    <row r="22" spans="2:65">
      <c r="B22" s="134">
        <f t="shared" si="13"/>
        <v>2035</v>
      </c>
      <c r="C22" s="127">
        <f t="shared" si="26"/>
        <v>73.709999999999994</v>
      </c>
      <c r="D22" s="134">
        <v>12</v>
      </c>
      <c r="E22" s="129">
        <f t="shared" si="0"/>
        <v>73.709999999999994</v>
      </c>
      <c r="F22" s="118"/>
      <c r="G22" s="134">
        <f t="shared" si="14"/>
        <v>2035</v>
      </c>
      <c r="H22" s="127">
        <f t="shared" si="27"/>
        <v>14.09</v>
      </c>
      <c r="I22" s="134">
        <v>12</v>
      </c>
      <c r="J22" s="129">
        <f t="shared" si="1"/>
        <v>14.089999999999998</v>
      </c>
      <c r="K22" s="118"/>
      <c r="L22" s="134">
        <f t="shared" si="15"/>
        <v>2035</v>
      </c>
      <c r="M22" s="127">
        <f t="shared" si="28"/>
        <v>36.909999999999997</v>
      </c>
      <c r="N22" s="134">
        <v>12</v>
      </c>
      <c r="O22" s="129">
        <f t="shared" si="2"/>
        <v>36.909999999999997</v>
      </c>
      <c r="Q22" s="134">
        <f t="shared" si="16"/>
        <v>2035</v>
      </c>
      <c r="R22" s="127">
        <f t="shared" si="29"/>
        <v>0</v>
      </c>
      <c r="S22" s="134">
        <v>12</v>
      </c>
      <c r="T22" s="129">
        <f t="shared" si="3"/>
        <v>0</v>
      </c>
      <c r="U22" s="118"/>
      <c r="V22" s="134">
        <f t="shared" si="17"/>
        <v>2035</v>
      </c>
      <c r="W22" s="127">
        <f t="shared" si="30"/>
        <v>0</v>
      </c>
      <c r="X22" s="134">
        <v>12</v>
      </c>
      <c r="Y22" s="129">
        <f t="shared" si="4"/>
        <v>0</v>
      </c>
      <c r="Z22" s="118"/>
      <c r="AA22" s="134">
        <f t="shared" si="18"/>
        <v>2035</v>
      </c>
      <c r="AB22" s="127">
        <f t="shared" si="31"/>
        <v>67.010000000000005</v>
      </c>
      <c r="AC22" s="134">
        <v>12</v>
      </c>
      <c r="AD22" s="129">
        <f t="shared" si="5"/>
        <v>67.010000000000005</v>
      </c>
      <c r="AE22" s="118"/>
      <c r="AF22" s="134">
        <f t="shared" si="19"/>
        <v>2035</v>
      </c>
      <c r="AG22" s="127">
        <f t="shared" si="32"/>
        <v>0</v>
      </c>
      <c r="AH22" s="134">
        <v>12</v>
      </c>
      <c r="AI22" s="129">
        <f t="shared" si="6"/>
        <v>0</v>
      </c>
      <c r="AJ22" s="118"/>
      <c r="AK22" s="134">
        <f t="shared" si="20"/>
        <v>2035</v>
      </c>
      <c r="AL22" s="127">
        <f t="shared" si="33"/>
        <v>30.43</v>
      </c>
      <c r="AM22" s="134">
        <v>12</v>
      </c>
      <c r="AN22" s="129">
        <f t="shared" si="7"/>
        <v>30.429999999999996</v>
      </c>
      <c r="AO22" s="118"/>
      <c r="AP22" s="134">
        <f t="shared" si="21"/>
        <v>2035</v>
      </c>
      <c r="AQ22" s="127">
        <f t="shared" si="34"/>
        <v>10.66</v>
      </c>
      <c r="AR22" s="134">
        <v>12</v>
      </c>
      <c r="AS22" s="129">
        <f t="shared" si="8"/>
        <v>10.66</v>
      </c>
      <c r="AT22" s="118"/>
      <c r="AU22" s="134">
        <f t="shared" si="22"/>
        <v>2035</v>
      </c>
      <c r="AV22" s="127">
        <f t="shared" si="35"/>
        <v>13.64</v>
      </c>
      <c r="AW22" s="134">
        <v>12</v>
      </c>
      <c r="AX22" s="129">
        <f t="shared" si="9"/>
        <v>13.64</v>
      </c>
      <c r="AY22" s="118"/>
      <c r="AZ22" s="134">
        <f t="shared" si="23"/>
        <v>2035</v>
      </c>
      <c r="BA22" s="127">
        <f t="shared" si="36"/>
        <v>745.65</v>
      </c>
      <c r="BB22" s="134">
        <v>12</v>
      </c>
      <c r="BC22" s="129">
        <f t="shared" si="10"/>
        <v>745.65</v>
      </c>
      <c r="BE22" s="134">
        <f t="shared" si="24"/>
        <v>2035</v>
      </c>
      <c r="BF22" s="127">
        <f t="shared" si="37"/>
        <v>3.12</v>
      </c>
      <c r="BG22" s="134">
        <v>12</v>
      </c>
      <c r="BH22" s="129">
        <f t="shared" si="11"/>
        <v>3.1199999999999997</v>
      </c>
      <c r="BJ22" s="134">
        <f t="shared" si="25"/>
        <v>2035</v>
      </c>
      <c r="BK22" s="127">
        <f t="shared" si="38"/>
        <v>6.5</v>
      </c>
      <c r="BL22" s="134">
        <v>12</v>
      </c>
      <c r="BM22" s="129">
        <f t="shared" si="12"/>
        <v>6.5</v>
      </c>
    </row>
    <row r="23" spans="2:65">
      <c r="B23" s="134">
        <f t="shared" si="13"/>
        <v>2036</v>
      </c>
      <c r="C23" s="127">
        <f t="shared" si="26"/>
        <v>75.41</v>
      </c>
      <c r="D23" s="134">
        <v>12</v>
      </c>
      <c r="E23" s="129">
        <f t="shared" si="0"/>
        <v>75.41</v>
      </c>
      <c r="F23" s="118"/>
      <c r="G23" s="134">
        <f t="shared" si="14"/>
        <v>2036</v>
      </c>
      <c r="H23" s="127">
        <f t="shared" si="27"/>
        <v>14.41</v>
      </c>
      <c r="I23" s="134">
        <v>12</v>
      </c>
      <c r="J23" s="129">
        <f t="shared" si="1"/>
        <v>14.410000000000002</v>
      </c>
      <c r="K23" s="118"/>
      <c r="L23" s="134">
        <f t="shared" si="15"/>
        <v>2036</v>
      </c>
      <c r="M23" s="127">
        <f t="shared" si="28"/>
        <v>37.76</v>
      </c>
      <c r="N23" s="134">
        <v>12</v>
      </c>
      <c r="O23" s="129">
        <f t="shared" si="2"/>
        <v>37.76</v>
      </c>
      <c r="Q23" s="134">
        <f t="shared" si="16"/>
        <v>2036</v>
      </c>
      <c r="R23" s="127">
        <f t="shared" si="29"/>
        <v>0</v>
      </c>
      <c r="S23" s="134">
        <v>12</v>
      </c>
      <c r="T23" s="129">
        <f t="shared" si="3"/>
        <v>0</v>
      </c>
      <c r="U23" s="118"/>
      <c r="V23" s="134">
        <f t="shared" si="17"/>
        <v>2036</v>
      </c>
      <c r="W23" s="127">
        <f t="shared" si="30"/>
        <v>0</v>
      </c>
      <c r="X23" s="134">
        <v>12</v>
      </c>
      <c r="Y23" s="129">
        <f t="shared" si="4"/>
        <v>0</v>
      </c>
      <c r="Z23" s="118"/>
      <c r="AA23" s="134">
        <f t="shared" si="18"/>
        <v>2036</v>
      </c>
      <c r="AB23" s="127">
        <f t="shared" si="31"/>
        <v>68.55</v>
      </c>
      <c r="AC23" s="134">
        <v>12</v>
      </c>
      <c r="AD23" s="129">
        <f t="shared" si="5"/>
        <v>68.55</v>
      </c>
      <c r="AE23" s="118"/>
      <c r="AF23" s="134">
        <f t="shared" si="19"/>
        <v>2036</v>
      </c>
      <c r="AG23" s="127">
        <f t="shared" si="32"/>
        <v>0</v>
      </c>
      <c r="AH23" s="134">
        <v>12</v>
      </c>
      <c r="AI23" s="129">
        <f t="shared" si="6"/>
        <v>0</v>
      </c>
      <c r="AJ23" s="118"/>
      <c r="AK23" s="134">
        <f t="shared" si="20"/>
        <v>2036</v>
      </c>
      <c r="AL23" s="127">
        <f t="shared" si="33"/>
        <v>31.13</v>
      </c>
      <c r="AM23" s="134">
        <v>12</v>
      </c>
      <c r="AN23" s="129">
        <f t="shared" si="7"/>
        <v>31.13</v>
      </c>
      <c r="AO23" s="118"/>
      <c r="AP23" s="134">
        <f t="shared" si="21"/>
        <v>2036</v>
      </c>
      <c r="AQ23" s="127">
        <f t="shared" si="34"/>
        <v>10.91</v>
      </c>
      <c r="AR23" s="134">
        <v>12</v>
      </c>
      <c r="AS23" s="129">
        <f t="shared" si="8"/>
        <v>10.910000000000002</v>
      </c>
      <c r="AT23" s="118"/>
      <c r="AU23" s="134">
        <f t="shared" si="22"/>
        <v>2036</v>
      </c>
      <c r="AV23" s="127">
        <f t="shared" si="35"/>
        <v>13.95</v>
      </c>
      <c r="AW23" s="134">
        <v>12</v>
      </c>
      <c r="AX23" s="129">
        <f t="shared" si="9"/>
        <v>13.949999999999998</v>
      </c>
      <c r="AY23" s="118"/>
      <c r="AZ23" s="134">
        <f t="shared" si="23"/>
        <v>2036</v>
      </c>
      <c r="BA23" s="127">
        <f t="shared" si="36"/>
        <v>762.8</v>
      </c>
      <c r="BB23" s="134">
        <v>12</v>
      </c>
      <c r="BC23" s="129">
        <f t="shared" si="10"/>
        <v>762.79999999999984</v>
      </c>
      <c r="BE23" s="134">
        <f t="shared" si="24"/>
        <v>2036</v>
      </c>
      <c r="BF23" s="127">
        <f t="shared" si="37"/>
        <v>3.19</v>
      </c>
      <c r="BG23" s="134">
        <v>12</v>
      </c>
      <c r="BH23" s="129">
        <f t="shared" si="11"/>
        <v>3.19</v>
      </c>
      <c r="BJ23" s="134">
        <f t="shared" si="25"/>
        <v>2036</v>
      </c>
      <c r="BK23" s="127">
        <f t="shared" si="38"/>
        <v>6.65</v>
      </c>
      <c r="BL23" s="134">
        <v>12</v>
      </c>
      <c r="BM23" s="129">
        <f t="shared" si="12"/>
        <v>6.6500000000000012</v>
      </c>
    </row>
    <row r="24" spans="2:65">
      <c r="B24" s="134">
        <f t="shared" si="13"/>
        <v>2037</v>
      </c>
      <c r="C24" s="127">
        <f t="shared" si="26"/>
        <v>77.14</v>
      </c>
      <c r="D24" s="134">
        <v>12</v>
      </c>
      <c r="E24" s="129">
        <f t="shared" si="0"/>
        <v>77.14</v>
      </c>
      <c r="F24" s="118"/>
      <c r="G24" s="134">
        <f t="shared" si="14"/>
        <v>2037</v>
      </c>
      <c r="H24" s="127">
        <f t="shared" si="27"/>
        <v>14.74</v>
      </c>
      <c r="I24" s="134">
        <v>12</v>
      </c>
      <c r="J24" s="129">
        <f t="shared" si="1"/>
        <v>14.74</v>
      </c>
      <c r="K24" s="118"/>
      <c r="L24" s="134">
        <f t="shared" si="15"/>
        <v>2037</v>
      </c>
      <c r="M24" s="127">
        <f t="shared" si="28"/>
        <v>38.630000000000003</v>
      </c>
      <c r="N24" s="134">
        <v>12</v>
      </c>
      <c r="O24" s="129">
        <f t="shared" si="2"/>
        <v>38.630000000000003</v>
      </c>
      <c r="Q24" s="333">
        <f t="shared" si="16"/>
        <v>2037</v>
      </c>
      <c r="R24" s="127">
        <f t="shared" si="29"/>
        <v>17.902711588140626</v>
      </c>
      <c r="S24" s="134">
        <v>12</v>
      </c>
      <c r="T24" s="129">
        <f t="shared" si="3"/>
        <v>17.902711588140626</v>
      </c>
      <c r="U24" s="118"/>
      <c r="V24" s="134">
        <f t="shared" si="17"/>
        <v>2037</v>
      </c>
      <c r="W24" s="127">
        <f t="shared" si="30"/>
        <v>0</v>
      </c>
      <c r="X24" s="134">
        <v>12</v>
      </c>
      <c r="Y24" s="129">
        <f t="shared" si="4"/>
        <v>0</v>
      </c>
      <c r="Z24" s="118"/>
      <c r="AA24" s="134">
        <f t="shared" si="18"/>
        <v>2037</v>
      </c>
      <c r="AB24" s="127">
        <f t="shared" si="31"/>
        <v>70.13</v>
      </c>
      <c r="AC24" s="134">
        <v>12</v>
      </c>
      <c r="AD24" s="129">
        <f t="shared" si="5"/>
        <v>70.13</v>
      </c>
      <c r="AE24" s="118"/>
      <c r="AF24" s="333">
        <f t="shared" si="19"/>
        <v>2037</v>
      </c>
      <c r="AG24" s="127">
        <f t="shared" si="32"/>
        <v>36.48563707005443</v>
      </c>
      <c r="AH24" s="134">
        <v>12</v>
      </c>
      <c r="AI24" s="129">
        <f t="shared" si="6"/>
        <v>36.48563707005443</v>
      </c>
      <c r="AJ24" s="118"/>
      <c r="AK24" s="134">
        <f t="shared" si="20"/>
        <v>2037</v>
      </c>
      <c r="AL24" s="127">
        <f t="shared" si="33"/>
        <v>31.85</v>
      </c>
      <c r="AM24" s="134">
        <v>12</v>
      </c>
      <c r="AN24" s="129">
        <f t="shared" si="7"/>
        <v>31.850000000000005</v>
      </c>
      <c r="AO24" s="118"/>
      <c r="AP24" s="134">
        <f t="shared" si="21"/>
        <v>2037</v>
      </c>
      <c r="AQ24" s="127">
        <f t="shared" si="34"/>
        <v>11.16</v>
      </c>
      <c r="AR24" s="134">
        <v>12</v>
      </c>
      <c r="AS24" s="129">
        <f t="shared" si="8"/>
        <v>11.160000000000002</v>
      </c>
      <c r="AT24" s="118"/>
      <c r="AU24" s="134">
        <f t="shared" si="22"/>
        <v>2037</v>
      </c>
      <c r="AV24" s="127">
        <f t="shared" si="35"/>
        <v>14.27</v>
      </c>
      <c r="AW24" s="134">
        <v>12</v>
      </c>
      <c r="AX24" s="129">
        <f t="shared" si="9"/>
        <v>14.270000000000001</v>
      </c>
      <c r="AY24" s="118"/>
      <c r="AZ24" s="134">
        <f t="shared" si="23"/>
        <v>2037</v>
      </c>
      <c r="BA24" s="127">
        <f t="shared" si="36"/>
        <v>780.34</v>
      </c>
      <c r="BB24" s="134">
        <v>12</v>
      </c>
      <c r="BC24" s="129">
        <f t="shared" si="10"/>
        <v>780.34</v>
      </c>
      <c r="BE24" s="134">
        <f t="shared" si="24"/>
        <v>2037</v>
      </c>
      <c r="BF24" s="127">
        <f t="shared" si="37"/>
        <v>3.26</v>
      </c>
      <c r="BG24" s="134">
        <v>12</v>
      </c>
      <c r="BH24" s="129">
        <f t="shared" si="11"/>
        <v>3.26</v>
      </c>
      <c r="BJ24" s="134">
        <f t="shared" si="25"/>
        <v>2037</v>
      </c>
      <c r="BK24" s="127">
        <f t="shared" si="38"/>
        <v>6.8</v>
      </c>
      <c r="BL24" s="134">
        <v>12</v>
      </c>
      <c r="BM24" s="129">
        <f t="shared" si="12"/>
        <v>6.8</v>
      </c>
    </row>
    <row r="25" spans="2:65">
      <c r="B25" s="134">
        <f t="shared" si="13"/>
        <v>2038</v>
      </c>
      <c r="C25" s="127">
        <f t="shared" si="26"/>
        <v>78.91</v>
      </c>
      <c r="D25" s="134">
        <v>12</v>
      </c>
      <c r="E25" s="129">
        <f t="shared" si="0"/>
        <v>78.91</v>
      </c>
      <c r="F25" s="118"/>
      <c r="G25" s="134">
        <f t="shared" si="14"/>
        <v>2038</v>
      </c>
      <c r="H25" s="127">
        <f t="shared" si="27"/>
        <v>15.08</v>
      </c>
      <c r="I25" s="134">
        <v>12</v>
      </c>
      <c r="J25" s="129">
        <f t="shared" si="1"/>
        <v>15.08</v>
      </c>
      <c r="K25" s="118"/>
      <c r="L25" s="134">
        <f t="shared" si="15"/>
        <v>2038</v>
      </c>
      <c r="M25" s="127">
        <f t="shared" si="28"/>
        <v>39.520000000000003</v>
      </c>
      <c r="N25" s="134">
        <v>12</v>
      </c>
      <c r="O25" s="129">
        <f t="shared" si="2"/>
        <v>39.520000000000003</v>
      </c>
      <c r="Q25" s="134">
        <f t="shared" si="16"/>
        <v>2038</v>
      </c>
      <c r="R25" s="127">
        <f t="shared" si="29"/>
        <v>18.309999999999999</v>
      </c>
      <c r="S25" s="134">
        <v>12</v>
      </c>
      <c r="T25" s="129">
        <f t="shared" si="3"/>
        <v>18.309999999999999</v>
      </c>
      <c r="U25" s="118"/>
      <c r="V25" s="134">
        <f t="shared" si="17"/>
        <v>2038</v>
      </c>
      <c r="W25" s="127">
        <f t="shared" si="30"/>
        <v>0</v>
      </c>
      <c r="X25" s="134">
        <v>12</v>
      </c>
      <c r="Y25" s="129">
        <f t="shared" si="4"/>
        <v>0</v>
      </c>
      <c r="Z25" s="118"/>
      <c r="AA25" s="134">
        <f t="shared" si="18"/>
        <v>2038</v>
      </c>
      <c r="AB25" s="127">
        <f t="shared" si="31"/>
        <v>71.739999999999995</v>
      </c>
      <c r="AC25" s="134">
        <v>12</v>
      </c>
      <c r="AD25" s="129">
        <f t="shared" si="5"/>
        <v>71.739999999999995</v>
      </c>
      <c r="AE25" s="118"/>
      <c r="AF25" s="134">
        <f t="shared" si="19"/>
        <v>2038</v>
      </c>
      <c r="AG25" s="127">
        <f t="shared" si="32"/>
        <v>37.32</v>
      </c>
      <c r="AH25" s="134">
        <v>12</v>
      </c>
      <c r="AI25" s="129">
        <f t="shared" si="6"/>
        <v>37.32</v>
      </c>
      <c r="AJ25" s="118"/>
      <c r="AK25" s="134">
        <f t="shared" si="20"/>
        <v>2038</v>
      </c>
      <c r="AL25" s="127">
        <f t="shared" si="33"/>
        <v>32.58</v>
      </c>
      <c r="AM25" s="134">
        <v>12</v>
      </c>
      <c r="AN25" s="129">
        <f t="shared" si="7"/>
        <v>32.58</v>
      </c>
      <c r="AO25" s="118"/>
      <c r="AP25" s="134">
        <f t="shared" si="21"/>
        <v>2038</v>
      </c>
      <c r="AQ25" s="127">
        <f t="shared" si="34"/>
        <v>11.42</v>
      </c>
      <c r="AR25" s="134">
        <v>12</v>
      </c>
      <c r="AS25" s="129">
        <f t="shared" si="8"/>
        <v>11.42</v>
      </c>
      <c r="AT25" s="118"/>
      <c r="AU25" s="134">
        <f t="shared" si="22"/>
        <v>2038</v>
      </c>
      <c r="AV25" s="127">
        <f t="shared" si="35"/>
        <v>14.6</v>
      </c>
      <c r="AW25" s="134">
        <v>12</v>
      </c>
      <c r="AX25" s="129">
        <f t="shared" si="9"/>
        <v>14.6</v>
      </c>
      <c r="AY25" s="118"/>
      <c r="AZ25" s="134">
        <f t="shared" si="23"/>
        <v>2038</v>
      </c>
      <c r="BA25" s="127">
        <f t="shared" si="36"/>
        <v>798.29</v>
      </c>
      <c r="BB25" s="134">
        <v>12</v>
      </c>
      <c r="BC25" s="129">
        <f t="shared" si="10"/>
        <v>798.29</v>
      </c>
      <c r="BE25" s="134">
        <f t="shared" si="24"/>
        <v>2038</v>
      </c>
      <c r="BF25" s="127">
        <f t="shared" si="37"/>
        <v>3.33</v>
      </c>
      <c r="BG25" s="134">
        <v>12</v>
      </c>
      <c r="BH25" s="129">
        <f t="shared" si="11"/>
        <v>3.33</v>
      </c>
      <c r="BJ25" s="134">
        <f t="shared" si="25"/>
        <v>2038</v>
      </c>
      <c r="BK25" s="127">
        <f t="shared" si="38"/>
        <v>6.96</v>
      </c>
      <c r="BL25" s="134">
        <v>12</v>
      </c>
      <c r="BM25" s="129">
        <f t="shared" si="12"/>
        <v>6.96</v>
      </c>
    </row>
    <row r="26" spans="2:65">
      <c r="B26" s="134">
        <f t="shared" si="13"/>
        <v>2039</v>
      </c>
      <c r="C26" s="127">
        <f t="shared" si="26"/>
        <v>80.72</v>
      </c>
      <c r="D26" s="134">
        <v>12</v>
      </c>
      <c r="E26" s="129">
        <f t="shared" si="0"/>
        <v>80.72</v>
      </c>
      <c r="F26" s="118"/>
      <c r="G26" s="134">
        <f t="shared" si="14"/>
        <v>2039</v>
      </c>
      <c r="H26" s="127">
        <f t="shared" si="27"/>
        <v>15.43</v>
      </c>
      <c r="I26" s="134">
        <v>12</v>
      </c>
      <c r="J26" s="129">
        <f t="shared" si="1"/>
        <v>15.43</v>
      </c>
      <c r="K26" s="118"/>
      <c r="L26" s="134">
        <f t="shared" si="15"/>
        <v>2039</v>
      </c>
      <c r="M26" s="127">
        <f t="shared" si="28"/>
        <v>40.43</v>
      </c>
      <c r="N26" s="134">
        <v>12</v>
      </c>
      <c r="O26" s="129">
        <f t="shared" si="2"/>
        <v>40.43</v>
      </c>
      <c r="Q26" s="134">
        <f t="shared" si="16"/>
        <v>2039</v>
      </c>
      <c r="R26" s="127">
        <f t="shared" si="29"/>
        <v>18.73</v>
      </c>
      <c r="S26" s="134">
        <v>12</v>
      </c>
      <c r="T26" s="129">
        <f t="shared" si="3"/>
        <v>18.73</v>
      </c>
      <c r="U26" s="118"/>
      <c r="V26" s="134">
        <f t="shared" si="17"/>
        <v>2039</v>
      </c>
      <c r="W26" s="127">
        <f t="shared" si="30"/>
        <v>0</v>
      </c>
      <c r="X26" s="134">
        <v>12</v>
      </c>
      <c r="Y26" s="129">
        <f t="shared" si="4"/>
        <v>0</v>
      </c>
      <c r="Z26" s="118"/>
      <c r="AA26" s="134">
        <f t="shared" si="18"/>
        <v>2039</v>
      </c>
      <c r="AB26" s="127">
        <f t="shared" si="31"/>
        <v>73.39</v>
      </c>
      <c r="AC26" s="134">
        <v>12</v>
      </c>
      <c r="AD26" s="129">
        <f t="shared" si="5"/>
        <v>73.39</v>
      </c>
      <c r="AE26" s="118"/>
      <c r="AF26" s="134">
        <f t="shared" si="19"/>
        <v>2039</v>
      </c>
      <c r="AG26" s="127">
        <f t="shared" si="32"/>
        <v>38.18</v>
      </c>
      <c r="AH26" s="134">
        <v>12</v>
      </c>
      <c r="AI26" s="129">
        <f t="shared" si="6"/>
        <v>38.18</v>
      </c>
      <c r="AJ26" s="118"/>
      <c r="AK26" s="134">
        <f t="shared" si="20"/>
        <v>2039</v>
      </c>
      <c r="AL26" s="127">
        <f t="shared" si="33"/>
        <v>33.33</v>
      </c>
      <c r="AM26" s="134">
        <v>12</v>
      </c>
      <c r="AN26" s="129">
        <f t="shared" si="7"/>
        <v>33.33</v>
      </c>
      <c r="AO26" s="118"/>
      <c r="AP26" s="134">
        <f t="shared" si="21"/>
        <v>2039</v>
      </c>
      <c r="AQ26" s="127">
        <f t="shared" si="34"/>
        <v>11.68</v>
      </c>
      <c r="AR26" s="134">
        <v>12</v>
      </c>
      <c r="AS26" s="129">
        <f t="shared" si="8"/>
        <v>11.68</v>
      </c>
      <c r="AT26" s="118"/>
      <c r="AU26" s="134">
        <f t="shared" si="22"/>
        <v>2039</v>
      </c>
      <c r="AV26" s="127">
        <f t="shared" si="35"/>
        <v>14.94</v>
      </c>
      <c r="AW26" s="134">
        <v>12</v>
      </c>
      <c r="AX26" s="129">
        <f t="shared" si="9"/>
        <v>14.94</v>
      </c>
      <c r="AY26" s="118"/>
      <c r="AZ26" s="134">
        <f t="shared" si="23"/>
        <v>2039</v>
      </c>
      <c r="BA26" s="127">
        <f t="shared" si="36"/>
        <v>816.65</v>
      </c>
      <c r="BB26" s="134">
        <v>12</v>
      </c>
      <c r="BC26" s="129">
        <f t="shared" si="10"/>
        <v>816.65</v>
      </c>
      <c r="BE26" s="134">
        <f t="shared" si="24"/>
        <v>2039</v>
      </c>
      <c r="BF26" s="127">
        <f t="shared" si="37"/>
        <v>3.41</v>
      </c>
      <c r="BG26" s="134">
        <v>12</v>
      </c>
      <c r="BH26" s="129">
        <f t="shared" si="11"/>
        <v>3.41</v>
      </c>
      <c r="BJ26" s="134">
        <f t="shared" si="25"/>
        <v>2039</v>
      </c>
      <c r="BK26" s="127">
        <f t="shared" si="38"/>
        <v>7.12</v>
      </c>
      <c r="BL26" s="134">
        <v>12</v>
      </c>
      <c r="BM26" s="129">
        <f t="shared" si="12"/>
        <v>7.12</v>
      </c>
    </row>
    <row r="27" spans="2:65">
      <c r="B27" s="134">
        <f t="shared" si="13"/>
        <v>2040</v>
      </c>
      <c r="C27" s="127">
        <f t="shared" si="26"/>
        <v>82.58</v>
      </c>
      <c r="D27" s="134">
        <v>12</v>
      </c>
      <c r="E27" s="129">
        <f t="shared" si="0"/>
        <v>82.58</v>
      </c>
      <c r="F27" s="118"/>
      <c r="G27" s="134">
        <f t="shared" si="14"/>
        <v>2040</v>
      </c>
      <c r="H27" s="127">
        <f t="shared" si="27"/>
        <v>15.78</v>
      </c>
      <c r="I27" s="134">
        <v>12</v>
      </c>
      <c r="J27" s="129">
        <f t="shared" si="1"/>
        <v>15.78</v>
      </c>
      <c r="K27" s="118"/>
      <c r="L27" s="134">
        <f t="shared" si="15"/>
        <v>2040</v>
      </c>
      <c r="M27" s="127">
        <f t="shared" si="28"/>
        <v>41.36</v>
      </c>
      <c r="N27" s="134">
        <v>12</v>
      </c>
      <c r="O27" s="129">
        <f t="shared" si="2"/>
        <v>41.36</v>
      </c>
      <c r="Q27" s="134">
        <f t="shared" si="16"/>
        <v>2040</v>
      </c>
      <c r="R27" s="127">
        <f t="shared" si="29"/>
        <v>19.16</v>
      </c>
      <c r="S27" s="134">
        <v>12</v>
      </c>
      <c r="T27" s="129">
        <f t="shared" si="3"/>
        <v>19.16</v>
      </c>
      <c r="U27" s="118"/>
      <c r="V27" s="333">
        <f t="shared" si="17"/>
        <v>2040</v>
      </c>
      <c r="W27" s="127">
        <f t="shared" si="30"/>
        <v>18.734858618571817</v>
      </c>
      <c r="X27" s="134">
        <v>12</v>
      </c>
      <c r="Y27" s="129">
        <f t="shared" si="4"/>
        <v>18.734858618571817</v>
      </c>
      <c r="Z27" s="118"/>
      <c r="AA27" s="134">
        <f t="shared" si="18"/>
        <v>2040</v>
      </c>
      <c r="AB27" s="127">
        <f t="shared" si="31"/>
        <v>75.08</v>
      </c>
      <c r="AC27" s="134">
        <v>12</v>
      </c>
      <c r="AD27" s="129">
        <f t="shared" si="5"/>
        <v>75.08</v>
      </c>
      <c r="AE27" s="118"/>
      <c r="AF27" s="134">
        <f t="shared" si="19"/>
        <v>2040</v>
      </c>
      <c r="AG27" s="127">
        <f t="shared" si="32"/>
        <v>39.06</v>
      </c>
      <c r="AH27" s="134">
        <v>12</v>
      </c>
      <c r="AI27" s="129">
        <f t="shared" si="6"/>
        <v>39.06</v>
      </c>
      <c r="AJ27" s="118"/>
      <c r="AK27" s="134">
        <f t="shared" si="20"/>
        <v>2040</v>
      </c>
      <c r="AL27" s="127">
        <f t="shared" si="33"/>
        <v>34.1</v>
      </c>
      <c r="AM27" s="134">
        <v>12</v>
      </c>
      <c r="AN27" s="129">
        <f t="shared" si="7"/>
        <v>34.1</v>
      </c>
      <c r="AO27" s="118"/>
      <c r="AP27" s="134">
        <f t="shared" si="21"/>
        <v>2040</v>
      </c>
      <c r="AQ27" s="127">
        <f t="shared" si="34"/>
        <v>11.95</v>
      </c>
      <c r="AR27" s="134">
        <v>12</v>
      </c>
      <c r="AS27" s="129">
        <f t="shared" si="8"/>
        <v>11.949999999999998</v>
      </c>
      <c r="AT27" s="118"/>
      <c r="AU27" s="134">
        <f t="shared" si="22"/>
        <v>2040</v>
      </c>
      <c r="AV27" s="127">
        <f t="shared" si="35"/>
        <v>15.28</v>
      </c>
      <c r="AW27" s="134">
        <v>12</v>
      </c>
      <c r="AX27" s="129">
        <f t="shared" si="9"/>
        <v>15.28</v>
      </c>
      <c r="AY27" s="118"/>
      <c r="AZ27" s="134">
        <f t="shared" si="23"/>
        <v>2040</v>
      </c>
      <c r="BA27" s="127">
        <f t="shared" si="36"/>
        <v>835.43</v>
      </c>
      <c r="BB27" s="134">
        <v>12</v>
      </c>
      <c r="BC27" s="129">
        <f t="shared" si="10"/>
        <v>835.43</v>
      </c>
      <c r="BE27" s="134">
        <f t="shared" si="24"/>
        <v>2040</v>
      </c>
      <c r="BF27" s="127">
        <f t="shared" si="37"/>
        <v>3.49</v>
      </c>
      <c r="BG27" s="134">
        <v>12</v>
      </c>
      <c r="BH27" s="129">
        <f t="shared" si="11"/>
        <v>3.49</v>
      </c>
      <c r="BJ27" s="134">
        <f t="shared" si="25"/>
        <v>2040</v>
      </c>
      <c r="BK27" s="127">
        <f t="shared" si="38"/>
        <v>7.28</v>
      </c>
      <c r="BL27" s="134">
        <v>12</v>
      </c>
      <c r="BM27" s="129">
        <f t="shared" si="12"/>
        <v>7.28</v>
      </c>
    </row>
    <row r="28" spans="2:65">
      <c r="B28" s="134">
        <f t="shared" si="13"/>
        <v>2041</v>
      </c>
      <c r="C28" s="127">
        <f t="shared" si="26"/>
        <v>84.48</v>
      </c>
      <c r="D28" s="134">
        <v>12</v>
      </c>
      <c r="E28" s="129">
        <f t="shared" si="0"/>
        <v>84.48</v>
      </c>
      <c r="F28" s="118"/>
      <c r="G28" s="134">
        <f t="shared" si="14"/>
        <v>2041</v>
      </c>
      <c r="H28" s="127">
        <f t="shared" si="27"/>
        <v>16.14</v>
      </c>
      <c r="I28" s="134">
        <v>12</v>
      </c>
      <c r="J28" s="129">
        <f t="shared" si="1"/>
        <v>16.14</v>
      </c>
      <c r="K28" s="118"/>
      <c r="L28" s="134">
        <f t="shared" si="15"/>
        <v>2041</v>
      </c>
      <c r="M28" s="127">
        <f t="shared" si="28"/>
        <v>42.31</v>
      </c>
      <c r="N28" s="134">
        <v>12</v>
      </c>
      <c r="O28" s="129">
        <f t="shared" si="2"/>
        <v>42.31</v>
      </c>
      <c r="Q28" s="134">
        <f t="shared" si="16"/>
        <v>2041</v>
      </c>
      <c r="R28" s="127">
        <f t="shared" si="29"/>
        <v>19.600000000000001</v>
      </c>
      <c r="S28" s="134">
        <v>12</v>
      </c>
      <c r="T28" s="129">
        <f t="shared" si="3"/>
        <v>19.600000000000001</v>
      </c>
      <c r="U28" s="118"/>
      <c r="V28" s="134">
        <f t="shared" si="17"/>
        <v>2041</v>
      </c>
      <c r="W28" s="127">
        <f t="shared" si="30"/>
        <v>19.170000000000002</v>
      </c>
      <c r="X28" s="134">
        <v>12</v>
      </c>
      <c r="Y28" s="129">
        <f t="shared" si="4"/>
        <v>19.170000000000002</v>
      </c>
      <c r="Z28" s="118"/>
      <c r="AA28" s="134">
        <f t="shared" si="18"/>
        <v>2041</v>
      </c>
      <c r="AB28" s="127">
        <f t="shared" si="31"/>
        <v>76.81</v>
      </c>
      <c r="AC28" s="134">
        <v>12</v>
      </c>
      <c r="AD28" s="129">
        <f t="shared" si="5"/>
        <v>76.81</v>
      </c>
      <c r="AE28" s="118"/>
      <c r="AF28" s="134">
        <f t="shared" si="19"/>
        <v>2041</v>
      </c>
      <c r="AG28" s="127">
        <f t="shared" si="32"/>
        <v>39.96</v>
      </c>
      <c r="AH28" s="134">
        <v>12</v>
      </c>
      <c r="AI28" s="129">
        <f t="shared" si="6"/>
        <v>39.96</v>
      </c>
      <c r="AJ28" s="118"/>
      <c r="AK28" s="134">
        <f t="shared" si="20"/>
        <v>2041</v>
      </c>
      <c r="AL28" s="127">
        <f t="shared" si="33"/>
        <v>34.880000000000003</v>
      </c>
      <c r="AM28" s="134">
        <v>12</v>
      </c>
      <c r="AN28" s="129">
        <f t="shared" si="7"/>
        <v>34.880000000000003</v>
      </c>
      <c r="AO28" s="118"/>
      <c r="AP28" s="134">
        <f t="shared" si="21"/>
        <v>2041</v>
      </c>
      <c r="AQ28" s="127">
        <f t="shared" si="34"/>
        <v>12.22</v>
      </c>
      <c r="AR28" s="134">
        <v>12</v>
      </c>
      <c r="AS28" s="129">
        <f t="shared" si="8"/>
        <v>12.22</v>
      </c>
      <c r="AT28" s="118"/>
      <c r="AU28" s="134">
        <f t="shared" si="22"/>
        <v>2041</v>
      </c>
      <c r="AV28" s="127">
        <f t="shared" si="35"/>
        <v>15.63</v>
      </c>
      <c r="AW28" s="134">
        <v>12</v>
      </c>
      <c r="AX28" s="129">
        <f t="shared" si="9"/>
        <v>15.63</v>
      </c>
      <c r="AY28" s="118"/>
      <c r="AZ28" s="134">
        <f t="shared" si="23"/>
        <v>2041</v>
      </c>
      <c r="BA28" s="127">
        <f t="shared" si="36"/>
        <v>854.64</v>
      </c>
      <c r="BB28" s="134">
        <v>12</v>
      </c>
      <c r="BC28" s="129">
        <f t="shared" si="10"/>
        <v>854.64</v>
      </c>
      <c r="BE28" s="134">
        <f t="shared" si="24"/>
        <v>2041</v>
      </c>
      <c r="BF28" s="127">
        <f t="shared" si="37"/>
        <v>3.57</v>
      </c>
      <c r="BG28" s="134">
        <v>12</v>
      </c>
      <c r="BH28" s="129">
        <f t="shared" si="11"/>
        <v>3.57</v>
      </c>
      <c r="BJ28" s="134">
        <f t="shared" si="25"/>
        <v>2041</v>
      </c>
      <c r="BK28" s="127">
        <f t="shared" si="38"/>
        <v>7.45</v>
      </c>
      <c r="BL28" s="134">
        <v>12</v>
      </c>
      <c r="BM28" s="129">
        <f t="shared" si="12"/>
        <v>7.45</v>
      </c>
    </row>
    <row r="29" spans="2:65">
      <c r="B29" s="134">
        <f t="shared" si="13"/>
        <v>2042</v>
      </c>
      <c r="C29" s="127">
        <f t="shared" si="26"/>
        <v>86.42</v>
      </c>
      <c r="D29" s="134">
        <v>12</v>
      </c>
      <c r="E29" s="129">
        <f t="shared" si="0"/>
        <v>86.42</v>
      </c>
      <c r="F29" s="118"/>
      <c r="G29" s="134">
        <f t="shared" si="14"/>
        <v>2042</v>
      </c>
      <c r="H29" s="127">
        <f t="shared" si="27"/>
        <v>16.510000000000002</v>
      </c>
      <c r="I29" s="134">
        <v>12</v>
      </c>
      <c r="J29" s="129">
        <f t="shared" si="1"/>
        <v>16.510000000000002</v>
      </c>
      <c r="K29" s="118"/>
      <c r="L29" s="134">
        <f t="shared" si="15"/>
        <v>2042</v>
      </c>
      <c r="M29" s="127">
        <f t="shared" si="28"/>
        <v>43.28</v>
      </c>
      <c r="N29" s="134">
        <v>12</v>
      </c>
      <c r="O29" s="129">
        <f t="shared" si="2"/>
        <v>43.28</v>
      </c>
      <c r="Q29" s="134">
        <f t="shared" si="16"/>
        <v>2042</v>
      </c>
      <c r="R29" s="127">
        <f t="shared" si="29"/>
        <v>20.05</v>
      </c>
      <c r="S29" s="134">
        <v>12</v>
      </c>
      <c r="T29" s="129">
        <f t="shared" si="3"/>
        <v>20.05</v>
      </c>
      <c r="U29" s="118"/>
      <c r="V29" s="134">
        <f t="shared" si="17"/>
        <v>2042</v>
      </c>
      <c r="W29" s="127">
        <f t="shared" si="30"/>
        <v>19.61</v>
      </c>
      <c r="X29" s="134">
        <v>12</v>
      </c>
      <c r="Y29" s="129">
        <f t="shared" si="4"/>
        <v>19.61</v>
      </c>
      <c r="Z29" s="118"/>
      <c r="AA29" s="134">
        <f t="shared" si="18"/>
        <v>2042</v>
      </c>
      <c r="AB29" s="127">
        <f t="shared" si="31"/>
        <v>78.58</v>
      </c>
      <c r="AC29" s="134">
        <v>12</v>
      </c>
      <c r="AD29" s="129">
        <f t="shared" si="5"/>
        <v>78.58</v>
      </c>
      <c r="AE29" s="118"/>
      <c r="AF29" s="134">
        <f t="shared" si="19"/>
        <v>2042</v>
      </c>
      <c r="AG29" s="127">
        <f t="shared" si="32"/>
        <v>40.880000000000003</v>
      </c>
      <c r="AH29" s="134">
        <v>12</v>
      </c>
      <c r="AI29" s="129">
        <f t="shared" si="6"/>
        <v>40.880000000000003</v>
      </c>
      <c r="AJ29" s="118"/>
      <c r="AK29" s="134">
        <f t="shared" si="20"/>
        <v>2042</v>
      </c>
      <c r="AL29" s="127">
        <f t="shared" si="33"/>
        <v>35.68</v>
      </c>
      <c r="AM29" s="134">
        <v>12</v>
      </c>
      <c r="AN29" s="129">
        <f t="shared" si="7"/>
        <v>35.68</v>
      </c>
      <c r="AO29" s="118"/>
      <c r="AP29" s="134">
        <f t="shared" si="21"/>
        <v>2042</v>
      </c>
      <c r="AQ29" s="127">
        <f t="shared" si="34"/>
        <v>12.5</v>
      </c>
      <c r="AR29" s="134">
        <v>12</v>
      </c>
      <c r="AS29" s="129">
        <f t="shared" si="8"/>
        <v>12.5</v>
      </c>
      <c r="AT29" s="118"/>
      <c r="AU29" s="134">
        <f t="shared" si="22"/>
        <v>2042</v>
      </c>
      <c r="AV29" s="127">
        <f t="shared" si="35"/>
        <v>15.99</v>
      </c>
      <c r="AW29" s="134">
        <v>12</v>
      </c>
      <c r="AX29" s="129">
        <f t="shared" si="9"/>
        <v>15.99</v>
      </c>
      <c r="AY29" s="118"/>
      <c r="AZ29" s="134">
        <f t="shared" si="23"/>
        <v>2042</v>
      </c>
      <c r="BA29" s="127">
        <f t="shared" si="36"/>
        <v>874.3</v>
      </c>
      <c r="BB29" s="134">
        <v>12</v>
      </c>
      <c r="BC29" s="129">
        <f t="shared" si="10"/>
        <v>874.29999999999984</v>
      </c>
      <c r="BE29" s="134">
        <f t="shared" si="24"/>
        <v>2042</v>
      </c>
      <c r="BF29" s="127">
        <f t="shared" si="37"/>
        <v>3.65</v>
      </c>
      <c r="BG29" s="134">
        <v>12</v>
      </c>
      <c r="BH29" s="129">
        <f t="shared" si="11"/>
        <v>3.65</v>
      </c>
      <c r="BJ29" s="134">
        <f t="shared" si="25"/>
        <v>2042</v>
      </c>
      <c r="BK29" s="127">
        <f t="shared" si="38"/>
        <v>7.62</v>
      </c>
      <c r="BL29" s="134">
        <v>12</v>
      </c>
      <c r="BM29" s="129">
        <f t="shared" si="12"/>
        <v>7.62</v>
      </c>
    </row>
    <row r="30" spans="2:65">
      <c r="B30" s="134">
        <f t="shared" si="13"/>
        <v>2043</v>
      </c>
      <c r="C30" s="127">
        <f t="shared" si="26"/>
        <v>88.41</v>
      </c>
      <c r="D30" s="134">
        <v>12</v>
      </c>
      <c r="E30" s="129">
        <f t="shared" si="0"/>
        <v>88.410000000000011</v>
      </c>
      <c r="F30" s="118"/>
      <c r="G30" s="134">
        <f t="shared" si="14"/>
        <v>2043</v>
      </c>
      <c r="H30" s="127">
        <f t="shared" si="27"/>
        <v>16.89</v>
      </c>
      <c r="I30" s="134">
        <v>12</v>
      </c>
      <c r="J30" s="129">
        <f t="shared" si="1"/>
        <v>16.89</v>
      </c>
      <c r="K30" s="118"/>
      <c r="L30" s="134">
        <f t="shared" si="15"/>
        <v>2043</v>
      </c>
      <c r="M30" s="127">
        <f t="shared" si="28"/>
        <v>44.28</v>
      </c>
      <c r="N30" s="134">
        <v>12</v>
      </c>
      <c r="O30" s="129">
        <f t="shared" si="2"/>
        <v>44.28</v>
      </c>
      <c r="Q30" s="134">
        <f t="shared" si="16"/>
        <v>2043</v>
      </c>
      <c r="R30" s="127">
        <f t="shared" si="29"/>
        <v>20.51</v>
      </c>
      <c r="S30" s="134">
        <v>12</v>
      </c>
      <c r="T30" s="129">
        <f t="shared" si="3"/>
        <v>20.51</v>
      </c>
      <c r="U30" s="118"/>
      <c r="V30" s="134">
        <f t="shared" si="17"/>
        <v>2043</v>
      </c>
      <c r="W30" s="127">
        <f t="shared" si="30"/>
        <v>20.059999999999999</v>
      </c>
      <c r="X30" s="134">
        <v>12</v>
      </c>
      <c r="Y30" s="129">
        <f t="shared" si="4"/>
        <v>20.059999999999999</v>
      </c>
      <c r="Z30" s="118"/>
      <c r="AA30" s="134">
        <f t="shared" si="18"/>
        <v>2043</v>
      </c>
      <c r="AB30" s="127">
        <f t="shared" si="31"/>
        <v>80.39</v>
      </c>
      <c r="AC30" s="134">
        <v>12</v>
      </c>
      <c r="AD30" s="129">
        <f t="shared" si="5"/>
        <v>80.39</v>
      </c>
      <c r="AE30" s="118"/>
      <c r="AF30" s="134">
        <f t="shared" si="19"/>
        <v>2043</v>
      </c>
      <c r="AG30" s="127">
        <f t="shared" si="32"/>
        <v>41.82</v>
      </c>
      <c r="AH30" s="134">
        <v>12</v>
      </c>
      <c r="AI30" s="129">
        <f t="shared" si="6"/>
        <v>41.82</v>
      </c>
      <c r="AJ30" s="118"/>
      <c r="AK30" s="134">
        <f t="shared" si="20"/>
        <v>2043</v>
      </c>
      <c r="AL30" s="127">
        <f t="shared" si="33"/>
        <v>36.5</v>
      </c>
      <c r="AM30" s="134">
        <v>12</v>
      </c>
      <c r="AN30" s="129">
        <f t="shared" si="7"/>
        <v>36.5</v>
      </c>
      <c r="AO30" s="118"/>
      <c r="AP30" s="134">
        <f t="shared" si="21"/>
        <v>2043</v>
      </c>
      <c r="AQ30" s="127">
        <f t="shared" si="34"/>
        <v>12.79</v>
      </c>
      <c r="AR30" s="134">
        <v>12</v>
      </c>
      <c r="AS30" s="129">
        <f t="shared" si="8"/>
        <v>12.79</v>
      </c>
      <c r="AT30" s="118"/>
      <c r="AU30" s="134">
        <f t="shared" si="22"/>
        <v>2043</v>
      </c>
      <c r="AV30" s="127">
        <f t="shared" si="35"/>
        <v>16.36</v>
      </c>
      <c r="AW30" s="134">
        <v>12</v>
      </c>
      <c r="AX30" s="129">
        <f t="shared" si="9"/>
        <v>16.36</v>
      </c>
      <c r="AY30" s="118"/>
      <c r="AZ30" s="134">
        <f t="shared" si="23"/>
        <v>2043</v>
      </c>
      <c r="BA30" s="127">
        <f t="shared" si="36"/>
        <v>894.41</v>
      </c>
      <c r="BB30" s="134">
        <v>12</v>
      </c>
      <c r="BC30" s="129">
        <f t="shared" si="10"/>
        <v>894.41</v>
      </c>
      <c r="BE30" s="134">
        <f t="shared" si="24"/>
        <v>2043</v>
      </c>
      <c r="BF30" s="127">
        <f t="shared" si="37"/>
        <v>3.73</v>
      </c>
      <c r="BG30" s="134">
        <v>12</v>
      </c>
      <c r="BH30" s="129">
        <f t="shared" si="11"/>
        <v>3.73</v>
      </c>
      <c r="BJ30" s="134">
        <f t="shared" si="25"/>
        <v>2043</v>
      </c>
      <c r="BK30" s="127">
        <f t="shared" si="38"/>
        <v>7.8</v>
      </c>
      <c r="BL30" s="134">
        <v>12</v>
      </c>
      <c r="BM30" s="129">
        <f t="shared" si="12"/>
        <v>7.8</v>
      </c>
    </row>
    <row r="31" spans="2:65">
      <c r="B31" s="134">
        <f t="shared" si="13"/>
        <v>2044</v>
      </c>
      <c r="C31" s="127">
        <f t="shared" si="26"/>
        <v>90.44</v>
      </c>
      <c r="D31" s="134">
        <v>12</v>
      </c>
      <c r="E31" s="129">
        <f t="shared" si="0"/>
        <v>90.44</v>
      </c>
      <c r="F31" s="118"/>
      <c r="G31" s="134">
        <f t="shared" si="14"/>
        <v>2044</v>
      </c>
      <c r="H31" s="127">
        <f t="shared" si="27"/>
        <v>17.28</v>
      </c>
      <c r="I31" s="134">
        <v>12</v>
      </c>
      <c r="J31" s="129">
        <f t="shared" si="1"/>
        <v>17.28</v>
      </c>
      <c r="K31" s="118"/>
      <c r="L31" s="134">
        <f t="shared" si="15"/>
        <v>2044</v>
      </c>
      <c r="M31" s="127">
        <f t="shared" si="28"/>
        <v>45.3</v>
      </c>
      <c r="N31" s="134">
        <v>12</v>
      </c>
      <c r="O31" s="129">
        <f t="shared" si="2"/>
        <v>45.29999999999999</v>
      </c>
      <c r="Q31" s="134">
        <f t="shared" si="16"/>
        <v>2044</v>
      </c>
      <c r="R31" s="127">
        <f t="shared" si="29"/>
        <v>20.98</v>
      </c>
      <c r="S31" s="134">
        <v>12</v>
      </c>
      <c r="T31" s="129">
        <f t="shared" si="3"/>
        <v>20.98</v>
      </c>
      <c r="U31" s="118"/>
      <c r="V31" s="134">
        <f t="shared" si="17"/>
        <v>2044</v>
      </c>
      <c r="W31" s="127">
        <f t="shared" si="30"/>
        <v>20.52</v>
      </c>
      <c r="X31" s="134">
        <v>12</v>
      </c>
      <c r="Y31" s="129">
        <f t="shared" si="4"/>
        <v>20.52</v>
      </c>
      <c r="Z31" s="118"/>
      <c r="AA31" s="134">
        <f t="shared" si="18"/>
        <v>2044</v>
      </c>
      <c r="AB31" s="127">
        <f t="shared" si="31"/>
        <v>82.24</v>
      </c>
      <c r="AC31" s="134">
        <v>12</v>
      </c>
      <c r="AD31" s="129">
        <f t="shared" si="5"/>
        <v>82.24</v>
      </c>
      <c r="AE31" s="118"/>
      <c r="AF31" s="134">
        <f t="shared" si="19"/>
        <v>2044</v>
      </c>
      <c r="AG31" s="127">
        <f t="shared" si="32"/>
        <v>42.78</v>
      </c>
      <c r="AH31" s="134">
        <v>12</v>
      </c>
      <c r="AI31" s="129">
        <f t="shared" si="6"/>
        <v>42.78</v>
      </c>
      <c r="AJ31" s="118"/>
      <c r="AK31" s="134">
        <f t="shared" si="20"/>
        <v>2044</v>
      </c>
      <c r="AL31" s="127">
        <f t="shared" si="33"/>
        <v>37.340000000000003</v>
      </c>
      <c r="AM31" s="134">
        <v>12</v>
      </c>
      <c r="AN31" s="129">
        <f t="shared" si="7"/>
        <v>37.340000000000003</v>
      </c>
      <c r="AO31" s="118"/>
      <c r="AP31" s="134">
        <f t="shared" si="21"/>
        <v>2044</v>
      </c>
      <c r="AQ31" s="127">
        <f t="shared" si="34"/>
        <v>13.08</v>
      </c>
      <c r="AR31" s="134">
        <v>12</v>
      </c>
      <c r="AS31" s="129">
        <f t="shared" si="8"/>
        <v>13.08</v>
      </c>
      <c r="AT31" s="118"/>
      <c r="AU31" s="134">
        <f t="shared" si="22"/>
        <v>2044</v>
      </c>
      <c r="AV31" s="127">
        <f t="shared" si="35"/>
        <v>16.739999999999998</v>
      </c>
      <c r="AW31" s="134">
        <v>12</v>
      </c>
      <c r="AX31" s="129">
        <f t="shared" si="9"/>
        <v>16.739999999999998</v>
      </c>
      <c r="AY31" s="118"/>
      <c r="AZ31" s="134">
        <f t="shared" si="23"/>
        <v>2044</v>
      </c>
      <c r="BA31" s="127">
        <f t="shared" si="36"/>
        <v>914.98</v>
      </c>
      <c r="BB31" s="134">
        <v>12</v>
      </c>
      <c r="BC31" s="129">
        <f t="shared" si="10"/>
        <v>914.98</v>
      </c>
      <c r="BE31" s="134">
        <f t="shared" si="24"/>
        <v>2044</v>
      </c>
      <c r="BF31" s="127">
        <f t="shared" si="37"/>
        <v>3.82</v>
      </c>
      <c r="BG31" s="134">
        <v>12</v>
      </c>
      <c r="BH31" s="129">
        <f t="shared" si="11"/>
        <v>3.82</v>
      </c>
      <c r="BJ31" s="134">
        <f t="shared" si="25"/>
        <v>2044</v>
      </c>
      <c r="BK31" s="127">
        <f t="shared" si="38"/>
        <v>7.98</v>
      </c>
      <c r="BL31" s="134">
        <v>12</v>
      </c>
      <c r="BM31" s="129">
        <f t="shared" si="12"/>
        <v>7.98</v>
      </c>
    </row>
    <row r="32" spans="2:65">
      <c r="B32" s="134">
        <f t="shared" si="13"/>
        <v>2045</v>
      </c>
      <c r="C32" s="127">
        <f t="shared" si="26"/>
        <v>92.52</v>
      </c>
      <c r="D32" s="134">
        <v>12</v>
      </c>
      <c r="E32" s="129">
        <f t="shared" si="0"/>
        <v>92.52</v>
      </c>
      <c r="F32" s="118"/>
      <c r="G32" s="134">
        <f t="shared" si="14"/>
        <v>2045</v>
      </c>
      <c r="H32" s="127">
        <f t="shared" si="27"/>
        <v>17.68</v>
      </c>
      <c r="I32" s="134">
        <v>12</v>
      </c>
      <c r="J32" s="129">
        <f t="shared" si="1"/>
        <v>17.68</v>
      </c>
      <c r="K32" s="118"/>
      <c r="L32" s="134">
        <f t="shared" si="15"/>
        <v>2045</v>
      </c>
      <c r="M32" s="127">
        <f t="shared" si="28"/>
        <v>46.34</v>
      </c>
      <c r="N32" s="134">
        <v>12</v>
      </c>
      <c r="O32" s="129">
        <f t="shared" si="2"/>
        <v>46.34</v>
      </c>
      <c r="Q32" s="134">
        <f t="shared" si="16"/>
        <v>2045</v>
      </c>
      <c r="R32" s="127">
        <f t="shared" si="29"/>
        <v>21.46</v>
      </c>
      <c r="S32" s="134">
        <v>12</v>
      </c>
      <c r="T32" s="129">
        <f t="shared" si="3"/>
        <v>21.459999999999997</v>
      </c>
      <c r="U32" s="118"/>
      <c r="V32" s="134">
        <f t="shared" si="17"/>
        <v>2045</v>
      </c>
      <c r="W32" s="127">
        <f t="shared" si="30"/>
        <v>20.99</v>
      </c>
      <c r="X32" s="134">
        <v>12</v>
      </c>
      <c r="Y32" s="129">
        <f t="shared" si="4"/>
        <v>20.99</v>
      </c>
      <c r="Z32" s="118"/>
      <c r="AA32" s="134">
        <f t="shared" si="18"/>
        <v>2045</v>
      </c>
      <c r="AB32" s="127">
        <f t="shared" si="31"/>
        <v>84.13</v>
      </c>
      <c r="AC32" s="134">
        <v>12</v>
      </c>
      <c r="AD32" s="129">
        <f t="shared" si="5"/>
        <v>84.13</v>
      </c>
      <c r="AE32" s="118"/>
      <c r="AF32" s="134">
        <f t="shared" si="19"/>
        <v>2045</v>
      </c>
      <c r="AG32" s="127">
        <f t="shared" si="32"/>
        <v>43.76</v>
      </c>
      <c r="AH32" s="134">
        <v>12</v>
      </c>
      <c r="AI32" s="129">
        <f t="shared" si="6"/>
        <v>43.76</v>
      </c>
      <c r="AJ32" s="118"/>
      <c r="AK32" s="134">
        <f t="shared" si="20"/>
        <v>2045</v>
      </c>
      <c r="AL32" s="127">
        <f t="shared" si="33"/>
        <v>38.200000000000003</v>
      </c>
      <c r="AM32" s="134">
        <v>12</v>
      </c>
      <c r="AN32" s="129">
        <f t="shared" si="7"/>
        <v>38.200000000000003</v>
      </c>
      <c r="AO32" s="118"/>
      <c r="AP32" s="134">
        <f t="shared" si="21"/>
        <v>2045</v>
      </c>
      <c r="AQ32" s="127">
        <f t="shared" si="34"/>
        <v>13.38</v>
      </c>
      <c r="AR32" s="134">
        <v>12</v>
      </c>
      <c r="AS32" s="129">
        <f t="shared" si="8"/>
        <v>13.38</v>
      </c>
      <c r="AT32" s="118"/>
      <c r="AU32" s="134">
        <f t="shared" si="22"/>
        <v>2045</v>
      </c>
      <c r="AV32" s="127">
        <f t="shared" si="35"/>
        <v>17.13</v>
      </c>
      <c r="AW32" s="134">
        <v>12</v>
      </c>
      <c r="AX32" s="129">
        <f t="shared" si="9"/>
        <v>17.13</v>
      </c>
      <c r="AY32" s="118"/>
      <c r="AZ32" s="134">
        <f t="shared" si="23"/>
        <v>2045</v>
      </c>
      <c r="BA32" s="127">
        <f t="shared" si="36"/>
        <v>936.02</v>
      </c>
      <c r="BB32" s="134">
        <v>12</v>
      </c>
      <c r="BC32" s="129">
        <f t="shared" si="10"/>
        <v>936.02</v>
      </c>
      <c r="BE32" s="134">
        <f t="shared" si="24"/>
        <v>2045</v>
      </c>
      <c r="BF32" s="127">
        <f t="shared" si="37"/>
        <v>3.91</v>
      </c>
      <c r="BG32" s="134">
        <v>12</v>
      </c>
      <c r="BH32" s="129">
        <f t="shared" si="11"/>
        <v>3.91</v>
      </c>
      <c r="BJ32" s="134">
        <f t="shared" si="25"/>
        <v>2045</v>
      </c>
      <c r="BK32" s="127">
        <f t="shared" si="38"/>
        <v>8.16</v>
      </c>
      <c r="BL32" s="134">
        <v>12</v>
      </c>
      <c r="BM32" s="129">
        <f t="shared" si="12"/>
        <v>8.16</v>
      </c>
    </row>
    <row r="33" spans="2:65">
      <c r="B33" s="134"/>
      <c r="C33" s="127"/>
      <c r="D33" s="134"/>
      <c r="E33" s="129"/>
      <c r="F33" s="118"/>
      <c r="G33" s="134"/>
      <c r="H33" s="127"/>
      <c r="I33" s="134"/>
      <c r="J33" s="129"/>
      <c r="K33" s="118"/>
      <c r="L33" s="134"/>
      <c r="M33" s="127"/>
      <c r="N33" s="134"/>
      <c r="O33" s="129"/>
      <c r="Q33" s="134"/>
      <c r="R33" s="127"/>
      <c r="S33" s="134"/>
      <c r="T33" s="129"/>
      <c r="U33" s="118"/>
      <c r="V33" s="134"/>
      <c r="W33" s="127"/>
      <c r="X33" s="134"/>
      <c r="Y33" s="129"/>
      <c r="Z33" s="118"/>
      <c r="AA33" s="134"/>
      <c r="AB33" s="127"/>
      <c r="AC33" s="134"/>
      <c r="AD33" s="129"/>
      <c r="AE33" s="118"/>
      <c r="AF33" s="134"/>
      <c r="AG33" s="127"/>
      <c r="AH33" s="134"/>
      <c r="AI33" s="129"/>
      <c r="AJ33" s="118"/>
      <c r="AK33" s="134"/>
      <c r="AL33" s="127"/>
      <c r="AM33" s="134"/>
      <c r="AN33" s="129"/>
      <c r="AO33" s="118"/>
      <c r="AP33" s="134"/>
      <c r="AQ33" s="127"/>
      <c r="AR33" s="134"/>
      <c r="AS33" s="129"/>
      <c r="AT33" s="118"/>
      <c r="AU33" s="134"/>
      <c r="AV33" s="127"/>
      <c r="AW33" s="134"/>
      <c r="AX33" s="129"/>
      <c r="AY33" s="118"/>
      <c r="AZ33" s="134"/>
      <c r="BA33" s="127"/>
      <c r="BB33" s="134"/>
      <c r="BC33" s="129"/>
      <c r="BE33" s="134"/>
      <c r="BF33" s="127"/>
      <c r="BG33" s="134"/>
      <c r="BH33" s="129"/>
      <c r="BJ33" s="134"/>
      <c r="BK33" s="127"/>
      <c r="BL33" s="134"/>
      <c r="BM33" s="129"/>
    </row>
    <row r="34" spans="2:65">
      <c r="B34" s="134"/>
      <c r="C34" s="130"/>
      <c r="D34" s="127"/>
      <c r="E34" s="127"/>
      <c r="F34" s="128"/>
      <c r="G34" s="134"/>
      <c r="H34" s="130"/>
      <c r="I34" s="127"/>
      <c r="J34" s="127"/>
      <c r="K34" s="128"/>
      <c r="L34" s="134"/>
      <c r="M34" s="130"/>
      <c r="N34" s="127"/>
      <c r="O34" s="127"/>
      <c r="Q34" s="134"/>
      <c r="R34" s="130"/>
      <c r="S34" s="127"/>
      <c r="T34" s="127"/>
      <c r="U34" s="128"/>
      <c r="V34" s="134"/>
      <c r="W34" s="130"/>
      <c r="X34" s="127"/>
      <c r="Y34" s="127"/>
      <c r="Z34" s="128"/>
      <c r="AA34" s="134"/>
      <c r="AB34" s="130"/>
      <c r="AC34" s="127"/>
      <c r="AD34" s="127"/>
      <c r="AE34" s="128"/>
      <c r="AF34" s="134"/>
      <c r="AG34" s="130"/>
      <c r="AH34" s="127"/>
      <c r="AI34" s="127"/>
      <c r="AJ34" s="128"/>
      <c r="AK34" s="134"/>
      <c r="AL34" s="130"/>
      <c r="AM34" s="127"/>
      <c r="AN34" s="127"/>
      <c r="AO34" s="128"/>
      <c r="AP34" s="134"/>
      <c r="AQ34" s="130"/>
      <c r="AR34" s="127"/>
      <c r="AS34" s="127"/>
      <c r="AT34" s="128"/>
      <c r="AU34" s="134"/>
      <c r="AV34" s="130"/>
      <c r="AW34" s="127"/>
      <c r="AX34" s="127"/>
      <c r="AY34" s="128"/>
      <c r="AZ34" s="134"/>
      <c r="BA34" s="130"/>
      <c r="BB34" s="127"/>
      <c r="BC34" s="127"/>
      <c r="BD34" s="136"/>
      <c r="BE34" s="134"/>
      <c r="BF34" s="130"/>
      <c r="BG34" s="127"/>
      <c r="BH34" s="127"/>
      <c r="BJ34" s="134"/>
      <c r="BK34" s="130"/>
      <c r="BL34" s="127"/>
      <c r="BM34" s="127"/>
    </row>
    <row r="35" spans="2:65" s="118" customFormat="1" ht="12" customHeight="1">
      <c r="C35" s="127" t="s">
        <v>98</v>
      </c>
      <c r="D35" s="341">
        <v>2025</v>
      </c>
      <c r="H35" s="127" t="s">
        <v>98</v>
      </c>
      <c r="I35" s="341">
        <v>2033</v>
      </c>
      <c r="M35" s="127" t="s">
        <v>98</v>
      </c>
      <c r="N35" s="341">
        <v>2032</v>
      </c>
      <c r="R35" s="127" t="s">
        <v>98</v>
      </c>
      <c r="S35" s="341">
        <v>2037</v>
      </c>
      <c r="W35" s="127" t="s">
        <v>98</v>
      </c>
      <c r="X35" s="341">
        <v>2040</v>
      </c>
      <c r="AB35" s="127" t="s">
        <v>98</v>
      </c>
      <c r="AC35" s="341">
        <v>2026</v>
      </c>
      <c r="AG35" s="127" t="s">
        <v>98</v>
      </c>
      <c r="AH35" s="341">
        <v>2037</v>
      </c>
      <c r="AL35" s="127" t="s">
        <v>98</v>
      </c>
      <c r="AM35" s="341">
        <v>2026</v>
      </c>
      <c r="AQ35" s="127" t="s">
        <v>98</v>
      </c>
      <c r="AR35" s="341">
        <v>2028</v>
      </c>
      <c r="AV35" s="127" t="s">
        <v>98</v>
      </c>
      <c r="AW35" s="341">
        <v>2031</v>
      </c>
      <c r="BA35" s="127" t="s">
        <v>98</v>
      </c>
      <c r="BB35" s="341">
        <v>2024</v>
      </c>
      <c r="BF35" s="127" t="s">
        <v>98</v>
      </c>
      <c r="BG35" s="341">
        <v>2026</v>
      </c>
      <c r="BK35" s="127" t="s">
        <v>98</v>
      </c>
      <c r="BL35" s="341">
        <v>2030</v>
      </c>
    </row>
    <row r="36" spans="2:65">
      <c r="C36" s="173" t="s">
        <v>84</v>
      </c>
      <c r="D36" s="341">
        <v>1200</v>
      </c>
      <c r="H36" s="173" t="s">
        <v>84</v>
      </c>
      <c r="I36" s="341">
        <v>800</v>
      </c>
      <c r="M36" s="173" t="s">
        <v>84</v>
      </c>
      <c r="N36" s="341">
        <v>450</v>
      </c>
      <c r="R36" s="173" t="s">
        <v>84</v>
      </c>
      <c r="S36" s="341">
        <v>1500</v>
      </c>
      <c r="W36" s="173" t="s">
        <v>84</v>
      </c>
      <c r="X36" s="341">
        <v>1500</v>
      </c>
      <c r="AB36" s="173" t="s">
        <v>84</v>
      </c>
      <c r="AC36" s="341">
        <v>600</v>
      </c>
      <c r="AG36" s="173" t="s">
        <v>84</v>
      </c>
      <c r="AH36" s="341">
        <v>100</v>
      </c>
      <c r="AL36" s="173" t="s">
        <v>84</v>
      </c>
      <c r="AM36" s="341">
        <v>130</v>
      </c>
      <c r="AQ36" s="173" t="s">
        <v>84</v>
      </c>
      <c r="AR36" s="341">
        <v>460</v>
      </c>
      <c r="AV36" s="173" t="s">
        <v>84</v>
      </c>
      <c r="AW36" s="341">
        <v>1040</v>
      </c>
      <c r="BA36" s="173" t="s">
        <v>84</v>
      </c>
      <c r="BB36" s="341">
        <v>1</v>
      </c>
      <c r="BF36" s="173" t="s">
        <v>84</v>
      </c>
      <c r="BG36" s="341">
        <v>615</v>
      </c>
      <c r="BK36" s="173" t="s">
        <v>84</v>
      </c>
      <c r="BL36" s="341">
        <v>180</v>
      </c>
    </row>
    <row r="37" spans="2:65">
      <c r="B37" s="128"/>
      <c r="C37" s="127" t="s">
        <v>143</v>
      </c>
      <c r="D37" s="127">
        <v>1154.8910000000001</v>
      </c>
      <c r="G37" s="128"/>
      <c r="H37" s="127" t="s">
        <v>143</v>
      </c>
      <c r="I37" s="127">
        <v>177.0261551621</v>
      </c>
      <c r="L37" s="128"/>
      <c r="M37" s="127" t="s">
        <v>143</v>
      </c>
      <c r="N37" s="127">
        <v>255.04159171772</v>
      </c>
      <c r="Q37" s="128"/>
      <c r="R37" s="127" t="s">
        <v>143</v>
      </c>
      <c r="S37" s="127">
        <v>441.44954951787003</v>
      </c>
      <c r="V37" s="128"/>
      <c r="W37" s="127" t="s">
        <v>143</v>
      </c>
      <c r="X37" s="127">
        <v>461.96883956552</v>
      </c>
      <c r="AA37" s="128"/>
      <c r="AB37" s="127" t="s">
        <v>143</v>
      </c>
      <c r="AC37" s="127">
        <v>536.96799999999996</v>
      </c>
      <c r="AF37" s="128"/>
      <c r="AG37" s="127" t="s">
        <v>143</v>
      </c>
      <c r="AH37" s="127">
        <v>59.978132247920001</v>
      </c>
      <c r="AK37" s="128"/>
      <c r="AL37" s="127" t="s">
        <v>143</v>
      </c>
      <c r="AM37" s="127">
        <v>52.870949521059998</v>
      </c>
      <c r="AP37" s="128"/>
      <c r="AQ37" s="127" t="s">
        <v>143</v>
      </c>
      <c r="AR37" s="127">
        <v>68.767544826700004</v>
      </c>
      <c r="AU37" s="128"/>
      <c r="AV37" s="127" t="s">
        <v>143</v>
      </c>
      <c r="AW37" s="127">
        <v>212.93785126190002</v>
      </c>
      <c r="AZ37" s="128"/>
      <c r="BA37" s="127" t="s">
        <v>143</v>
      </c>
      <c r="BB37" s="127">
        <v>9.5169999999999995</v>
      </c>
      <c r="BE37" s="128"/>
      <c r="BF37" s="127" t="s">
        <v>143</v>
      </c>
      <c r="BG37" s="127">
        <v>25.63422726173</v>
      </c>
      <c r="BJ37" s="128"/>
      <c r="BK37" s="127" t="s">
        <v>143</v>
      </c>
      <c r="BL37" s="127">
        <v>17.15324548888</v>
      </c>
    </row>
    <row r="38" spans="2:65">
      <c r="B38" s="128"/>
      <c r="C38" s="127" t="s">
        <v>144</v>
      </c>
      <c r="D38" s="369">
        <v>6.0831565943468884E-2</v>
      </c>
      <c r="G38" s="128"/>
      <c r="H38" s="127" t="s">
        <v>144</v>
      </c>
      <c r="I38" s="339">
        <v>6.0831565943468884E-2</v>
      </c>
      <c r="L38" s="128"/>
      <c r="M38" s="127" t="s">
        <v>144</v>
      </c>
      <c r="N38" s="339">
        <v>6.0831565943468884E-2</v>
      </c>
      <c r="Q38" s="128"/>
      <c r="R38" s="127" t="s">
        <v>144</v>
      </c>
      <c r="S38" s="339">
        <v>6.0831565943468884E-2</v>
      </c>
      <c r="V38" s="128"/>
      <c r="W38" s="127" t="s">
        <v>144</v>
      </c>
      <c r="X38" s="339">
        <v>6.0831565943468884E-2</v>
      </c>
      <c r="AA38" s="128"/>
      <c r="AB38" s="127" t="s">
        <v>144</v>
      </c>
      <c r="AC38" s="339">
        <v>6.0831565943468884E-2</v>
      </c>
      <c r="AF38" s="128"/>
      <c r="AG38" s="127" t="s">
        <v>144</v>
      </c>
      <c r="AH38" s="339">
        <v>6.0831565943468884E-2</v>
      </c>
      <c r="AK38" s="128"/>
      <c r="AL38" s="127" t="s">
        <v>144</v>
      </c>
      <c r="AM38" s="339">
        <v>6.0831565943468884E-2</v>
      </c>
      <c r="AP38" s="128"/>
      <c r="AQ38" s="127" t="s">
        <v>144</v>
      </c>
      <c r="AR38" s="339">
        <v>6.0831565943468884E-2</v>
      </c>
      <c r="AU38" s="128"/>
      <c r="AV38" s="127" t="s">
        <v>144</v>
      </c>
      <c r="AW38" s="339">
        <v>6.0831565943468884E-2</v>
      </c>
      <c r="AZ38" s="128"/>
      <c r="BA38" s="127" t="s">
        <v>144</v>
      </c>
      <c r="BB38" s="339">
        <v>6.0831565943468884E-2</v>
      </c>
      <c r="BE38" s="128"/>
      <c r="BF38" s="127" t="s">
        <v>144</v>
      </c>
      <c r="BG38" s="339">
        <v>6.0831565943468884E-2</v>
      </c>
      <c r="BJ38" s="128"/>
      <c r="BK38" s="127" t="s">
        <v>144</v>
      </c>
      <c r="BL38" s="339">
        <v>6.0831565943468884E-2</v>
      </c>
    </row>
    <row r="39" spans="2:65" ht="41.25" customHeight="1">
      <c r="B39" s="450" t="s">
        <v>162</v>
      </c>
      <c r="C39" s="446"/>
      <c r="D39" s="340">
        <f>D37*1000000*D38/(D36*1000)</f>
        <v>58.544856686682266</v>
      </c>
      <c r="G39" s="450" t="s">
        <v>150</v>
      </c>
      <c r="H39" s="446"/>
      <c r="I39" s="340">
        <f>I37*1000000*I38/(I36*1000)</f>
        <v>13.460972789327549</v>
      </c>
      <c r="L39" s="450" t="s">
        <v>165</v>
      </c>
      <c r="M39" s="446"/>
      <c r="N39" s="340">
        <f>N37*1000000*N38/(N36*1000)</f>
        <v>34.476843122008333</v>
      </c>
      <c r="Q39" s="446" t="s">
        <v>152</v>
      </c>
      <c r="R39" s="446"/>
      <c r="S39" s="340">
        <f>S37*1000000*S38/(S36*1000)</f>
        <v>17.902711588140626</v>
      </c>
      <c r="V39" s="446" t="s">
        <v>169</v>
      </c>
      <c r="W39" s="446"/>
      <c r="X39" s="340">
        <f>X37*1000000*X38/(X36*1000)</f>
        <v>18.734858618571817</v>
      </c>
      <c r="AA39" s="446" t="s">
        <v>172</v>
      </c>
      <c r="AB39" s="446"/>
      <c r="AC39" s="340">
        <f>AC37*1000000*AC38/(AC36*1000)</f>
        <v>54.441007169221002</v>
      </c>
      <c r="AF39" s="446" t="s">
        <v>152</v>
      </c>
      <c r="AG39" s="446"/>
      <c r="AH39" s="340">
        <f>AH37*1000000*AH38/(AH36*1000)</f>
        <v>36.48563707005443</v>
      </c>
      <c r="AK39" s="446" t="s">
        <v>172</v>
      </c>
      <c r="AL39" s="446"/>
      <c r="AM39" s="340">
        <f>AM37*1000000*AM38/(AM36*1000)</f>
        <v>24.740174248339812</v>
      </c>
      <c r="AP39" s="446" t="s">
        <v>174</v>
      </c>
      <c r="AQ39" s="446"/>
      <c r="AR39" s="340">
        <f>AR37*1000000*AR38/(AR36*1000)</f>
        <v>9.0939944302083777</v>
      </c>
      <c r="AU39" s="446" t="s">
        <v>175</v>
      </c>
      <c r="AV39" s="446"/>
      <c r="AW39" s="340">
        <f>AW37*1000000*AW38/(AW36*1000)</f>
        <v>12.45513744317196</v>
      </c>
      <c r="AZ39" s="446" t="s">
        <v>142</v>
      </c>
      <c r="BA39" s="446"/>
      <c r="BB39" s="340">
        <f>BB37*1000000*BB38/(BB36*1000)</f>
        <v>578.93401308399336</v>
      </c>
      <c r="BE39" s="446" t="s">
        <v>172</v>
      </c>
      <c r="BF39" s="446"/>
      <c r="BG39" s="340">
        <f>BG37*1000000*BG38/(BG36*1000)</f>
        <v>2.5355612781817829</v>
      </c>
      <c r="BJ39" s="446" t="s">
        <v>151</v>
      </c>
      <c r="BK39" s="446"/>
      <c r="BL39" s="340">
        <f>BL37*1000000*BL38/(BL36*1000)</f>
        <v>5.7969932450072994</v>
      </c>
    </row>
    <row r="40" spans="2:65">
      <c r="B40" s="125"/>
      <c r="C40" s="130"/>
      <c r="D40" s="127"/>
      <c r="E40" s="127"/>
      <c r="F40" s="128"/>
      <c r="I40" s="129"/>
      <c r="J40" s="129"/>
      <c r="K40" s="128"/>
      <c r="N40" s="129"/>
      <c r="O40" s="129"/>
      <c r="U40" s="128"/>
      <c r="X40" s="129"/>
      <c r="Y40" s="129"/>
      <c r="Z40" s="128"/>
      <c r="AC40" s="129"/>
      <c r="AD40" s="129"/>
      <c r="AE40" s="128"/>
      <c r="AH40" s="129"/>
      <c r="AI40" s="129"/>
      <c r="AJ40" s="128"/>
      <c r="AM40" s="129"/>
      <c r="AN40" s="129"/>
      <c r="AO40" s="128"/>
      <c r="AR40" s="129"/>
      <c r="AS40" s="129"/>
      <c r="AT40" s="128"/>
      <c r="AW40" s="129"/>
      <c r="AX40" s="129"/>
      <c r="AY40" s="128"/>
      <c r="BB40" s="129"/>
      <c r="BC40" s="129"/>
      <c r="BD40" s="136"/>
    </row>
    <row r="41" spans="2:65">
      <c r="E41" s="127"/>
      <c r="I41" s="129"/>
      <c r="J41" s="129"/>
      <c r="K41" s="136"/>
    </row>
    <row r="42" spans="2:65" ht="13.8" thickBot="1">
      <c r="D42" s="152"/>
    </row>
    <row r="43" spans="2:65" ht="13.8" thickBot="1">
      <c r="C43" s="40" t="str">
        <f>"Company Official Inflation Forecast Dated "&amp;TEXT('Table 4'!$H$5,"mmmm dd, yyyy")</f>
        <v>Company Official Inflation Forecast Dated December 31, 2021</v>
      </c>
      <c r="D43" s="140"/>
      <c r="E43" s="140"/>
      <c r="F43" s="140"/>
      <c r="G43" s="140"/>
      <c r="H43" s="140"/>
      <c r="I43" s="140"/>
      <c r="J43" s="140"/>
      <c r="K43" s="142"/>
    </row>
    <row r="44" spans="2:65">
      <c r="C44" s="87">
        <v>2019</v>
      </c>
      <c r="D44" s="41">
        <v>1.7999999999999999E-2</v>
      </c>
      <c r="E44" s="85"/>
      <c r="F44" s="87">
        <f>C52+1</f>
        <v>2028</v>
      </c>
      <c r="G44" s="41">
        <v>2.4E-2</v>
      </c>
      <c r="H44" s="85"/>
      <c r="I44" s="87">
        <f>F52+1</f>
        <v>2037</v>
      </c>
      <c r="J44" s="41">
        <v>2.3E-2</v>
      </c>
    </row>
    <row r="45" spans="2:65">
      <c r="C45" s="87">
        <f t="shared" ref="C45:C52" si="39">C44+1</f>
        <v>2020</v>
      </c>
      <c r="D45" s="41">
        <v>1.2999999999999999E-2</v>
      </c>
      <c r="E45" s="85"/>
      <c r="F45" s="87">
        <f t="shared" ref="F45:F52" si="40">F44+1</f>
        <v>2029</v>
      </c>
      <c r="G45" s="41">
        <v>2.4E-2</v>
      </c>
      <c r="H45" s="85"/>
      <c r="I45" s="87">
        <f t="shared" ref="I45:I52" si="41">I44+1</f>
        <v>2038</v>
      </c>
      <c r="J45" s="41">
        <v>2.3E-2</v>
      </c>
    </row>
    <row r="46" spans="2:65">
      <c r="C46" s="87">
        <f t="shared" si="39"/>
        <v>2021</v>
      </c>
      <c r="D46" s="41">
        <v>4.2999999999999997E-2</v>
      </c>
      <c r="E46" s="85"/>
      <c r="F46" s="87">
        <f t="shared" si="40"/>
        <v>2030</v>
      </c>
      <c r="G46" s="41">
        <v>2.3E-2</v>
      </c>
      <c r="H46" s="85"/>
      <c r="I46" s="87">
        <f t="shared" si="41"/>
        <v>2039</v>
      </c>
      <c r="J46" s="41">
        <v>2.3E-2</v>
      </c>
    </row>
    <row r="47" spans="2:65">
      <c r="C47" s="87">
        <f t="shared" si="39"/>
        <v>2022</v>
      </c>
      <c r="D47" s="41">
        <v>3.6999999999999998E-2</v>
      </c>
      <c r="E47" s="85"/>
      <c r="F47" s="87">
        <f t="shared" si="40"/>
        <v>2031</v>
      </c>
      <c r="G47" s="41">
        <v>2.3E-2</v>
      </c>
      <c r="H47" s="85"/>
      <c r="I47" s="87">
        <f t="shared" si="41"/>
        <v>2040</v>
      </c>
      <c r="J47" s="41">
        <v>2.3E-2</v>
      </c>
    </row>
    <row r="48" spans="2:65" s="118" customFormat="1">
      <c r="B48" s="116"/>
      <c r="C48" s="87">
        <f t="shared" si="39"/>
        <v>2023</v>
      </c>
      <c r="D48" s="41">
        <v>2.3E-2</v>
      </c>
      <c r="E48" s="85"/>
      <c r="F48" s="87">
        <f t="shared" si="40"/>
        <v>2032</v>
      </c>
      <c r="G48" s="41">
        <v>2.3E-2</v>
      </c>
      <c r="H48" s="85"/>
      <c r="I48" s="87">
        <f t="shared" si="41"/>
        <v>2041</v>
      </c>
      <c r="J48" s="41">
        <v>2.3E-2</v>
      </c>
      <c r="K48" s="116"/>
      <c r="L48" s="116"/>
      <c r="M48" s="116"/>
      <c r="N48" s="116"/>
      <c r="O48" s="116"/>
      <c r="P48" s="116"/>
      <c r="BG48" s="161"/>
      <c r="BL48" s="161"/>
    </row>
    <row r="49" spans="2:64" s="118" customFormat="1">
      <c r="B49" s="116"/>
      <c r="C49" s="87">
        <f t="shared" si="39"/>
        <v>2024</v>
      </c>
      <c r="D49" s="41">
        <v>2.3E-2</v>
      </c>
      <c r="E49" s="85"/>
      <c r="F49" s="87">
        <f t="shared" si="40"/>
        <v>2033</v>
      </c>
      <c r="G49" s="41">
        <v>2.3E-2</v>
      </c>
      <c r="H49" s="85"/>
      <c r="I49" s="87">
        <f t="shared" si="41"/>
        <v>2042</v>
      </c>
      <c r="J49" s="41">
        <v>2.3E-2</v>
      </c>
      <c r="K49" s="116"/>
      <c r="L49" s="116"/>
      <c r="M49" s="116"/>
      <c r="N49" s="116"/>
      <c r="O49" s="116"/>
      <c r="P49" s="116"/>
      <c r="BG49" s="161"/>
      <c r="BL49" s="161"/>
    </row>
    <row r="50" spans="2:64" s="118" customFormat="1">
      <c r="C50" s="87">
        <f t="shared" si="39"/>
        <v>2025</v>
      </c>
      <c r="D50" s="41">
        <v>2.3E-2</v>
      </c>
      <c r="E50" s="86"/>
      <c r="F50" s="87">
        <f t="shared" si="40"/>
        <v>2034</v>
      </c>
      <c r="G50" s="41">
        <v>2.3E-2</v>
      </c>
      <c r="H50" s="86"/>
      <c r="I50" s="87">
        <f t="shared" si="41"/>
        <v>2043</v>
      </c>
      <c r="J50" s="41">
        <v>2.3E-2</v>
      </c>
      <c r="BG50" s="161"/>
      <c r="BL50" s="161"/>
    </row>
    <row r="51" spans="2:64" s="118" customFormat="1">
      <c r="C51" s="87">
        <f t="shared" si="39"/>
        <v>2026</v>
      </c>
      <c r="D51" s="41">
        <v>2.3E-2</v>
      </c>
      <c r="E51" s="86"/>
      <c r="F51" s="87">
        <f t="shared" si="40"/>
        <v>2035</v>
      </c>
      <c r="G51" s="41">
        <v>2.3E-2</v>
      </c>
      <c r="H51" s="86"/>
      <c r="I51" s="87">
        <f t="shared" si="41"/>
        <v>2044</v>
      </c>
      <c r="J51" s="41">
        <v>2.3E-2</v>
      </c>
      <c r="BG51" s="161"/>
      <c r="BL51" s="161"/>
    </row>
    <row r="52" spans="2:64">
      <c r="B52" s="118"/>
      <c r="C52" s="87">
        <f t="shared" si="39"/>
        <v>2027</v>
      </c>
      <c r="D52" s="41">
        <v>2.4E-2</v>
      </c>
      <c r="E52" s="86"/>
      <c r="F52" s="87">
        <f t="shared" si="40"/>
        <v>2036</v>
      </c>
      <c r="G52" s="41">
        <v>2.3E-2</v>
      </c>
      <c r="H52" s="86"/>
      <c r="I52" s="87">
        <f t="shared" si="41"/>
        <v>2045</v>
      </c>
      <c r="J52" s="41">
        <v>2.3E-2</v>
      </c>
      <c r="K52" s="118"/>
      <c r="L52" s="118"/>
      <c r="M52" s="118"/>
      <c r="N52" s="118"/>
      <c r="O52" s="118"/>
      <c r="P52" s="118"/>
    </row>
    <row r="53" spans="2:64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</row>
    <row r="64" spans="2:64">
      <c r="C64" s="148"/>
      <c r="D64" s="152"/>
    </row>
    <row r="65" spans="3:4">
      <c r="C65" s="148"/>
      <c r="D65" s="152"/>
    </row>
    <row r="66" spans="3:4">
      <c r="C66" s="148"/>
      <c r="D66" s="152"/>
    </row>
    <row r="67" spans="3:4">
      <c r="C67" s="148"/>
      <c r="D67" s="152"/>
    </row>
    <row r="68" spans="3:4">
      <c r="C68" s="148"/>
      <c r="D68" s="152"/>
    </row>
    <row r="69" spans="3:4">
      <c r="C69" s="148"/>
      <c r="D69" s="152"/>
    </row>
    <row r="70" spans="3:4">
      <c r="C70" s="148"/>
      <c r="D70" s="152"/>
    </row>
    <row r="71" spans="3:4">
      <c r="C71" s="148"/>
      <c r="D71" s="152"/>
    </row>
    <row r="72" spans="3:4">
      <c r="C72" s="148"/>
      <c r="D72" s="152"/>
    </row>
    <row r="73" spans="3:4">
      <c r="C73" s="148"/>
      <c r="D73" s="152"/>
    </row>
  </sheetData>
  <mergeCells count="26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J4:BM4"/>
    <mergeCell ref="BJ39:BK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B1:AB91"/>
  <sheetViews>
    <sheetView view="pageBreakPreview" zoomScale="60" zoomScaleNormal="70" workbookViewId="0">
      <selection activeCell="B1" sqref="B1"/>
    </sheetView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hidden="1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158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28%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Borah Solar with Storage - 28%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>
        <f>(D12+E12+F12)</f>
        <v>0</v>
      </c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>
        <f t="shared" ref="K13:K37" si="1">(D13+E13+F13)</f>
        <v>0</v>
      </c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>
        <f t="shared" si="1"/>
        <v>0</v>
      </c>
      <c r="L14" s="118"/>
      <c r="N14" s="116"/>
      <c r="O14" s="131"/>
      <c r="P14" s="421"/>
      <c r="Q14" s="422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>
        <f t="shared" si="1"/>
        <v>0</v>
      </c>
      <c r="L15" s="118"/>
      <c r="N15" s="116"/>
      <c r="O15" s="423"/>
      <c r="P15" s="421"/>
      <c r="Q15" s="422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>
        <f t="shared" si="1"/>
        <v>0</v>
      </c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>
        <f t="shared" si="1"/>
        <v>0</v>
      </c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>
        <f t="shared" si="1"/>
        <v>0</v>
      </c>
      <c r="L18" s="118"/>
      <c r="N18" s="116"/>
      <c r="P18" s="384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>
        <f t="shared" si="1"/>
        <v>0</v>
      </c>
      <c r="L19" s="118"/>
      <c r="N19" s="116"/>
      <c r="P19" s="384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>
        <v>2695.7550000000001</v>
      </c>
      <c r="D20" s="127">
        <f>C20*$C$62</f>
        <v>146.07704804045611</v>
      </c>
      <c r="E20" s="127">
        <v>37.566000000000003</v>
      </c>
      <c r="F20" s="185"/>
      <c r="G20" s="129">
        <f t="shared" ref="G20:G37" si="2">(D20+E20+F20)/(8.76*$C$63)</f>
        <v>75.13913358228838</v>
      </c>
      <c r="H20" s="127"/>
      <c r="I20" s="129">
        <f t="shared" ref="I20:I37" si="3">(G20+H20)</f>
        <v>75.13913358228838</v>
      </c>
      <c r="J20" s="129">
        <f t="shared" ref="J20:J32" si="4">ROUND(I20*$C$63*8.76,2)</f>
        <v>183.64</v>
      </c>
      <c r="K20" s="127">
        <f t="shared" si="1"/>
        <v>183.64304804045611</v>
      </c>
      <c r="L20" s="118"/>
      <c r="N20" s="116"/>
      <c r="P20" s="129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>
        <f t="shared" ref="D21:D37" si="5">ROUND(D20*(1+IRP21_Infl_Rate),2)</f>
        <v>149.22999999999999</v>
      </c>
      <c r="E21" s="127">
        <f t="shared" ref="E21:E37" si="6">ROUND(E20*(1+IRP21_Infl_Rate),2)</f>
        <v>38.380000000000003</v>
      </c>
      <c r="F21" s="127"/>
      <c r="G21" s="129">
        <f t="shared" si="2"/>
        <v>76.762246117084814</v>
      </c>
      <c r="H21" s="127"/>
      <c r="I21" s="129">
        <f t="shared" si="3"/>
        <v>76.762246117084814</v>
      </c>
      <c r="J21" s="129">
        <f t="shared" si="4"/>
        <v>187.61</v>
      </c>
      <c r="K21" s="127">
        <f t="shared" si="1"/>
        <v>187.60999999999999</v>
      </c>
      <c r="L21" s="118"/>
      <c r="N21" s="116"/>
      <c r="P21" s="129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>
        <f t="shared" si="5"/>
        <v>152.44999999999999</v>
      </c>
      <c r="E22" s="127">
        <f t="shared" si="6"/>
        <v>39.21</v>
      </c>
      <c r="F22" s="127"/>
      <c r="G22" s="129">
        <f t="shared" si="2"/>
        <v>78.419338472365425</v>
      </c>
      <c r="H22" s="127"/>
      <c r="I22" s="129">
        <f t="shared" si="3"/>
        <v>78.419338472365425</v>
      </c>
      <c r="J22" s="129">
        <f t="shared" si="4"/>
        <v>191.66</v>
      </c>
      <c r="K22" s="127">
        <f t="shared" si="1"/>
        <v>191.66</v>
      </c>
      <c r="L22" s="118"/>
      <c r="N22" s="116"/>
      <c r="P22" s="129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/>
      <c r="D23" s="127">
        <f t="shared" si="5"/>
        <v>155.74</v>
      </c>
      <c r="E23" s="127">
        <f t="shared" si="6"/>
        <v>40.049999999999997</v>
      </c>
      <c r="F23" s="127"/>
      <c r="G23" s="129">
        <f t="shared" si="2"/>
        <v>80.109163516145401</v>
      </c>
      <c r="H23" s="127"/>
      <c r="I23" s="129">
        <f t="shared" si="3"/>
        <v>80.109163516145401</v>
      </c>
      <c r="J23" s="129">
        <f t="shared" si="4"/>
        <v>195.79</v>
      </c>
      <c r="K23" s="127">
        <f t="shared" si="1"/>
        <v>195.79000000000002</v>
      </c>
      <c r="L23" s="118"/>
      <c r="N23" s="116"/>
      <c r="P23" s="129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si="5"/>
        <v>159.1</v>
      </c>
      <c r="E24" s="127">
        <f t="shared" si="6"/>
        <v>40.909999999999997</v>
      </c>
      <c r="F24" s="127"/>
      <c r="G24" s="129">
        <f t="shared" si="2"/>
        <v>81.835812834487143</v>
      </c>
      <c r="H24" s="127"/>
      <c r="I24" s="129">
        <f t="shared" si="3"/>
        <v>81.835812834487143</v>
      </c>
      <c r="J24" s="129">
        <f t="shared" si="4"/>
        <v>200.01</v>
      </c>
      <c r="K24" s="127">
        <f t="shared" si="1"/>
        <v>200.01</v>
      </c>
      <c r="L24" s="118"/>
      <c r="N24" s="116"/>
      <c r="P24" s="129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si="5"/>
        <v>162.53</v>
      </c>
      <c r="E25" s="127">
        <f t="shared" si="6"/>
        <v>41.79</v>
      </c>
      <c r="F25" s="127"/>
      <c r="G25" s="129">
        <f t="shared" si="2"/>
        <v>83.599286427390709</v>
      </c>
      <c r="H25" s="127"/>
      <c r="I25" s="129">
        <f t="shared" si="3"/>
        <v>83.599286427390709</v>
      </c>
      <c r="J25" s="129">
        <f t="shared" si="4"/>
        <v>204.32</v>
      </c>
      <c r="K25" s="127">
        <f t="shared" si="1"/>
        <v>204.32</v>
      </c>
      <c r="L25" s="118"/>
      <c r="N25" s="116"/>
      <c r="P25" s="129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si="5"/>
        <v>166.03</v>
      </c>
      <c r="E26" s="127">
        <f t="shared" si="6"/>
        <v>42.69</v>
      </c>
      <c r="F26" s="127"/>
      <c r="G26" s="129">
        <f t="shared" si="2"/>
        <v>85.399584294856055</v>
      </c>
      <c r="H26" s="127"/>
      <c r="I26" s="129">
        <f t="shared" si="3"/>
        <v>85.399584294856055</v>
      </c>
      <c r="J26" s="129">
        <f t="shared" si="4"/>
        <v>208.72</v>
      </c>
      <c r="K26" s="127">
        <f t="shared" si="1"/>
        <v>208.72</v>
      </c>
      <c r="L26" s="118"/>
      <c r="N26" s="116"/>
      <c r="P26" s="129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si="5"/>
        <v>169.61</v>
      </c>
      <c r="E27" s="127">
        <f t="shared" si="6"/>
        <v>43.61</v>
      </c>
      <c r="F27" s="127"/>
      <c r="G27" s="129">
        <f t="shared" si="2"/>
        <v>87.240798022945611</v>
      </c>
      <c r="H27" s="127"/>
      <c r="I27" s="129">
        <f t="shared" si="3"/>
        <v>87.240798022945611</v>
      </c>
      <c r="J27" s="129">
        <f t="shared" si="4"/>
        <v>213.22</v>
      </c>
      <c r="K27" s="127">
        <f t="shared" si="1"/>
        <v>213.22000000000003</v>
      </c>
      <c r="L27" s="118"/>
      <c r="N27" s="116"/>
      <c r="P27" s="129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si="5"/>
        <v>173.27</v>
      </c>
      <c r="E28" s="127">
        <f t="shared" si="6"/>
        <v>44.55</v>
      </c>
      <c r="F28" s="127"/>
      <c r="G28" s="129">
        <f t="shared" si="2"/>
        <v>89.122927611659378</v>
      </c>
      <c r="H28" s="127"/>
      <c r="I28" s="129">
        <f t="shared" si="3"/>
        <v>89.122927611659378</v>
      </c>
      <c r="J28" s="129">
        <f t="shared" si="4"/>
        <v>217.82</v>
      </c>
      <c r="K28" s="127">
        <f t="shared" si="1"/>
        <v>217.82</v>
      </c>
      <c r="L28" s="118"/>
      <c r="N28" s="116"/>
      <c r="P28" s="129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si="5"/>
        <v>177</v>
      </c>
      <c r="E29" s="127">
        <f t="shared" si="6"/>
        <v>45.51</v>
      </c>
      <c r="F29" s="127"/>
      <c r="G29" s="129">
        <f t="shared" si="2"/>
        <v>91.041881474934925</v>
      </c>
      <c r="H29" s="127"/>
      <c r="I29" s="129">
        <f t="shared" si="3"/>
        <v>91.041881474934925</v>
      </c>
      <c r="J29" s="129">
        <f t="shared" si="4"/>
        <v>222.51</v>
      </c>
      <c r="K29" s="127">
        <f t="shared" si="1"/>
        <v>222.51</v>
      </c>
      <c r="L29" s="118"/>
      <c r="N29" s="116"/>
      <c r="P29" s="129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si="5"/>
        <v>180.81</v>
      </c>
      <c r="E30" s="127">
        <f t="shared" si="6"/>
        <v>46.49</v>
      </c>
      <c r="F30" s="127"/>
      <c r="G30" s="129">
        <f t="shared" si="2"/>
        <v>93.001751198834711</v>
      </c>
      <c r="H30" s="127"/>
      <c r="I30" s="129">
        <f t="shared" si="3"/>
        <v>93.001751198834711</v>
      </c>
      <c r="J30" s="129">
        <f t="shared" si="4"/>
        <v>227.3</v>
      </c>
      <c r="K30" s="127">
        <f t="shared" si="1"/>
        <v>227.3</v>
      </c>
      <c r="L30" s="118"/>
      <c r="N30" s="116"/>
      <c r="P30" s="129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si="5"/>
        <v>184.71</v>
      </c>
      <c r="E31" s="127">
        <f t="shared" si="6"/>
        <v>47.49</v>
      </c>
      <c r="F31" s="127"/>
      <c r="G31" s="129">
        <f t="shared" si="2"/>
        <v>95.006628369421122</v>
      </c>
      <c r="H31" s="127"/>
      <c r="I31" s="129">
        <f t="shared" si="3"/>
        <v>95.006628369421122</v>
      </c>
      <c r="J31" s="129">
        <f t="shared" si="4"/>
        <v>232.2</v>
      </c>
      <c r="K31" s="127">
        <f t="shared" si="1"/>
        <v>232.20000000000002</v>
      </c>
      <c r="L31" s="118"/>
      <c r="N31" s="116"/>
      <c r="P31" s="129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si="5"/>
        <v>188.69</v>
      </c>
      <c r="E32" s="127">
        <f t="shared" si="6"/>
        <v>48.51</v>
      </c>
      <c r="F32" s="127"/>
      <c r="G32" s="129">
        <f t="shared" si="2"/>
        <v>97.052421400631729</v>
      </c>
      <c r="H32" s="127"/>
      <c r="I32" s="129">
        <f t="shared" si="3"/>
        <v>97.052421400631729</v>
      </c>
      <c r="J32" s="129">
        <f t="shared" si="4"/>
        <v>237.2</v>
      </c>
      <c r="K32" s="127">
        <f t="shared" si="1"/>
        <v>237.2</v>
      </c>
      <c r="L32" s="118"/>
      <c r="N32" s="116"/>
      <c r="P32" s="129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si="5"/>
        <v>192.76</v>
      </c>
      <c r="E33" s="127">
        <f t="shared" si="6"/>
        <v>49.56</v>
      </c>
      <c r="F33" s="127"/>
      <c r="G33" s="129">
        <f t="shared" si="2"/>
        <v>99.147313464591406</v>
      </c>
      <c r="H33" s="127"/>
      <c r="I33" s="129">
        <f t="shared" si="3"/>
        <v>99.147313464591406</v>
      </c>
      <c r="J33" s="129">
        <f t="shared" ref="J33:J37" si="7">ROUND(I33*$C$63*8.76,2)</f>
        <v>242.32</v>
      </c>
      <c r="K33" s="127">
        <f t="shared" si="1"/>
        <v>242.32</v>
      </c>
      <c r="L33" s="118"/>
      <c r="N33" s="116"/>
      <c r="P33" s="12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si="5"/>
        <v>196.91</v>
      </c>
      <c r="E34" s="127">
        <f t="shared" si="6"/>
        <v>50.63</v>
      </c>
      <c r="F34" s="127"/>
      <c r="G34" s="129">
        <f t="shared" si="2"/>
        <v>101.28312138917529</v>
      </c>
      <c r="H34" s="127"/>
      <c r="I34" s="129">
        <f t="shared" si="3"/>
        <v>101.28312138917529</v>
      </c>
      <c r="J34" s="129">
        <f t="shared" si="7"/>
        <v>247.54</v>
      </c>
      <c r="K34" s="127">
        <f t="shared" si="1"/>
        <v>247.54</v>
      </c>
      <c r="L34" s="118"/>
      <c r="N34" s="116"/>
      <c r="P34" s="12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si="5"/>
        <v>201.15</v>
      </c>
      <c r="E35" s="127">
        <f t="shared" si="6"/>
        <v>51.72</v>
      </c>
      <c r="F35" s="127"/>
      <c r="G35" s="129">
        <f t="shared" si="2"/>
        <v>103.46393676044582</v>
      </c>
      <c r="H35" s="127"/>
      <c r="I35" s="129">
        <f t="shared" si="3"/>
        <v>103.46393676044582</v>
      </c>
      <c r="J35" s="129">
        <f t="shared" si="7"/>
        <v>252.87</v>
      </c>
      <c r="K35" s="127">
        <f t="shared" si="1"/>
        <v>252.87</v>
      </c>
      <c r="L35" s="118"/>
      <c r="N35" s="116"/>
      <c r="P35" s="129"/>
      <c r="R35" s="118"/>
    </row>
    <row r="36" spans="2:27">
      <c r="B36" s="134">
        <f t="shared" si="0"/>
        <v>2042</v>
      </c>
      <c r="C36" s="135"/>
      <c r="D36" s="127">
        <f t="shared" si="5"/>
        <v>205.48</v>
      </c>
      <c r="E36" s="127">
        <f t="shared" si="6"/>
        <v>52.83</v>
      </c>
      <c r="F36" s="127"/>
      <c r="G36" s="129">
        <f t="shared" si="2"/>
        <v>105.68975957840297</v>
      </c>
      <c r="H36" s="127"/>
      <c r="I36" s="129">
        <f t="shared" si="3"/>
        <v>105.68975957840297</v>
      </c>
      <c r="J36" s="129">
        <f t="shared" si="7"/>
        <v>258.31</v>
      </c>
      <c r="K36" s="127">
        <f t="shared" si="1"/>
        <v>258.31</v>
      </c>
      <c r="L36" s="118"/>
      <c r="N36" s="116"/>
      <c r="P36" s="129"/>
      <c r="R36" s="118"/>
    </row>
    <row r="37" spans="2:27">
      <c r="B37" s="134">
        <f t="shared" si="0"/>
        <v>2043</v>
      </c>
      <c r="C37" s="135"/>
      <c r="D37" s="127">
        <f t="shared" si="5"/>
        <v>209.91</v>
      </c>
      <c r="E37" s="127">
        <f t="shared" si="6"/>
        <v>53.97</v>
      </c>
      <c r="F37" s="127"/>
      <c r="G37" s="129">
        <f t="shared" si="2"/>
        <v>107.96877301517159</v>
      </c>
      <c r="H37" s="127"/>
      <c r="I37" s="129">
        <f t="shared" si="3"/>
        <v>107.96877301517159</v>
      </c>
      <c r="J37" s="129">
        <f t="shared" si="7"/>
        <v>263.88</v>
      </c>
      <c r="K37" s="127">
        <f t="shared" si="1"/>
        <v>263.88</v>
      </c>
      <c r="P37" s="129"/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3.8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5" t="s">
        <v>159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0.0541878056575824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27.9%)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Borah Solar with Storage - 28%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2026</v>
      </c>
    </row>
    <row r="55" spans="2:25">
      <c r="B55" s="85" t="s">
        <v>160</v>
      </c>
      <c r="C55" s="424"/>
      <c r="D55" s="116" t="s">
        <v>65</v>
      </c>
      <c r="O55" s="265">
        <v>600</v>
      </c>
      <c r="P55" s="116" t="s">
        <v>32</v>
      </c>
    </row>
    <row r="56" spans="2:25">
      <c r="B56" s="85" t="s">
        <v>160</v>
      </c>
      <c r="C56" s="146"/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0"/>
    </row>
    <row r="58" spans="2:25">
      <c r="B58" s="85" t="s">
        <v>160</v>
      </c>
      <c r="C58" s="146"/>
      <c r="D58" s="116" t="s">
        <v>69</v>
      </c>
      <c r="K58" s="118"/>
      <c r="L58" s="425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426" t="s">
        <v>90</v>
      </c>
      <c r="L59" s="427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 t="str">
        <f>LEFT(RIGHT(INDEX('Table 3 TransCost'!$39:$39,1,MATCH(F60,'Table 3 TransCost'!$4:$4,0)),6),5)</f>
        <v>2026$</v>
      </c>
      <c r="C60" s="151">
        <f>INDEX('Table 3 TransCost'!$39:$39,1,MATCH(F60,'Table 3 TransCost'!$4:$4,0)+2)</f>
        <v>54.441007169221002</v>
      </c>
      <c r="D60" s="116" t="s">
        <v>153</v>
      </c>
      <c r="F60" s="116" t="s">
        <v>168</v>
      </c>
      <c r="K60" s="427"/>
      <c r="L60" s="427"/>
      <c r="M60" s="427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427"/>
      <c r="L61" s="427"/>
      <c r="M61" s="427"/>
      <c r="N61" s="161"/>
      <c r="O61" s="427"/>
      <c r="R61" s="118"/>
      <c r="T61" s="118"/>
      <c r="U61" s="118"/>
      <c r="V61" s="118"/>
      <c r="W61" s="118"/>
      <c r="X61" s="118"/>
      <c r="Y61" s="118"/>
    </row>
    <row r="62" spans="2:25" ht="13.8">
      <c r="C62" s="428">
        <v>5.4187805657582425E-2</v>
      </c>
      <c r="D62" s="116" t="s">
        <v>36</v>
      </c>
      <c r="E62" s="366"/>
      <c r="K62" s="275"/>
      <c r="L62" s="154"/>
      <c r="M62" s="154"/>
      <c r="O62" s="155"/>
    </row>
    <row r="63" spans="2:25">
      <c r="C63" s="429">
        <v>0.27900000000000003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3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4FF1-6341-41C4-85D0-05D9A93B77B8}">
  <sheetPr>
    <tabColor rgb="FFFFC000"/>
    <pageSetUpPr fitToPage="1"/>
  </sheetPr>
  <dimension ref="B1:AB91"/>
  <sheetViews>
    <sheetView view="pageBreakPreview" zoomScale="60" zoomScaleNormal="70" workbookViewId="0"/>
  </sheetViews>
  <sheetFormatPr defaultColWidth="9.33203125" defaultRowHeight="13.2"/>
  <cols>
    <col min="1" max="1" width="13.33203125" style="116" customWidth="1"/>
    <col min="2" max="2" width="15" style="116" customWidth="1"/>
    <col min="3" max="3" width="12.33203125" style="116" bestFit="1" customWidth="1"/>
    <col min="4" max="4" width="19.77734375" style="116" customWidth="1"/>
    <col min="5" max="5" width="8.77734375" style="116" customWidth="1"/>
    <col min="6" max="6" width="13.44140625" style="116" customWidth="1"/>
    <col min="7" max="8" width="9.44140625" style="116" bestFit="1" customWidth="1"/>
    <col min="9" max="9" width="12.6640625" style="116" customWidth="1"/>
    <col min="10" max="10" width="14" style="116" customWidth="1"/>
    <col min="11" max="11" width="13.33203125" style="116" customWidth="1"/>
    <col min="12" max="12" width="3.21875" style="116" customWidth="1"/>
    <col min="13" max="13" width="15" style="116" hidden="1" customWidth="1"/>
    <col min="14" max="14" width="5.6640625" style="158" customWidth="1"/>
    <col min="15" max="15" width="9.33203125" style="116" customWidth="1"/>
    <col min="16" max="17" width="16" style="116" customWidth="1"/>
    <col min="18" max="18" width="18.21875" style="116" customWidth="1"/>
    <col min="19" max="19" width="9.33203125" style="116"/>
    <col min="20" max="20" width="22.33203125" style="116" customWidth="1"/>
    <col min="21" max="21" width="18.21875" style="116" customWidth="1"/>
    <col min="22" max="22" width="9.6640625" style="116" bestFit="1" customWidth="1"/>
    <col min="23" max="26" width="9.33203125" style="116"/>
    <col min="27" max="27" width="13.6640625" style="116" customWidth="1"/>
    <col min="28" max="28" width="12" style="116" bestFit="1" customWidth="1"/>
    <col min="29" max="16384" width="9.33203125" style="116"/>
  </cols>
  <sheetData>
    <row r="1" spans="2:27" ht="15.6">
      <c r="B1" s="114" t="s">
        <v>56</v>
      </c>
      <c r="C1" s="115"/>
      <c r="D1" s="115"/>
      <c r="E1" s="115"/>
      <c r="F1" s="115"/>
      <c r="G1" s="115"/>
      <c r="H1" s="115"/>
      <c r="I1" s="115"/>
      <c r="J1" s="115"/>
    </row>
    <row r="2" spans="2:27" ht="15.6">
      <c r="B2" s="114" t="s">
        <v>223</v>
      </c>
      <c r="C2" s="115"/>
      <c r="D2" s="115"/>
      <c r="E2" s="115"/>
      <c r="F2" s="115"/>
      <c r="G2" s="115"/>
      <c r="H2" s="115"/>
      <c r="I2" s="115"/>
      <c r="J2" s="115"/>
    </row>
    <row r="3" spans="2:27" ht="15.6">
      <c r="B3" s="114" t="str">
        <f>TEXT($C$63,"0%")&amp;" Capacity Factor"</f>
        <v>17% Capacity Factor</v>
      </c>
      <c r="C3" s="115"/>
      <c r="D3" s="115"/>
      <c r="E3" s="115"/>
      <c r="F3" s="115"/>
      <c r="G3" s="115"/>
      <c r="H3" s="115"/>
      <c r="I3" s="115"/>
      <c r="J3" s="115"/>
      <c r="R3" s="118"/>
      <c r="S3" s="118"/>
      <c r="T3" s="118"/>
      <c r="U3" s="118"/>
      <c r="V3" s="118"/>
      <c r="W3" s="118"/>
      <c r="X3" s="118"/>
      <c r="Y3" s="118"/>
      <c r="Z3" s="118"/>
      <c r="AA3" s="118"/>
    </row>
    <row r="4" spans="2:27">
      <c r="B4" s="117"/>
      <c r="C4" s="117"/>
      <c r="D4" s="117"/>
      <c r="E4" s="117"/>
      <c r="F4" s="117"/>
      <c r="G4" s="117"/>
      <c r="H4" s="117"/>
      <c r="I4" s="118"/>
      <c r="J4" s="118"/>
      <c r="K4" s="118"/>
      <c r="R4" s="118"/>
      <c r="S4" s="118"/>
      <c r="T4" s="118"/>
      <c r="U4" s="118"/>
      <c r="V4" s="118"/>
      <c r="W4" s="118"/>
      <c r="X4" s="118"/>
      <c r="Y4" s="118"/>
      <c r="Z4" s="118"/>
      <c r="AA4" s="118"/>
    </row>
    <row r="5" spans="2:27" ht="51.75" customHeight="1">
      <c r="B5" s="119" t="s">
        <v>0</v>
      </c>
      <c r="C5" s="120" t="s">
        <v>10</v>
      </c>
      <c r="D5" s="120" t="s">
        <v>11</v>
      </c>
      <c r="E5" s="120" t="s">
        <v>12</v>
      </c>
      <c r="F5" s="17" t="s">
        <v>91</v>
      </c>
      <c r="G5" s="120" t="s">
        <v>62</v>
      </c>
      <c r="H5" s="17" t="s">
        <v>13</v>
      </c>
      <c r="I5" s="120" t="s">
        <v>73</v>
      </c>
      <c r="J5" s="17" t="s">
        <v>52</v>
      </c>
      <c r="K5" s="120" t="s">
        <v>154</v>
      </c>
      <c r="M5" s="200"/>
      <c r="N5" s="200"/>
      <c r="P5" s="200"/>
      <c r="R5" s="262"/>
      <c r="S5" s="118"/>
      <c r="T5" s="118"/>
      <c r="U5" s="118"/>
      <c r="V5" s="118"/>
      <c r="W5" s="118"/>
      <c r="X5" s="118"/>
      <c r="Y5" s="348"/>
      <c r="Z5" s="348"/>
      <c r="AA5" s="118"/>
    </row>
    <row r="6" spans="2:27" ht="24" customHeight="1">
      <c r="B6" s="121"/>
      <c r="C6" s="122" t="s">
        <v>8</v>
      </c>
      <c r="D6" s="123" t="s">
        <v>9</v>
      </c>
      <c r="E6" s="123" t="s">
        <v>9</v>
      </c>
      <c r="F6" s="123" t="s">
        <v>9</v>
      </c>
      <c r="G6" s="122" t="s">
        <v>31</v>
      </c>
      <c r="H6" s="18" t="s">
        <v>31</v>
      </c>
      <c r="I6" s="122" t="s">
        <v>31</v>
      </c>
      <c r="J6" s="19" t="s">
        <v>9</v>
      </c>
      <c r="K6" s="123" t="s">
        <v>9</v>
      </c>
      <c r="R6" s="263"/>
      <c r="S6" s="118"/>
      <c r="T6" s="118"/>
      <c r="U6" s="118"/>
      <c r="V6" s="118"/>
      <c r="W6" s="118"/>
      <c r="X6" s="118"/>
      <c r="Y6" s="118"/>
      <c r="Z6" s="118"/>
      <c r="AA6" s="118"/>
    </row>
    <row r="7" spans="2:27">
      <c r="C7" s="124" t="s">
        <v>1</v>
      </c>
      <c r="D7" s="124" t="s">
        <v>2</v>
      </c>
      <c r="E7" s="124" t="s">
        <v>3</v>
      </c>
      <c r="F7" s="124" t="s">
        <v>4</v>
      </c>
      <c r="G7" s="124" t="s">
        <v>5</v>
      </c>
      <c r="H7" s="124" t="s">
        <v>7</v>
      </c>
      <c r="I7" s="124" t="s">
        <v>22</v>
      </c>
      <c r="J7" s="124" t="s">
        <v>23</v>
      </c>
      <c r="K7" s="124" t="s">
        <v>24</v>
      </c>
      <c r="R7" s="118"/>
      <c r="S7" s="118"/>
      <c r="T7" s="118"/>
      <c r="U7" s="118"/>
      <c r="V7" s="118"/>
      <c r="W7" s="118"/>
      <c r="X7" s="118"/>
      <c r="Y7" s="118"/>
      <c r="Z7" s="118"/>
      <c r="AA7" s="118"/>
    </row>
    <row r="8" spans="2:27" ht="6" customHeight="1">
      <c r="K8" s="118"/>
      <c r="R8" s="118"/>
      <c r="S8" s="118"/>
      <c r="T8" s="118"/>
      <c r="U8" s="118"/>
      <c r="V8" s="118"/>
      <c r="W8" s="118"/>
      <c r="X8" s="118"/>
      <c r="Y8" s="118"/>
      <c r="Z8" s="118"/>
      <c r="AA8" s="118"/>
    </row>
    <row r="9" spans="2:27" ht="15.6">
      <c r="B9" s="43" t="str">
        <f>C52</f>
        <v>2021 IRP Stand Alone Battery WY DJ - 17% Capacity Factor</v>
      </c>
      <c r="C9" s="118"/>
      <c r="E9" s="118"/>
      <c r="F9" s="118"/>
      <c r="G9" s="118"/>
      <c r="H9" s="118"/>
      <c r="I9" s="118"/>
      <c r="J9" s="118"/>
      <c r="K9" s="118"/>
      <c r="N9" s="116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2:27" hidden="1">
      <c r="B10" s="125">
        <v>2016</v>
      </c>
      <c r="C10" s="126"/>
      <c r="D10" s="127"/>
      <c r="E10" s="127"/>
      <c r="F10" s="127"/>
      <c r="G10" s="128"/>
      <c r="H10" s="128"/>
      <c r="I10" s="129"/>
      <c r="J10" s="129"/>
      <c r="K10" s="127"/>
      <c r="N10" s="15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idden="1">
      <c r="B11" s="125">
        <f t="shared" ref="B11:B37" si="0">B10+1</f>
        <v>2017</v>
      </c>
      <c r="C11" s="130"/>
      <c r="D11" s="127"/>
      <c r="E11" s="127"/>
      <c r="F11" s="127"/>
      <c r="G11" s="128"/>
      <c r="H11" s="127"/>
      <c r="I11" s="129"/>
      <c r="J11" s="129"/>
      <c r="K11" s="127"/>
      <c r="N11" s="116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2:27" hidden="1">
      <c r="B12" s="134">
        <f t="shared" si="0"/>
        <v>2018</v>
      </c>
      <c r="C12" s="135"/>
      <c r="D12" s="127"/>
      <c r="E12" s="146"/>
      <c r="F12" s="146"/>
      <c r="G12" s="129"/>
      <c r="H12" s="146"/>
      <c r="I12" s="129"/>
      <c r="J12" s="129"/>
      <c r="K12" s="127"/>
      <c r="L12" s="118"/>
      <c r="N12" s="116"/>
      <c r="R12" s="118"/>
      <c r="S12" s="118"/>
      <c r="T12" s="161"/>
      <c r="U12" s="157"/>
      <c r="V12" s="157"/>
      <c r="W12" s="118"/>
      <c r="X12" s="118"/>
      <c r="Y12" s="157"/>
      <c r="Z12" s="157"/>
      <c r="AA12" s="118"/>
    </row>
    <row r="13" spans="2:27" hidden="1">
      <c r="B13" s="134">
        <f t="shared" si="0"/>
        <v>2019</v>
      </c>
      <c r="C13" s="135"/>
      <c r="D13" s="127"/>
      <c r="E13" s="127"/>
      <c r="F13" s="127"/>
      <c r="G13" s="129"/>
      <c r="H13" s="127"/>
      <c r="I13" s="129"/>
      <c r="J13" s="129"/>
      <c r="K13" s="127"/>
      <c r="L13" s="118"/>
      <c r="N13" s="116"/>
      <c r="R13" s="118"/>
      <c r="S13" s="118"/>
      <c r="T13" s="118"/>
      <c r="U13" s="118"/>
      <c r="V13" s="157"/>
      <c r="W13" s="118"/>
      <c r="X13" s="118"/>
      <c r="Y13" s="157"/>
      <c r="Z13" s="157"/>
      <c r="AA13" s="118"/>
    </row>
    <row r="14" spans="2:27" hidden="1">
      <c r="B14" s="134">
        <f t="shared" si="0"/>
        <v>2020</v>
      </c>
      <c r="C14" s="135"/>
      <c r="D14" s="127"/>
      <c r="E14" s="127"/>
      <c r="F14" s="127"/>
      <c r="G14" s="129"/>
      <c r="H14" s="127"/>
      <c r="I14" s="129"/>
      <c r="J14" s="129"/>
      <c r="K14" s="127"/>
      <c r="L14" s="118"/>
      <c r="N14" s="116"/>
      <c r="O14" s="131"/>
      <c r="P14" s="421"/>
      <c r="Q14" s="422"/>
      <c r="R14" s="118"/>
      <c r="S14" s="118"/>
      <c r="T14" s="118"/>
      <c r="U14" s="118"/>
      <c r="V14" s="157"/>
      <c r="W14" s="118"/>
      <c r="X14" s="118"/>
      <c r="Y14" s="157"/>
      <c r="Z14" s="157"/>
      <c r="AA14" s="118"/>
    </row>
    <row r="15" spans="2:27">
      <c r="B15" s="134">
        <f t="shared" si="0"/>
        <v>2021</v>
      </c>
      <c r="C15" s="135"/>
      <c r="D15" s="127"/>
      <c r="E15" s="127"/>
      <c r="F15" s="127"/>
      <c r="G15" s="129"/>
      <c r="H15" s="127"/>
      <c r="I15" s="129"/>
      <c r="J15" s="129"/>
      <c r="K15" s="127"/>
      <c r="L15" s="118"/>
      <c r="N15" s="116"/>
      <c r="O15" s="423"/>
      <c r="P15" s="421"/>
      <c r="Q15" s="422"/>
      <c r="R15" s="118"/>
      <c r="S15" s="118"/>
      <c r="T15" s="118"/>
      <c r="U15" s="118"/>
      <c r="V15" s="157"/>
      <c r="W15" s="118"/>
      <c r="X15" s="118"/>
      <c r="Y15" s="157"/>
      <c r="Z15" s="157"/>
      <c r="AA15" s="118"/>
    </row>
    <row r="16" spans="2:27">
      <c r="B16" s="134">
        <f t="shared" si="0"/>
        <v>2022</v>
      </c>
      <c r="C16" s="135"/>
      <c r="D16" s="127"/>
      <c r="E16" s="127"/>
      <c r="F16" s="127"/>
      <c r="G16" s="129"/>
      <c r="H16" s="127"/>
      <c r="I16" s="129"/>
      <c r="J16" s="129"/>
      <c r="K16" s="127"/>
      <c r="L16" s="118"/>
      <c r="N16" s="116"/>
      <c r="R16" s="118"/>
      <c r="S16" s="118"/>
      <c r="T16" s="118"/>
      <c r="U16" s="118"/>
      <c r="V16" s="157"/>
      <c r="W16" s="118"/>
      <c r="X16" s="118"/>
      <c r="Y16" s="157"/>
      <c r="Z16" s="157"/>
      <c r="AA16" s="118"/>
    </row>
    <row r="17" spans="2:28">
      <c r="B17" s="134">
        <f t="shared" si="0"/>
        <v>2023</v>
      </c>
      <c r="C17" s="135"/>
      <c r="D17" s="127"/>
      <c r="E17" s="127"/>
      <c r="F17" s="127"/>
      <c r="G17" s="129"/>
      <c r="H17" s="127"/>
      <c r="I17" s="129"/>
      <c r="J17" s="129"/>
      <c r="K17" s="127"/>
      <c r="L17" s="118"/>
      <c r="N17" s="116"/>
      <c r="O17" s="131"/>
      <c r="R17" s="118"/>
      <c r="S17" s="118"/>
      <c r="T17" s="118"/>
      <c r="U17" s="118"/>
      <c r="V17" s="157"/>
      <c r="W17" s="118"/>
      <c r="X17" s="118"/>
      <c r="Y17" s="157"/>
      <c r="Z17" s="157"/>
      <c r="AA17" s="118"/>
    </row>
    <row r="18" spans="2:28">
      <c r="B18" s="134">
        <f t="shared" si="0"/>
        <v>2024</v>
      </c>
      <c r="C18" s="135"/>
      <c r="D18" s="127"/>
      <c r="E18" s="127"/>
      <c r="F18" s="127"/>
      <c r="G18" s="129"/>
      <c r="H18" s="127"/>
      <c r="I18" s="129"/>
      <c r="J18" s="129"/>
      <c r="K18" s="127"/>
      <c r="L18" s="118"/>
      <c r="N18" s="116"/>
      <c r="P18" s="267"/>
      <c r="Q18" s="151"/>
      <c r="R18" s="118"/>
      <c r="S18" s="118"/>
      <c r="T18" s="161"/>
      <c r="U18" s="157"/>
      <c r="V18" s="157"/>
      <c r="W18" s="118"/>
      <c r="X18" s="157"/>
      <c r="Y18" s="157"/>
      <c r="Z18" s="157"/>
      <c r="AA18" s="352"/>
      <c r="AB18" s="266"/>
    </row>
    <row r="19" spans="2:28">
      <c r="B19" s="134">
        <f t="shared" si="0"/>
        <v>2025</v>
      </c>
      <c r="C19" s="135"/>
      <c r="D19" s="127"/>
      <c r="E19" s="127"/>
      <c r="F19" s="127"/>
      <c r="G19" s="129"/>
      <c r="H19" s="127"/>
      <c r="I19" s="129"/>
      <c r="J19" s="129"/>
      <c r="K19" s="127"/>
      <c r="L19" s="118"/>
      <c r="N19" s="116"/>
      <c r="R19" s="118"/>
      <c r="S19" s="118"/>
      <c r="T19" s="161"/>
      <c r="U19" s="157"/>
      <c r="V19" s="157"/>
      <c r="W19" s="118"/>
      <c r="X19" s="157"/>
      <c r="Y19" s="157"/>
      <c r="Z19" s="157"/>
      <c r="AA19" s="118"/>
    </row>
    <row r="20" spans="2:28">
      <c r="B20" s="134">
        <f t="shared" si="0"/>
        <v>2026</v>
      </c>
      <c r="C20" s="135"/>
      <c r="D20" s="127"/>
      <c r="E20" s="127"/>
      <c r="F20" s="127"/>
      <c r="G20" s="129"/>
      <c r="H20" s="127"/>
      <c r="I20" s="129"/>
      <c r="J20" s="129"/>
      <c r="K20" s="127"/>
      <c r="L20" s="118"/>
      <c r="N20" s="116"/>
      <c r="R20" s="157"/>
      <c r="S20" s="118"/>
      <c r="T20" s="161"/>
      <c r="U20" s="157"/>
      <c r="V20" s="157"/>
      <c r="W20" s="118"/>
      <c r="X20" s="157"/>
      <c r="Y20" s="157"/>
      <c r="Z20" s="157"/>
      <c r="AA20" s="118"/>
    </row>
    <row r="21" spans="2:28">
      <c r="B21" s="134">
        <f t="shared" si="0"/>
        <v>2027</v>
      </c>
      <c r="C21" s="135"/>
      <c r="D21" s="127"/>
      <c r="E21" s="127"/>
      <c r="F21" s="127"/>
      <c r="G21" s="129"/>
      <c r="H21" s="127"/>
      <c r="I21" s="129"/>
      <c r="J21" s="129"/>
      <c r="K21" s="127"/>
      <c r="L21" s="118"/>
      <c r="N21" s="116"/>
      <c r="R21" s="157"/>
      <c r="S21" s="118"/>
      <c r="T21" s="161"/>
      <c r="U21" s="157"/>
      <c r="V21" s="157"/>
      <c r="W21" s="118"/>
      <c r="X21" s="157"/>
      <c r="Y21" s="157"/>
      <c r="Z21" s="157"/>
      <c r="AA21" s="118"/>
    </row>
    <row r="22" spans="2:28">
      <c r="B22" s="134">
        <f t="shared" si="0"/>
        <v>2028</v>
      </c>
      <c r="C22" s="135"/>
      <c r="D22" s="127"/>
      <c r="E22" s="127"/>
      <c r="F22" s="127"/>
      <c r="G22" s="129"/>
      <c r="H22" s="127"/>
      <c r="I22" s="129"/>
      <c r="J22" s="129"/>
      <c r="K22" s="127"/>
      <c r="L22" s="118"/>
      <c r="N22" s="116"/>
      <c r="R22" s="157"/>
      <c r="S22" s="118"/>
      <c r="T22" s="161"/>
      <c r="U22" s="157"/>
      <c r="V22" s="157"/>
      <c r="W22" s="118"/>
      <c r="X22" s="157"/>
      <c r="Y22" s="157"/>
      <c r="Z22" s="157"/>
      <c r="AA22" s="118"/>
    </row>
    <row r="23" spans="2:28">
      <c r="B23" s="134">
        <f t="shared" si="0"/>
        <v>2029</v>
      </c>
      <c r="C23" s="135">
        <f>552607.479/549</f>
        <v>1006.5710000000001</v>
      </c>
      <c r="D23" s="127">
        <f>C23*$C$62</f>
        <v>87.328316133532752</v>
      </c>
      <c r="E23" s="127">
        <f>12018.7080000009/549</f>
        <v>21.892000000001637</v>
      </c>
      <c r="F23" s="185">
        <f>$C$60</f>
        <v>0</v>
      </c>
      <c r="G23" s="129">
        <f t="shared" ref="G23:G24" si="1">(D23+E23+F23)/(8.76*$C$63)</f>
        <v>74.808435707900273</v>
      </c>
      <c r="H23" s="127"/>
      <c r="I23" s="129">
        <f t="shared" ref="I23:I24" si="2">(G23+H23)</f>
        <v>74.808435707900273</v>
      </c>
      <c r="J23" s="129">
        <f t="shared" ref="J23:J24" si="3">ROUND(I23*$C$63*8.76,2)</f>
        <v>109.22</v>
      </c>
      <c r="K23" s="127">
        <f t="shared" ref="K23:K24" si="4">(D23+E23+F23)</f>
        <v>109.2203161335344</v>
      </c>
      <c r="L23" s="118"/>
      <c r="N23" s="116"/>
      <c r="R23" s="157"/>
      <c r="S23" s="118"/>
      <c r="T23" s="161"/>
      <c r="U23" s="157"/>
      <c r="V23" s="157"/>
      <c r="W23" s="118"/>
      <c r="X23" s="157"/>
      <c r="Y23" s="157"/>
      <c r="Z23" s="157"/>
      <c r="AA23" s="118"/>
    </row>
    <row r="24" spans="2:28">
      <c r="B24" s="134">
        <f t="shared" si="0"/>
        <v>2030</v>
      </c>
      <c r="C24" s="135"/>
      <c r="D24" s="127">
        <f t="shared" ref="D24:F24" si="5">ROUND(D23*(1+IRP21_Infl_Rate),2)</f>
        <v>89.21</v>
      </c>
      <c r="E24" s="127">
        <f t="shared" si="5"/>
        <v>22.36</v>
      </c>
      <c r="F24" s="127">
        <f t="shared" si="5"/>
        <v>0</v>
      </c>
      <c r="G24" s="129">
        <f t="shared" si="1"/>
        <v>76.417808219178085</v>
      </c>
      <c r="H24" s="127"/>
      <c r="I24" s="129">
        <f t="shared" si="2"/>
        <v>76.417808219178085</v>
      </c>
      <c r="J24" s="129">
        <f t="shared" si="3"/>
        <v>111.57</v>
      </c>
      <c r="K24" s="127">
        <f t="shared" si="4"/>
        <v>111.57</v>
      </c>
      <c r="L24" s="118"/>
      <c r="N24" s="116"/>
      <c r="R24" s="157"/>
      <c r="S24" s="118"/>
      <c r="T24" s="161"/>
      <c r="U24" s="157"/>
      <c r="V24" s="157"/>
      <c r="W24" s="118"/>
      <c r="X24" s="157"/>
      <c r="Y24" s="157"/>
      <c r="Z24" s="157"/>
      <c r="AA24" s="118"/>
    </row>
    <row r="25" spans="2:28">
      <c r="B25" s="134">
        <f t="shared" si="0"/>
        <v>2031</v>
      </c>
      <c r="C25" s="135"/>
      <c r="D25" s="127">
        <f t="shared" ref="D25:F25" si="6">ROUND(D24*(1+IRP21_Infl_Rate),2)</f>
        <v>91.13</v>
      </c>
      <c r="E25" s="127">
        <f t="shared" si="6"/>
        <v>22.84</v>
      </c>
      <c r="F25" s="127">
        <f t="shared" si="6"/>
        <v>0</v>
      </c>
      <c r="G25" s="129">
        <f t="shared" ref="G25:G37" si="7">(D25+E25+F25)/(8.76*$C$63)</f>
        <v>78.061643835616437</v>
      </c>
      <c r="H25" s="127"/>
      <c r="I25" s="129">
        <f t="shared" ref="I25:I37" si="8">(G25+H25)</f>
        <v>78.061643835616437</v>
      </c>
      <c r="J25" s="129">
        <f t="shared" ref="J25:J37" si="9">ROUND(I25*$C$63*8.76,2)</f>
        <v>113.97</v>
      </c>
      <c r="K25" s="127">
        <f t="shared" ref="K25:K37" si="10">(D25+E25+F25)</f>
        <v>113.97</v>
      </c>
      <c r="L25" s="118"/>
      <c r="N25" s="116"/>
      <c r="R25" s="157"/>
      <c r="S25" s="118"/>
      <c r="T25" s="161"/>
      <c r="U25" s="157"/>
      <c r="V25" s="157"/>
      <c r="W25" s="118"/>
      <c r="X25" s="157"/>
      <c r="Y25" s="157"/>
      <c r="Z25" s="157"/>
      <c r="AA25" s="118"/>
    </row>
    <row r="26" spans="2:28">
      <c r="B26" s="134">
        <f t="shared" si="0"/>
        <v>2032</v>
      </c>
      <c r="C26" s="135"/>
      <c r="D26" s="127">
        <f t="shared" ref="D26:F26" si="11">ROUND(D25*(1+IRP21_Infl_Rate),2)</f>
        <v>93.09</v>
      </c>
      <c r="E26" s="127">
        <f t="shared" si="11"/>
        <v>23.33</v>
      </c>
      <c r="F26" s="127">
        <f t="shared" si="11"/>
        <v>0</v>
      </c>
      <c r="G26" s="129">
        <f t="shared" si="7"/>
        <v>79.739726027397268</v>
      </c>
      <c r="H26" s="127"/>
      <c r="I26" s="129">
        <f t="shared" si="8"/>
        <v>79.739726027397268</v>
      </c>
      <c r="J26" s="129">
        <f t="shared" si="9"/>
        <v>116.42</v>
      </c>
      <c r="K26" s="127">
        <f t="shared" si="10"/>
        <v>116.42</v>
      </c>
      <c r="L26" s="118"/>
      <c r="N26" s="116"/>
      <c r="R26" s="157"/>
      <c r="S26" s="118"/>
      <c r="T26" s="161"/>
      <c r="U26" s="157"/>
      <c r="V26" s="157"/>
      <c r="W26" s="118"/>
      <c r="X26" s="157"/>
      <c r="Y26" s="157"/>
      <c r="Z26" s="157"/>
      <c r="AA26" s="118"/>
    </row>
    <row r="27" spans="2:28">
      <c r="B27" s="134">
        <f t="shared" si="0"/>
        <v>2033</v>
      </c>
      <c r="C27" s="135"/>
      <c r="D27" s="127">
        <f t="shared" ref="D27:F27" si="12">ROUND(D26*(1+IRP21_Infl_Rate),2)</f>
        <v>95.1</v>
      </c>
      <c r="E27" s="127">
        <f t="shared" si="12"/>
        <v>23.83</v>
      </c>
      <c r="F27" s="127">
        <f t="shared" si="12"/>
        <v>0</v>
      </c>
      <c r="G27" s="129">
        <f t="shared" si="7"/>
        <v>81.458904109589042</v>
      </c>
      <c r="H27" s="127"/>
      <c r="I27" s="129">
        <f t="shared" si="8"/>
        <v>81.458904109589042</v>
      </c>
      <c r="J27" s="129">
        <f t="shared" si="9"/>
        <v>118.93</v>
      </c>
      <c r="K27" s="127">
        <f t="shared" si="10"/>
        <v>118.92999999999999</v>
      </c>
      <c r="L27" s="118"/>
      <c r="N27" s="116"/>
      <c r="R27" s="157"/>
      <c r="S27" s="118"/>
      <c r="T27" s="161"/>
      <c r="U27" s="157"/>
      <c r="V27" s="157"/>
      <c r="W27" s="118"/>
      <c r="X27" s="157"/>
      <c r="Y27" s="157"/>
      <c r="Z27" s="157"/>
      <c r="AA27" s="118"/>
    </row>
    <row r="28" spans="2:28">
      <c r="B28" s="134">
        <f t="shared" si="0"/>
        <v>2034</v>
      </c>
      <c r="C28" s="135"/>
      <c r="D28" s="127">
        <f t="shared" ref="D28:F28" si="13">ROUND(D27*(1+IRP21_Infl_Rate),2)</f>
        <v>97.15</v>
      </c>
      <c r="E28" s="127">
        <f t="shared" si="13"/>
        <v>24.34</v>
      </c>
      <c r="F28" s="127">
        <f t="shared" si="13"/>
        <v>0</v>
      </c>
      <c r="G28" s="129">
        <f t="shared" si="7"/>
        <v>83.212328767123296</v>
      </c>
      <c r="H28" s="127"/>
      <c r="I28" s="129">
        <f t="shared" si="8"/>
        <v>83.212328767123296</v>
      </c>
      <c r="J28" s="129">
        <f t="shared" si="9"/>
        <v>121.49</v>
      </c>
      <c r="K28" s="127">
        <f t="shared" si="10"/>
        <v>121.49000000000001</v>
      </c>
      <c r="L28" s="118"/>
      <c r="N28" s="116"/>
      <c r="R28" s="157"/>
      <c r="S28" s="118"/>
      <c r="T28" s="161"/>
      <c r="U28" s="157"/>
      <c r="V28" s="157"/>
      <c r="W28" s="118"/>
      <c r="X28" s="157"/>
      <c r="Y28" s="157"/>
      <c r="Z28" s="157"/>
      <c r="AA28" s="118"/>
    </row>
    <row r="29" spans="2:28">
      <c r="B29" s="134">
        <f t="shared" si="0"/>
        <v>2035</v>
      </c>
      <c r="C29" s="135"/>
      <c r="D29" s="127">
        <f t="shared" ref="D29:F29" si="14">ROUND(D28*(1+IRP21_Infl_Rate),2)</f>
        <v>99.24</v>
      </c>
      <c r="E29" s="127">
        <f t="shared" si="14"/>
        <v>24.86</v>
      </c>
      <c r="F29" s="127">
        <f t="shared" si="14"/>
        <v>0</v>
      </c>
      <c r="G29" s="129">
        <f t="shared" si="7"/>
        <v>85</v>
      </c>
      <c r="H29" s="127"/>
      <c r="I29" s="129">
        <f t="shared" si="8"/>
        <v>85</v>
      </c>
      <c r="J29" s="129">
        <f t="shared" si="9"/>
        <v>124.1</v>
      </c>
      <c r="K29" s="127">
        <f t="shared" si="10"/>
        <v>124.1</v>
      </c>
      <c r="L29" s="118"/>
      <c r="N29" s="116"/>
      <c r="R29" s="157"/>
      <c r="S29" s="118"/>
      <c r="T29" s="161"/>
      <c r="U29" s="157"/>
      <c r="V29" s="157"/>
      <c r="W29" s="118"/>
      <c r="X29" s="157"/>
      <c r="Y29" s="157"/>
      <c r="Z29" s="157"/>
      <c r="AA29" s="118"/>
    </row>
    <row r="30" spans="2:28">
      <c r="B30" s="134">
        <f t="shared" si="0"/>
        <v>2036</v>
      </c>
      <c r="C30" s="135"/>
      <c r="D30" s="127">
        <f t="shared" ref="D30:F30" si="15">ROUND(D29*(1+IRP21_Infl_Rate),2)</f>
        <v>101.38</v>
      </c>
      <c r="E30" s="127">
        <f t="shared" si="15"/>
        <v>25.4</v>
      </c>
      <c r="F30" s="127">
        <f t="shared" si="15"/>
        <v>0</v>
      </c>
      <c r="G30" s="129">
        <f t="shared" si="7"/>
        <v>86.835616438356169</v>
      </c>
      <c r="H30" s="127"/>
      <c r="I30" s="129">
        <f t="shared" si="8"/>
        <v>86.835616438356169</v>
      </c>
      <c r="J30" s="129">
        <f t="shared" si="9"/>
        <v>126.78</v>
      </c>
      <c r="K30" s="127">
        <f t="shared" si="10"/>
        <v>126.78</v>
      </c>
      <c r="L30" s="118"/>
      <c r="N30" s="116"/>
      <c r="R30" s="157"/>
      <c r="S30" s="118"/>
      <c r="T30" s="161"/>
      <c r="U30" s="157"/>
      <c r="V30" s="157"/>
      <c r="W30" s="118"/>
      <c r="X30" s="157"/>
      <c r="Y30" s="157"/>
      <c r="Z30" s="157"/>
      <c r="AA30" s="118"/>
    </row>
    <row r="31" spans="2:28">
      <c r="B31" s="134">
        <f t="shared" si="0"/>
        <v>2037</v>
      </c>
      <c r="C31" s="135"/>
      <c r="D31" s="127">
        <f t="shared" ref="D31:F31" si="16">ROUND(D30*(1+IRP21_Infl_Rate),2)</f>
        <v>103.56</v>
      </c>
      <c r="E31" s="127">
        <f t="shared" si="16"/>
        <v>25.95</v>
      </c>
      <c r="F31" s="127">
        <f t="shared" si="16"/>
        <v>0</v>
      </c>
      <c r="G31" s="129">
        <f t="shared" si="7"/>
        <v>88.705479452054789</v>
      </c>
      <c r="H31" s="127"/>
      <c r="I31" s="129">
        <f t="shared" si="8"/>
        <v>88.705479452054789</v>
      </c>
      <c r="J31" s="129">
        <f t="shared" si="9"/>
        <v>129.51</v>
      </c>
      <c r="K31" s="127">
        <f t="shared" si="10"/>
        <v>129.51</v>
      </c>
      <c r="L31" s="118"/>
      <c r="N31" s="116"/>
      <c r="R31" s="157"/>
      <c r="S31" s="118"/>
      <c r="T31" s="161"/>
      <c r="U31" s="157"/>
      <c r="V31" s="157"/>
      <c r="W31" s="118"/>
      <c r="X31" s="157"/>
      <c r="Y31" s="157"/>
      <c r="Z31" s="157"/>
      <c r="AA31" s="118"/>
    </row>
    <row r="32" spans="2:28">
      <c r="B32" s="134">
        <f t="shared" si="0"/>
        <v>2038</v>
      </c>
      <c r="C32" s="135"/>
      <c r="D32" s="127">
        <f t="shared" ref="D32:F32" si="17">ROUND(D31*(1+IRP21_Infl_Rate),2)</f>
        <v>105.79</v>
      </c>
      <c r="E32" s="127">
        <f t="shared" si="17"/>
        <v>26.51</v>
      </c>
      <c r="F32" s="127">
        <f t="shared" si="17"/>
        <v>0</v>
      </c>
      <c r="G32" s="129">
        <f t="shared" si="7"/>
        <v>90.616438356164394</v>
      </c>
      <c r="H32" s="127"/>
      <c r="I32" s="129">
        <f t="shared" si="8"/>
        <v>90.616438356164394</v>
      </c>
      <c r="J32" s="129">
        <f t="shared" si="9"/>
        <v>132.30000000000001</v>
      </c>
      <c r="K32" s="127">
        <f t="shared" si="10"/>
        <v>132.30000000000001</v>
      </c>
      <c r="L32" s="118"/>
      <c r="N32" s="116"/>
      <c r="R32" s="157"/>
      <c r="S32" s="118"/>
      <c r="T32" s="161"/>
      <c r="U32" s="157"/>
      <c r="V32" s="157"/>
      <c r="W32" s="118"/>
      <c r="X32" s="157"/>
      <c r="Y32" s="157"/>
      <c r="Z32" s="157"/>
      <c r="AA32" s="118"/>
    </row>
    <row r="33" spans="2:27">
      <c r="B33" s="134">
        <f t="shared" si="0"/>
        <v>2039</v>
      </c>
      <c r="C33" s="135"/>
      <c r="D33" s="127">
        <f t="shared" ref="D33:F33" si="18">ROUND(D32*(1+IRP21_Infl_Rate),2)</f>
        <v>108.07</v>
      </c>
      <c r="E33" s="127">
        <f t="shared" si="18"/>
        <v>27.08</v>
      </c>
      <c r="F33" s="127">
        <f t="shared" si="18"/>
        <v>0</v>
      </c>
      <c r="G33" s="129">
        <f t="shared" si="7"/>
        <v>92.568493150684915</v>
      </c>
      <c r="H33" s="127"/>
      <c r="I33" s="129">
        <f t="shared" si="8"/>
        <v>92.568493150684915</v>
      </c>
      <c r="J33" s="129">
        <f t="shared" si="9"/>
        <v>135.15</v>
      </c>
      <c r="K33" s="127">
        <f t="shared" si="10"/>
        <v>135.14999999999998</v>
      </c>
      <c r="L33" s="118"/>
      <c r="N33" s="116"/>
      <c r="R33" s="118"/>
      <c r="S33" s="118"/>
      <c r="T33" s="118"/>
      <c r="U33" s="118"/>
      <c r="V33" s="118"/>
      <c r="W33" s="118"/>
      <c r="X33" s="118"/>
      <c r="Y33" s="118"/>
      <c r="Z33" s="118"/>
      <c r="AA33" s="118"/>
    </row>
    <row r="34" spans="2:27">
      <c r="B34" s="134">
        <f t="shared" si="0"/>
        <v>2040</v>
      </c>
      <c r="C34" s="135"/>
      <c r="D34" s="127">
        <f t="shared" ref="D34:F34" si="19">ROUND(D33*(1+IRP21_Infl_Rate),2)</f>
        <v>110.4</v>
      </c>
      <c r="E34" s="127">
        <f t="shared" si="19"/>
        <v>27.66</v>
      </c>
      <c r="F34" s="127">
        <f t="shared" si="19"/>
        <v>0</v>
      </c>
      <c r="G34" s="129">
        <f t="shared" si="7"/>
        <v>94.561643835616437</v>
      </c>
      <c r="H34" s="127"/>
      <c r="I34" s="129">
        <f t="shared" si="8"/>
        <v>94.561643835616437</v>
      </c>
      <c r="J34" s="129">
        <f t="shared" si="9"/>
        <v>138.06</v>
      </c>
      <c r="K34" s="127">
        <f t="shared" si="10"/>
        <v>138.06</v>
      </c>
      <c r="L34" s="118"/>
      <c r="N34" s="116"/>
      <c r="R34" s="118"/>
      <c r="S34" s="118"/>
      <c r="T34" s="118"/>
      <c r="U34" s="118"/>
      <c r="V34" s="118"/>
      <c r="W34" s="118"/>
      <c r="X34" s="118"/>
      <c r="Y34" s="118"/>
      <c r="Z34" s="118"/>
      <c r="AA34" s="118"/>
    </row>
    <row r="35" spans="2:27">
      <c r="B35" s="134">
        <f t="shared" si="0"/>
        <v>2041</v>
      </c>
      <c r="C35" s="135"/>
      <c r="D35" s="127">
        <f t="shared" ref="D35:F35" si="20">ROUND(D34*(1+IRP21_Infl_Rate),2)</f>
        <v>112.78</v>
      </c>
      <c r="E35" s="127">
        <f t="shared" si="20"/>
        <v>28.26</v>
      </c>
      <c r="F35" s="127">
        <f t="shared" si="20"/>
        <v>0</v>
      </c>
      <c r="G35" s="129">
        <f t="shared" si="7"/>
        <v>96.602739726027394</v>
      </c>
      <c r="H35" s="127"/>
      <c r="I35" s="129">
        <f t="shared" si="8"/>
        <v>96.602739726027394</v>
      </c>
      <c r="J35" s="129">
        <f t="shared" si="9"/>
        <v>141.04</v>
      </c>
      <c r="K35" s="127">
        <f t="shared" si="10"/>
        <v>141.04</v>
      </c>
      <c r="L35" s="118"/>
      <c r="N35" s="116"/>
      <c r="R35" s="118"/>
    </row>
    <row r="36" spans="2:27">
      <c r="B36" s="134">
        <f t="shared" si="0"/>
        <v>2042</v>
      </c>
      <c r="C36" s="135"/>
      <c r="D36" s="127">
        <f t="shared" ref="D36:F36" si="21">ROUND(D35*(1+IRP21_Infl_Rate),2)</f>
        <v>115.21</v>
      </c>
      <c r="E36" s="127">
        <f t="shared" si="21"/>
        <v>28.87</v>
      </c>
      <c r="F36" s="127">
        <f t="shared" si="21"/>
        <v>0</v>
      </c>
      <c r="G36" s="129">
        <f t="shared" si="7"/>
        <v>98.68493150684931</v>
      </c>
      <c r="H36" s="127"/>
      <c r="I36" s="129">
        <f t="shared" si="8"/>
        <v>98.68493150684931</v>
      </c>
      <c r="J36" s="129">
        <f t="shared" si="9"/>
        <v>144.08000000000001</v>
      </c>
      <c r="K36" s="127">
        <f t="shared" si="10"/>
        <v>144.07999999999998</v>
      </c>
      <c r="L36" s="118"/>
      <c r="N36" s="116"/>
      <c r="R36" s="118"/>
    </row>
    <row r="37" spans="2:27">
      <c r="B37" s="134">
        <f t="shared" si="0"/>
        <v>2043</v>
      </c>
      <c r="C37" s="135"/>
      <c r="D37" s="127">
        <f t="shared" ref="D37:F37" si="22">ROUND(D36*(1+IRP21_Infl_Rate),2)</f>
        <v>117.69</v>
      </c>
      <c r="E37" s="127">
        <f t="shared" si="22"/>
        <v>29.49</v>
      </c>
      <c r="F37" s="127">
        <f t="shared" si="22"/>
        <v>0</v>
      </c>
      <c r="G37" s="129">
        <f t="shared" si="7"/>
        <v>100.8082191780822</v>
      </c>
      <c r="H37" s="127"/>
      <c r="I37" s="129">
        <f t="shared" si="8"/>
        <v>100.8082191780822</v>
      </c>
      <c r="J37" s="129">
        <f t="shared" si="9"/>
        <v>147.18</v>
      </c>
      <c r="K37" s="127">
        <f t="shared" si="10"/>
        <v>147.18</v>
      </c>
      <c r="R37" s="118"/>
    </row>
    <row r="38" spans="2:27">
      <c r="B38" s="125"/>
      <c r="C38" s="130"/>
      <c r="D38" s="127"/>
      <c r="E38" s="127"/>
      <c r="F38" s="127"/>
      <c r="G38" s="128"/>
      <c r="H38" s="127"/>
      <c r="I38" s="129"/>
      <c r="J38" s="129"/>
      <c r="K38" s="136"/>
      <c r="R38" s="118"/>
    </row>
    <row r="39" spans="2:27">
      <c r="B39" s="125"/>
      <c r="C39" s="130"/>
      <c r="D39" s="127"/>
      <c r="E39" s="127"/>
      <c r="F39" s="127"/>
      <c r="G39" s="128"/>
      <c r="H39" s="127"/>
      <c r="I39" s="129"/>
      <c r="J39" s="129"/>
      <c r="K39" s="136"/>
      <c r="R39" s="118"/>
    </row>
    <row r="40" spans="2:27">
      <c r="B40" s="125"/>
      <c r="C40" s="130"/>
      <c r="D40" s="127"/>
      <c r="E40" s="127"/>
      <c r="F40" s="127"/>
      <c r="G40" s="128"/>
      <c r="H40" s="127"/>
      <c r="I40" s="127"/>
      <c r="J40" s="129"/>
      <c r="K40" s="129"/>
      <c r="L40" s="136"/>
      <c r="N40" s="116"/>
      <c r="O40" s="158"/>
      <c r="S40" s="118"/>
    </row>
    <row r="41" spans="2:27">
      <c r="N41" s="116"/>
      <c r="O41" s="158"/>
      <c r="S41" s="118"/>
    </row>
    <row r="42" spans="2:27" ht="13.8">
      <c r="B42" s="137" t="s">
        <v>25</v>
      </c>
      <c r="C42" s="138"/>
      <c r="D42" s="138"/>
      <c r="E42" s="138"/>
      <c r="F42" s="138"/>
      <c r="G42" s="138"/>
      <c r="H42" s="138"/>
      <c r="R42" s="118"/>
    </row>
    <row r="44" spans="2:27">
      <c r="B44" s="116" t="s">
        <v>63</v>
      </c>
      <c r="C44" s="139" t="s">
        <v>64</v>
      </c>
      <c r="D44" s="285" t="s">
        <v>159</v>
      </c>
    </row>
    <row r="45" spans="2:27">
      <c r="C45" s="139" t="str">
        <f>C7</f>
        <v>(a)</v>
      </c>
      <c r="D45" s="116" t="s">
        <v>65</v>
      </c>
    </row>
    <row r="46" spans="2:27">
      <c r="C46" s="139" t="str">
        <f>D7</f>
        <v>(b)</v>
      </c>
      <c r="D46" s="129" t="str">
        <f>"= "&amp;C7&amp;" x "&amp;C62</f>
        <v>= (a) x 0.0867582278185371</v>
      </c>
    </row>
    <row r="47" spans="2:27">
      <c r="C47" s="139" t="str">
        <f>F7</f>
        <v>(d)</v>
      </c>
      <c r="D47" s="129" t="str">
        <f>"= ("&amp;$D$7&amp;" + "&amp;$E$7&amp;") /  (8.76 x "&amp;TEXT(C63,"0.0%")&amp;")"</f>
        <v>= ((b) + (c)) /  (8.76 x 16.7%)</v>
      </c>
    </row>
    <row r="48" spans="2:27">
      <c r="C48" s="139" t="str">
        <f>I7</f>
        <v>(g)</v>
      </c>
      <c r="D48" s="129" t="str">
        <f>"= "&amp;$G$7&amp;" + "&amp;$H$7</f>
        <v>= (e) + (f)</v>
      </c>
    </row>
    <row r="49" spans="2:25">
      <c r="C49" s="139" t="str">
        <f>J7</f>
        <v>(h)</v>
      </c>
      <c r="D49" s="85" t="str">
        <f>D44</f>
        <v>Plant Costs  - 2021 IRP Update - Table 7.1 &amp; 7.2</v>
      </c>
    </row>
    <row r="50" spans="2:25">
      <c r="C50" s="139"/>
      <c r="D50" s="129"/>
    </row>
    <row r="51" spans="2:25" ht="13.8" thickBot="1"/>
    <row r="52" spans="2:25" ht="13.8" thickBot="1">
      <c r="C52" s="42" t="str">
        <f>B2&amp;" - "&amp;B3</f>
        <v>2021 IRP Stand Alone Battery WY DJ - 17% Capacity Factor</v>
      </c>
      <c r="D52" s="140"/>
      <c r="E52" s="140"/>
      <c r="F52" s="140"/>
      <c r="G52" s="140"/>
      <c r="H52" s="140"/>
      <c r="I52" s="141"/>
      <c r="J52" s="141"/>
      <c r="K52" s="142"/>
    </row>
    <row r="53" spans="2:25" ht="13.8" thickBot="1">
      <c r="C53" s="143" t="s">
        <v>66</v>
      </c>
      <c r="D53" s="144" t="s">
        <v>67</v>
      </c>
      <c r="E53" s="144"/>
      <c r="F53" s="144"/>
      <c r="G53" s="144"/>
      <c r="H53" s="144"/>
      <c r="I53" s="141"/>
      <c r="J53" s="141"/>
      <c r="K53" s="142"/>
    </row>
    <row r="54" spans="2:25">
      <c r="P54" s="116" t="s">
        <v>98</v>
      </c>
      <c r="Q54" s="116">
        <v>2029</v>
      </c>
    </row>
    <row r="55" spans="2:25">
      <c r="B55" s="85" t="s">
        <v>220</v>
      </c>
      <c r="C55" s="135">
        <f>552607.479/549</f>
        <v>1006.5710000000001</v>
      </c>
      <c r="D55" s="116" t="s">
        <v>65</v>
      </c>
      <c r="O55" s="265">
        <v>549</v>
      </c>
      <c r="P55" s="116" t="s">
        <v>32</v>
      </c>
    </row>
    <row r="56" spans="2:25">
      <c r="B56" s="85" t="s">
        <v>220</v>
      </c>
      <c r="C56" s="127">
        <f>12018.7080000009/549</f>
        <v>21.892000000001637</v>
      </c>
      <c r="D56" s="116" t="s">
        <v>68</v>
      </c>
      <c r="R56" s="118"/>
    </row>
    <row r="57" spans="2:25" ht="24" customHeight="1">
      <c r="B57" s="85"/>
      <c r="C57" s="151"/>
      <c r="D57" s="116" t="s">
        <v>99</v>
      </c>
      <c r="Q57" s="200"/>
    </row>
    <row r="58" spans="2:25">
      <c r="B58" s="85" t="s">
        <v>220</v>
      </c>
      <c r="C58" s="146"/>
      <c r="D58" s="116" t="s">
        <v>69</v>
      </c>
      <c r="K58" s="118"/>
      <c r="L58" s="425"/>
      <c r="M58" s="52"/>
      <c r="N58" s="160"/>
      <c r="O58" s="52"/>
      <c r="P58" s="52"/>
      <c r="Q58" s="118"/>
      <c r="R58" s="118"/>
      <c r="T58" s="118"/>
      <c r="U58" s="118"/>
      <c r="V58" s="118"/>
      <c r="W58" s="118"/>
      <c r="X58" s="118"/>
      <c r="Y58" s="118"/>
    </row>
    <row r="59" spans="2:25">
      <c r="B59" s="85"/>
      <c r="C59" s="156"/>
      <c r="D59" s="116" t="s">
        <v>70</v>
      </c>
      <c r="I59" s="426" t="s">
        <v>90</v>
      </c>
      <c r="L59" s="427"/>
      <c r="M59" s="150"/>
      <c r="O59" s="148"/>
      <c r="P59" s="118"/>
      <c r="Q59" s="118"/>
      <c r="R59" s="118"/>
      <c r="T59" s="118"/>
      <c r="U59" s="118"/>
      <c r="V59" s="118"/>
      <c r="W59" s="118"/>
      <c r="X59" s="118"/>
      <c r="Y59" s="118"/>
    </row>
    <row r="60" spans="2:25">
      <c r="B60" s="346">
        <v>0</v>
      </c>
      <c r="C60" s="151"/>
      <c r="D60" s="116" t="s">
        <v>153</v>
      </c>
      <c r="K60" s="427"/>
      <c r="L60" s="427"/>
      <c r="M60" s="427"/>
      <c r="N60" s="161"/>
      <c r="O60" s="148"/>
      <c r="P60" s="118"/>
      <c r="Q60" s="118"/>
      <c r="R60" s="118"/>
      <c r="T60" s="118"/>
      <c r="U60" s="118"/>
      <c r="V60" s="118"/>
      <c r="W60" s="118"/>
      <c r="X60" s="118"/>
      <c r="Y60" s="118"/>
    </row>
    <row r="61" spans="2:25">
      <c r="B61" s="85"/>
      <c r="C61" s="186"/>
      <c r="K61" s="427"/>
      <c r="L61" s="427"/>
      <c r="M61" s="427"/>
      <c r="N61" s="161"/>
      <c r="O61" s="427"/>
      <c r="R61" s="118"/>
      <c r="T61" s="118"/>
      <c r="U61" s="118"/>
      <c r="V61" s="118"/>
      <c r="W61" s="118"/>
      <c r="X61" s="118"/>
      <c r="Y61" s="118"/>
    </row>
    <row r="62" spans="2:25" ht="13.8">
      <c r="C62" s="428">
        <v>8.6758227818537134E-2</v>
      </c>
      <c r="D62" s="116" t="s">
        <v>36</v>
      </c>
      <c r="E62" s="366"/>
      <c r="K62" s="275"/>
      <c r="L62" s="154"/>
      <c r="M62" s="154"/>
      <c r="O62" s="155"/>
    </row>
    <row r="63" spans="2:25">
      <c r="C63" s="429">
        <v>0.16666666666666666</v>
      </c>
      <c r="D63" s="116" t="s">
        <v>37</v>
      </c>
    </row>
    <row r="64" spans="2:25">
      <c r="D64" s="152"/>
    </row>
    <row r="65" spans="14:14" s="118" customFormat="1">
      <c r="N65" s="161"/>
    </row>
    <row r="82" spans="3:4">
      <c r="C82" s="148"/>
      <c r="D82" s="152"/>
    </row>
    <row r="83" spans="3:4">
      <c r="C83" s="148"/>
      <c r="D83" s="152"/>
    </row>
    <row r="84" spans="3:4">
      <c r="C84" s="148"/>
      <c r="D84" s="152"/>
    </row>
    <row r="85" spans="3:4">
      <c r="C85" s="148"/>
      <c r="D85" s="152"/>
    </row>
    <row r="86" spans="3:4">
      <c r="C86" s="148"/>
      <c r="D86" s="152"/>
    </row>
    <row r="87" spans="3:4">
      <c r="C87" s="148"/>
      <c r="D87" s="152"/>
    </row>
    <row r="88" spans="3:4">
      <c r="C88" s="148"/>
      <c r="D88" s="152"/>
    </row>
    <row r="89" spans="3:4">
      <c r="C89" s="148"/>
      <c r="D89" s="152"/>
    </row>
    <row r="90" spans="3:4">
      <c r="C90" s="148"/>
      <c r="D90" s="152"/>
    </row>
    <row r="91" spans="3:4">
      <c r="C91" s="148"/>
      <c r="D91" s="152"/>
    </row>
  </sheetData>
  <printOptions horizontalCentered="1"/>
  <pageMargins left="0.8" right="0.3" top="0.4" bottom="0.4" header="0.5" footer="0.2"/>
  <pageSetup scale="68" orientation="landscape" r:id="rId1"/>
  <headerFooter alignWithMargins="0"/>
  <rowBreaks count="1" manualBreakCount="1">
    <brk id="5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37</vt:i4>
      </vt:variant>
    </vt:vector>
  </HeadingPairs>
  <TitlesOfParts>
    <vt:vector size="60" baseType="lpstr">
      <vt:lpstr>Appendix B.1</vt:lpstr>
      <vt:lpstr>Table 1</vt:lpstr>
      <vt:lpstr>Table 2</vt:lpstr>
      <vt:lpstr>Table 4</vt:lpstr>
      <vt:lpstr>Table3ACsummary</vt:lpstr>
      <vt:lpstr>Table 5</vt:lpstr>
      <vt:lpstr>Table 3 TransCost</vt:lpstr>
      <vt:lpstr>Table 3 PV wS Borah_2026</vt:lpstr>
      <vt:lpstr>Table 3 StdBat  DJ_2029</vt:lpstr>
      <vt:lpstr>Table 3 PNC Wind_2026</vt:lpstr>
      <vt:lpstr>Table 3 PNC Wind_2032</vt:lpstr>
      <vt:lpstr>Table 3 WV Wind_2026</vt:lpstr>
      <vt:lpstr>Table 3 YK WindwS_2030</vt:lpstr>
      <vt:lpstr>Table 3 WYE Wind_2030</vt:lpstr>
      <vt:lpstr>Table 3 WYE_DJ Wind_2030</vt:lpstr>
      <vt:lpstr>Table 3 PV wS SOR_2028</vt:lpstr>
      <vt:lpstr>Table 3 PV wS SOR_2030</vt:lpstr>
      <vt:lpstr>Table 3 PV wS YK_2030</vt:lpstr>
      <vt:lpstr>Table 3 PV wS UTN_2031</vt:lpstr>
      <vt:lpstr>Table 3 PV wS UTS_2033</vt:lpstr>
      <vt:lpstr>Table 3 SmNuc 345MW (NTN) 2028</vt:lpstr>
      <vt:lpstr>Table 3 NonE 206MW (UTN) 2033</vt:lpstr>
      <vt:lpstr>Table 3 NonE 196MW (NTN)</vt:lpstr>
      <vt:lpstr>Discount_Rate</vt:lpstr>
      <vt:lpstr>'Appendix B.1'!IRP21_Infl_Rate</vt:lpstr>
      <vt:lpstr>IRP21_Infl_Rate</vt:lpstr>
      <vt:lpstr>'Appendix B.1'!Print_Area</vt:lpstr>
      <vt:lpstr>'Table 1'!Print_Area</vt:lpstr>
      <vt:lpstr>'Table 2'!Print_Area</vt:lpstr>
      <vt:lpstr>'Table 3 NonE 196MW (NTN)'!Print_Area</vt:lpstr>
      <vt:lpstr>'Table 3 NonE 206MW (UTN) 2033'!Print_Area</vt:lpstr>
      <vt:lpstr>'Table 3 PNC Wind_2026'!Print_Area</vt:lpstr>
      <vt:lpstr>'Table 3 PNC Wind_2032'!Print_Area</vt:lpstr>
      <vt:lpstr>'Table 3 PV wS Borah_2026'!Print_Area</vt:lpstr>
      <vt:lpstr>'Table 3 PV wS SOR_2028'!Print_Area</vt:lpstr>
      <vt:lpstr>'Table 3 PV wS SOR_2030'!Print_Area</vt:lpstr>
      <vt:lpstr>'Table 3 PV wS UTN_2031'!Print_Area</vt:lpstr>
      <vt:lpstr>'Table 3 PV wS UTS_2033'!Print_Area</vt:lpstr>
      <vt:lpstr>'Table 3 PV wS YK_2030'!Print_Area</vt:lpstr>
      <vt:lpstr>'Table 3 SmNuc 345MW (NTN) 2028'!Print_Area</vt:lpstr>
      <vt:lpstr>'Table 3 StdBat  DJ_2029'!Print_Area</vt:lpstr>
      <vt:lpstr>'Table 3 TransCost'!Print_Area</vt:lpstr>
      <vt:lpstr>'Table 3 WV Wind_2026'!Print_Area</vt:lpstr>
      <vt:lpstr>'Table 3 WYE Wind_2030'!Print_Area</vt:lpstr>
      <vt:lpstr>'Table 3 WYE_DJ Wind_2030'!Print_Area</vt:lpstr>
      <vt:lpstr>'Table 3 YK WindwS_2030'!Print_Area</vt:lpstr>
      <vt:lpstr>'Table 4'!Print_Area</vt:lpstr>
      <vt:lpstr>Table3ACsummary!Print_Area</vt:lpstr>
      <vt:lpstr>'Table 2'!Print_Titles</vt:lpstr>
      <vt:lpstr>'Table 3 NonE 196MW (NTN)'!Print_Titles</vt:lpstr>
      <vt:lpstr>'Table 3 NonE 206MW (UTN) 2033'!Print_Titles</vt:lpstr>
      <vt:lpstr>'Table 3 SmNuc 345MW (NTN) 2028'!Print_Titles</vt:lpstr>
      <vt:lpstr>'Table 2'!Study_Cap_Adj</vt:lpstr>
      <vt:lpstr>'Table 3 NonE 196MW (NTN)'!Study_Cap_Adj</vt:lpstr>
      <vt:lpstr>'Table 3 NonE 206MW (UTN) 2033'!Study_Cap_Adj</vt:lpstr>
      <vt:lpstr>'Table 3 SmNuc 345MW (NTN) 2028'!Study_Cap_Adj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Lucas Downey</cp:lastModifiedBy>
  <cp:lastPrinted>2022-03-29T21:25:23Z</cp:lastPrinted>
  <dcterms:created xsi:type="dcterms:W3CDTF">2001-03-19T15:45:46Z</dcterms:created>
  <dcterms:modified xsi:type="dcterms:W3CDTF">2022-03-31T19:12:44Z</dcterms:modified>
</cp:coreProperties>
</file>