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61\"/>
    </mc:Choice>
  </mc:AlternateContent>
  <bookViews>
    <workbookView xWindow="0" yWindow="0" windowWidth="21540" windowHeight="10935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UT CP Wind_2023" sheetId="81" state="hidden" r:id="rId6"/>
    <sheet name="Table 3 WYAE Wind_2024" sheetId="43" state="hidden" r:id="rId7"/>
    <sheet name="Table 3 ID Wind_2030" sheetId="75" state="hidden" r:id="rId8"/>
    <sheet name="Table 3 PV wS UTS_2024" sheetId="67" state="hidden" r:id="rId9"/>
    <sheet name="Table 3 PV wS UTS_2030" sheetId="80" state="hidden" r:id="rId10"/>
    <sheet name="Table 3 PV wS JB_2024" sheetId="71" state="hidden" r:id="rId11"/>
    <sheet name="Table 3 PV wS JB_2029" sheetId="78" state="hidden" r:id="rId12"/>
    <sheet name="Table 3 PV wS SO_2024" sheetId="72" state="hidden" r:id="rId13"/>
    <sheet name="Table 3 PV wS YK_2024" sheetId="73" state="hidden" r:id="rId14"/>
    <sheet name="Table 3 PV wS UTN_2024" sheetId="70" state="hidden" r:id="rId15"/>
    <sheet name="Table 3 185 MW (NTN) 2026)" sheetId="68" state="hidden" r:id="rId16"/>
    <sheet name="Table 3 YK Wind wS_2029" sheetId="76" state="hidden" r:id="rId17"/>
    <sheet name="Table 3 ID Wind wS_2032" sheetId="79" state="hidden" r:id="rId18"/>
    <sheet name="Table 3 TransCost" sheetId="47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00_SCCT_UtahN" localSheetId="1">'[1]Table 1'!$I$19</definedName>
    <definedName name="_200_SCCT_UtahN">'Table 1'!$I$19</definedName>
    <definedName name="_200_SCCT_WYNE">'Table 1'!$I$21</definedName>
    <definedName name="_30_Geo_West" localSheetId="1">'[1]Table 1'!$I$17</definedName>
    <definedName name="_30_Geo_West" localSheetId="15">'Table 1'!$I$17</definedName>
    <definedName name="_30_Geo_West" localSheetId="18">'Table 1'!$I$17</definedName>
    <definedName name="_30_Geo_West" localSheetId="5">'[2]Table 1'!$I$17</definedName>
    <definedName name="_30_Geo_West">'Table 1'!$I$17</definedName>
    <definedName name="_436_CCCT_WestMain" localSheetId="1">'[1]Table 1'!$I$18</definedName>
    <definedName name="_436_CCCT_WestMain" localSheetId="15">'Table 1'!$I$18</definedName>
    <definedName name="_436_CCCT_WestMain" localSheetId="18">'Table 1'!$I$18</definedName>
    <definedName name="_436_CCCT_WestMain" localSheetId="5">'[2]Table 1'!$I$18</definedName>
    <definedName name="_436_CCCT_WestMain">'Table 1'!$I$18</definedName>
    <definedName name="_477_CCCT_WestMain" localSheetId="1">'Table 1'!$I$18</definedName>
    <definedName name="_477_CCCT_WestMain">'[3]Table 1'!$I$18</definedName>
    <definedName name="_477_CCCT_WYNE">'Table 1'!$I$20</definedName>
    <definedName name="_635_CCCT_UtahS" localSheetId="1">'Table 1'!$I$19</definedName>
    <definedName name="_635_CCCT_UtahS">'[3]Table 1'!$I$19</definedName>
    <definedName name="_635_CCCT_WyoNE" localSheetId="1">'Table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">'[1]Table 1'!#REF!</definedName>
    <definedName name="_Percent_Last_CCCT" localSheetId="17">'[4]Table 1'!#REF!</definedName>
    <definedName name="_Percent_Last_CCCT" localSheetId="7">'[4]Table 1'!#REF!</definedName>
    <definedName name="_Percent_Last_CCCT" localSheetId="10">'[4]Table 1'!#REF!</definedName>
    <definedName name="_Percent_Last_CCCT" localSheetId="11">'[4]Table 1'!#REF!</definedName>
    <definedName name="_Percent_Last_CCCT" localSheetId="12">'[4]Table 1'!#REF!</definedName>
    <definedName name="_Percent_Last_CCCT" localSheetId="14">'[4]Table 1'!#REF!</definedName>
    <definedName name="_Percent_Last_CCCT" localSheetId="8">'[4]Table 1'!#REF!</definedName>
    <definedName name="_Percent_Last_CCCT" localSheetId="9">'[4]Table 1'!#REF!</definedName>
    <definedName name="_Percent_Last_CCCT" localSheetId="13">'[4]Table 1'!#REF!</definedName>
    <definedName name="_Percent_Last_CCCT" localSheetId="5">'[4]Table 1'!#REF!</definedName>
    <definedName name="_Percent_Last_CCCT" localSheetId="16">'[4]Table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15">'[5]on off peak hours'!$C$15:$ED$15</definedName>
    <definedName name="dateTable">'[5]on off peak hours'!$C$15:$ED$15</definedName>
    <definedName name="Discount_Rate">'Table 1'!$I$43</definedName>
    <definedName name="Discount_Rate_2015_IRP" localSheetId="15">'[6]Table 7 to 8'!$AE$43</definedName>
    <definedName name="Discount_Rate_2015_IRP" localSheetId="17">'[7]Table 7 to 8'!$AE$43</definedName>
    <definedName name="Discount_Rate_2015_IRP" localSheetId="7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2">'[7]Table 7 to 8'!$AE$43</definedName>
    <definedName name="Discount_Rate_2015_IRP" localSheetId="14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13">'[7]Table 7 to 8'!$AE$43</definedName>
    <definedName name="Discount_Rate_2015_IRP" localSheetId="18">'[7]Table 7 to 8'!$AE$43</definedName>
    <definedName name="Discount_Rate_2015_IRP" localSheetId="5">'[7]Table 7 to 8'!$AE$43</definedName>
    <definedName name="Discount_Rate_2015_IRP" localSheetId="6">'[7]Table 7 to 8'!$AE$43</definedName>
    <definedName name="Discount_Rate_2015_IRP" localSheetId="16">'[7]Table 7 to 8'!$AE$43</definedName>
    <definedName name="Discount_Rate_2015_IRP">'[6]Table 7 to 8'!$AE$43</definedName>
    <definedName name="DispatchSum">"GRID Thermal Generation!R2C1:R4C2"</definedName>
    <definedName name="FixedSolar_Capacity_Contr" localSheetId="15">'[6]Exhibit 3- Std FixedSolar QF'!$G$53</definedName>
    <definedName name="FixedSolar_Capacity_Contr">'[6]Exhibit 3- Std FixedSolar QF'!$G$53</definedName>
    <definedName name="HoursHoliday" localSheetId="15">'[5]on off peak hours'!$C$16:$ED$20</definedName>
    <definedName name="HoursHoliday">'[5]on off peak hours'!$C$16:$ED$20</definedName>
    <definedName name="Market" localSheetId="15">'[6]OFPC Source'!$J$8:$M$295</definedName>
    <definedName name="Market" localSheetId="17">'[8]OFPC Source'!$J$8:$M$295</definedName>
    <definedName name="Market" localSheetId="7">'[8]OFPC Source'!$J$8:$M$295</definedName>
    <definedName name="Market" localSheetId="10">'[8]OFPC Source'!$J$8:$M$295</definedName>
    <definedName name="Market" localSheetId="11">'[8]OFPC Source'!$J$8:$M$295</definedName>
    <definedName name="Market" localSheetId="12">'[8]OFPC Source'!$J$8:$M$295</definedName>
    <definedName name="Market" localSheetId="14">'[8]OFPC Source'!$J$8:$M$295</definedName>
    <definedName name="Market" localSheetId="8">'[8]OFPC Source'!$J$8:$M$295</definedName>
    <definedName name="Market" localSheetId="9">'[8]OFPC Source'!$J$8:$M$295</definedName>
    <definedName name="Market" localSheetId="13">'[8]OFPC Source'!$J$8:$M$295</definedName>
    <definedName name="Market" localSheetId="18">'[8]OFPC Source'!$J$8:$M$295</definedName>
    <definedName name="Market" localSheetId="5">'[8]OFPC Source'!$J$8:$M$295</definedName>
    <definedName name="Market" localSheetId="6">'[8]OFPC Source'!$J$8:$M$295</definedName>
    <definedName name="Market" localSheetId="16">'[8]OFPC Source'!$J$8:$M$295</definedName>
    <definedName name="Market">'[6]OFPC Source'!$J$8:$M$295</definedName>
    <definedName name="MidC_Flat" localSheetId="1">[9]Market_Price!#REF!</definedName>
    <definedName name="MidC_Flat" localSheetId="17">[9]Market_Price!#REF!</definedName>
    <definedName name="MidC_Flat" localSheetId="7">[9]Market_Price!#REF!</definedName>
    <definedName name="MidC_Flat" localSheetId="10">[9]Market_Price!#REF!</definedName>
    <definedName name="MidC_Flat" localSheetId="11">[9]Market_Price!#REF!</definedName>
    <definedName name="MidC_Flat" localSheetId="12">[9]Market_Price!#REF!</definedName>
    <definedName name="MidC_Flat" localSheetId="14">[9]Market_Price!#REF!</definedName>
    <definedName name="MidC_Flat" localSheetId="8">[9]Market_Price!#REF!</definedName>
    <definedName name="MidC_Flat" localSheetId="9">[9]Market_Price!#REF!</definedName>
    <definedName name="MidC_Flat" localSheetId="13">[9]Market_Price!#REF!</definedName>
    <definedName name="MidC_Flat" localSheetId="5">[9]Market_Price!#REF!</definedName>
    <definedName name="MidC_Flat" localSheetId="16">[9]Market_Price!#REF!</definedName>
    <definedName name="MidC_Flat">[9]Market_Price!#REF!</definedName>
    <definedName name="OR_AC_price" localSheetId="1">#REF!</definedName>
    <definedName name="OR_AC_price" localSheetId="17">#REF!</definedName>
    <definedName name="OR_AC_price" localSheetId="7">#REF!</definedName>
    <definedName name="OR_AC_price" localSheetId="10">#REF!</definedName>
    <definedName name="OR_AC_price" localSheetId="11">#REF!</definedName>
    <definedName name="OR_AC_price" localSheetId="12">#REF!</definedName>
    <definedName name="OR_AC_price" localSheetId="14">#REF!</definedName>
    <definedName name="OR_AC_price" localSheetId="8">#REF!</definedName>
    <definedName name="OR_AC_price" localSheetId="9">#REF!</definedName>
    <definedName name="OR_AC_price" localSheetId="13">#REF!</definedName>
    <definedName name="OR_AC_price" localSheetId="5">#REF!</definedName>
    <definedName name="OR_AC_price" localSheetId="16">#REF!</definedName>
    <definedName name="OR_AC_price">#REF!</definedName>
    <definedName name="_xlnm.Print_Area" localSheetId="0">'Table 1'!$A$1:$G$55</definedName>
    <definedName name="_xlnm.Print_Area" localSheetId="1">'Table 2'!$B$1:$P$36</definedName>
    <definedName name="_xlnm.Print_Area" localSheetId="15">'Table 3 185 MW (NTN) 2026)'!$A$1:$K$87</definedName>
    <definedName name="_xlnm.Print_Area" localSheetId="17">'Table 3 ID Wind wS_2032'!$A$1:$P$74</definedName>
    <definedName name="_xlnm.Print_Area" localSheetId="7">'Table 3 ID Wind_2030'!$A$1:$P$74</definedName>
    <definedName name="_xlnm.Print_Area" localSheetId="10">'Table 3 PV wS JB_2024'!$A$1:$P$74</definedName>
    <definedName name="_xlnm.Print_Area" localSheetId="11">'Table 3 PV wS JB_2029'!$A$1:$P$74</definedName>
    <definedName name="_xlnm.Print_Area" localSheetId="12">'Table 3 PV wS SO_2024'!$A$1:$P$74</definedName>
    <definedName name="_xlnm.Print_Area" localSheetId="14">'Table 3 PV wS UTN_2024'!$A$1:$P$77</definedName>
    <definedName name="_xlnm.Print_Area" localSheetId="8">'Table 3 PV wS UTS_2024'!$A$1:$P$74</definedName>
    <definedName name="_xlnm.Print_Area" localSheetId="9">'Table 3 PV wS UTS_2030'!$A$1:$P$74</definedName>
    <definedName name="_xlnm.Print_Area" localSheetId="13">'Table 3 PV wS YK_2024'!$A$1:$P$74</definedName>
    <definedName name="_xlnm.Print_Area" localSheetId="18">'Table 3 TransCost'!$A$1:$BD$50</definedName>
    <definedName name="_xlnm.Print_Area" localSheetId="5">'Table 3 UT CP Wind_2023'!$A$1:$N$74</definedName>
    <definedName name="_xlnm.Print_Area" localSheetId="6">'Table 3 WYAE Wind_2024'!$A$1:$Q$74</definedName>
    <definedName name="_xlnm.Print_Area" localSheetId="16">'Table 3 YK Wind wS_2029'!$A$1:$P$74</definedName>
    <definedName name="_xlnm.Print_Area" localSheetId="2">'Table 4'!$A$1:$F$44</definedName>
    <definedName name="_xlnm.Print_Area" localSheetId="4">'Table 5'!$A$1:$H$266</definedName>
    <definedName name="_xlnm.Print_Area" localSheetId="3">Table3ACsummary!$A$1:$M$50</definedName>
    <definedName name="_xlnm.Print_Titles" localSheetId="1">'Table 2'!$1:$9</definedName>
    <definedName name="_xlnm.Print_Titles" localSheetId="15">'Table 3 185 MW (NTN) 2026)'!$1:$6</definedName>
    <definedName name="RenewableMarketShape" localSheetId="15">'[6]OFPC Source'!$P$5:$U$33</definedName>
    <definedName name="RenewableMarketShape" localSheetId="17">'[8]OFPC Source'!$P$5:$U$28</definedName>
    <definedName name="RenewableMarketShape" localSheetId="7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2">'[8]OFPC Source'!$P$5:$U$28</definedName>
    <definedName name="RenewableMarketShape" localSheetId="14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13">'[8]OFPC Source'!$P$5:$U$28</definedName>
    <definedName name="RenewableMarketShape" localSheetId="18">'[8]OFPC Source'!$P$5:$U$28</definedName>
    <definedName name="RenewableMarketShape" localSheetId="5">'[8]OFPC Source'!$P$5:$U$28</definedName>
    <definedName name="RenewableMarketShape" localSheetId="6">'[8]OFPC Source'!$P$5:$U$28</definedName>
    <definedName name="RenewableMarketShape" localSheetId="16">'[8]OFPC Source'!$P$5:$U$28</definedName>
    <definedName name="RenewableMarketShape">'[6]OFPC Source'!$P$5:$U$33</definedName>
    <definedName name="RevenueSum">"GRID Thermal Revenue!R2C1:R4C2"</definedName>
    <definedName name="Solar_Fixed_integr_cost" localSheetId="15">'[10]Table 10'!$B$46</definedName>
    <definedName name="Solar_Fixed_integr_cost">'[10]Table 10'!$B$46</definedName>
    <definedName name="Solar_HLH" localSheetId="15">'[6]OFPC Source'!$U$48</definedName>
    <definedName name="Solar_HLH" localSheetId="17">'[8]OFPC Source'!$U$47</definedName>
    <definedName name="Solar_HLH" localSheetId="7">'[8]OFPC Source'!$U$47</definedName>
    <definedName name="Solar_HLH" localSheetId="10">'[8]OFPC Source'!$U$47</definedName>
    <definedName name="Solar_HLH" localSheetId="11">'[8]OFPC Source'!$U$47</definedName>
    <definedName name="Solar_HLH" localSheetId="12">'[8]OFPC Source'!$U$47</definedName>
    <definedName name="Solar_HLH" localSheetId="14">'[8]OFPC Source'!$U$47</definedName>
    <definedName name="Solar_HLH" localSheetId="8">'[8]OFPC Source'!$U$47</definedName>
    <definedName name="Solar_HLH" localSheetId="9">'[8]OFPC Source'!$U$47</definedName>
    <definedName name="Solar_HLH" localSheetId="13">'[8]OFPC Source'!$U$47</definedName>
    <definedName name="Solar_HLH" localSheetId="18">'[8]OFPC Source'!$U$47</definedName>
    <definedName name="Solar_HLH" localSheetId="5">'[8]OFPC Source'!$U$47</definedName>
    <definedName name="Solar_HLH" localSheetId="6">'[8]OFPC Source'!$U$47</definedName>
    <definedName name="Solar_HLH" localSheetId="16">'[8]OFPC Source'!$U$47</definedName>
    <definedName name="Solar_HLH">'[6]OFPC Source'!$U$48</definedName>
    <definedName name="Solar_LLH" localSheetId="15">'[6]OFPC Source'!$V$48</definedName>
    <definedName name="Solar_LLH" localSheetId="17">'[8]OFPC Source'!$V$47</definedName>
    <definedName name="Solar_LLH" localSheetId="7">'[8]OFPC Source'!$V$47</definedName>
    <definedName name="Solar_LLH" localSheetId="10">'[8]OFPC Source'!$V$47</definedName>
    <definedName name="Solar_LLH" localSheetId="11">'[8]OFPC Source'!$V$47</definedName>
    <definedName name="Solar_LLH" localSheetId="12">'[8]OFPC Source'!$V$47</definedName>
    <definedName name="Solar_LLH" localSheetId="14">'[8]OFPC Source'!$V$47</definedName>
    <definedName name="Solar_LLH" localSheetId="8">'[8]OFPC Source'!$V$47</definedName>
    <definedName name="Solar_LLH" localSheetId="9">'[8]OFPC Source'!$V$47</definedName>
    <definedName name="Solar_LLH" localSheetId="13">'[8]OFPC Source'!$V$47</definedName>
    <definedName name="Solar_LLH" localSheetId="18">'[8]OFPC Source'!$V$47</definedName>
    <definedName name="Solar_LLH" localSheetId="5">'[8]OFPC Source'!$V$47</definedName>
    <definedName name="Solar_LLH" localSheetId="6">'[8]OFPC Source'!$V$47</definedName>
    <definedName name="Solar_LLH" localSheetId="16">'[8]OFPC Source'!$V$47</definedName>
    <definedName name="Solar_LLH">'[6]OFPC Source'!$V$48</definedName>
    <definedName name="Solar_Tracking_integr_cost" localSheetId="15">'[10]Table 10'!$B$45</definedName>
    <definedName name="Solar_Tracking_integr_cost">'[10]Table 10'!$B$45</definedName>
    <definedName name="Study_Cap_Adj" localSheetId="1">'Table 1'!$I$8</definedName>
    <definedName name="Study_Cap_Adj" localSheetId="15">'Table 1'!$I$8</definedName>
    <definedName name="Study_Cap_Adj" localSheetId="18">'Table 1'!$I$8</definedName>
    <definedName name="Study_Cap_Adj" localSheetId="5">'[2]Table 1'!$I$8</definedName>
    <definedName name="Study_Cap_Adj">'Table 1'!$I$8</definedName>
    <definedName name="Study_CF">'Table 5'!$M$7</definedName>
    <definedName name="Study_MW">'Table 5'!$M$6</definedName>
    <definedName name="Study_Name" localSheetId="17">[5]ImportData!$D$7</definedName>
    <definedName name="Study_Name" localSheetId="7">[5]ImportData!$D$7</definedName>
    <definedName name="Study_Name" localSheetId="10">[5]ImportData!$D$7</definedName>
    <definedName name="Study_Name" localSheetId="11">[5]ImportData!$D$7</definedName>
    <definedName name="Study_Name" localSheetId="12">[5]ImportData!$D$7</definedName>
    <definedName name="Study_Name" localSheetId="14">[5]ImportData!$D$7</definedName>
    <definedName name="Study_Name" localSheetId="8">[5]ImportData!$D$7</definedName>
    <definedName name="Study_Name" localSheetId="9">[5]ImportData!$D$7</definedName>
    <definedName name="Study_Name" localSheetId="13">[5]ImportData!$D$7</definedName>
    <definedName name="Study_Name" localSheetId="18">[5]ImportData!$D$7</definedName>
    <definedName name="Study_Name" localSheetId="5">[5]ImportData!$D$7</definedName>
    <definedName name="Study_Name" localSheetId="6">[5]ImportData!$D$7</definedName>
    <definedName name="Study_Name" localSheetId="16">[5]ImportData!$D$7</definedName>
    <definedName name="ValuationDate" localSheetId="1">#REF!</definedName>
    <definedName name="ValuationDate" localSheetId="17">#REF!</definedName>
    <definedName name="ValuationDate" localSheetId="7">#REF!</definedName>
    <definedName name="ValuationDate" localSheetId="10">#REF!</definedName>
    <definedName name="ValuationDate" localSheetId="11">#REF!</definedName>
    <definedName name="ValuationDate" localSheetId="12">#REF!</definedName>
    <definedName name="ValuationDate" localSheetId="14">#REF!</definedName>
    <definedName name="ValuationDate" localSheetId="8">#REF!</definedName>
    <definedName name="ValuationDate" localSheetId="9">#REF!</definedName>
    <definedName name="ValuationDate" localSheetId="13">#REF!</definedName>
    <definedName name="ValuationDate" localSheetId="5">#REF!</definedName>
    <definedName name="ValuationDate" localSheetId="16">#REF!</definedName>
    <definedName name="ValuationDate">#REF!</definedName>
    <definedName name="Wind_Capacity_Contr" localSheetId="15">'[6]Exhibit 2- Std Wind QF '!$E$57</definedName>
    <definedName name="Wind_Capacity_Contr">'[6]Exhibit 2- Std Wind QF '!$E$57</definedName>
    <definedName name="Wind_Integration_Charge" localSheetId="15">'[6]Exhibit 2- Std Wind QF '!$E$45</definedName>
    <definedName name="Wind_Integration_Charge">'[6]Exhibit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31" l="1"/>
  <c r="L13" i="31" l="1"/>
  <c r="M14" i="31"/>
  <c r="L14" i="31" s="1"/>
  <c r="B13" i="31"/>
  <c r="B22" i="66"/>
  <c r="B21" i="66"/>
  <c r="B20" i="66"/>
  <c r="B19" i="66"/>
  <c r="B18" i="66"/>
  <c r="B17" i="66"/>
  <c r="B16" i="66"/>
  <c r="B15" i="66"/>
  <c r="B14" i="66"/>
  <c r="B13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A9" i="31" l="1"/>
  <c r="R6" i="31"/>
  <c r="Q5" i="31"/>
  <c r="Q6" i="31" s="1"/>
  <c r="P5" i="31"/>
  <c r="P6" i="31" s="1"/>
  <c r="CX38" i="25" l="1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BI9" i="25" l="1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C68" i="81" l="1"/>
  <c r="B14" i="81"/>
  <c r="B15" i="81" s="1"/>
  <c r="B16" i="81" s="1"/>
  <c r="B17" i="81" s="1"/>
  <c r="C69" i="81"/>
  <c r="C70" i="81" l="1"/>
  <c r="D17" i="81"/>
  <c r="B18" i="81"/>
  <c r="B19" i="81" l="1"/>
  <c r="C71" i="81"/>
  <c r="C72" i="81" l="1"/>
  <c r="B20" i="81"/>
  <c r="B21" i="81" l="1"/>
  <c r="C73" i="81"/>
  <c r="C74" i="81" l="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46" i="47" l="1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I74" i="76"/>
  <c r="I74" i="75"/>
  <c r="I74" i="73"/>
  <c r="I74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F37" i="72" s="1"/>
  <c r="E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2" l="1"/>
  <c r="E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E15" i="72" l="1"/>
  <c r="K14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6" i="72" l="1"/>
  <c r="K15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E17" i="72" l="1"/>
  <c r="K16" i="72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F32" i="75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D12" i="77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F22" i="77" s="1"/>
  <c r="D30" i="70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AG11" i="47"/>
  <c r="H11" i="47"/>
  <c r="J11" i="47" s="1"/>
  <c r="W11" i="47"/>
  <c r="C11" i="47"/>
  <c r="R11" i="47"/>
  <c r="O11" i="47"/>
  <c r="B12" i="47"/>
  <c r="M12" i="47" l="1"/>
  <c r="AV12" i="47"/>
  <c r="AX12" i="47" s="1"/>
  <c r="BA12" i="47"/>
  <c r="BC12" i="47" s="1"/>
  <c r="AL12" i="47"/>
  <c r="AQ12" i="47"/>
  <c r="AS12" i="47" s="1"/>
  <c r="H12" i="47"/>
  <c r="AG12" i="47"/>
  <c r="O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L15" i="47" l="1"/>
  <c r="AQ15" i="47"/>
  <c r="AS15" i="47" s="1"/>
  <c r="AV15" i="47"/>
  <c r="AX15" i="47" s="1"/>
  <c r="BA15" i="47"/>
  <c r="BC15" i="47" s="1"/>
  <c r="M15" i="47"/>
  <c r="O15" i="47" s="1"/>
  <c r="AG15" i="47"/>
  <c r="H15" i="47"/>
  <c r="B16" i="47"/>
  <c r="C10" i="25"/>
  <c r="BA16" i="47" l="1"/>
  <c r="M16" i="47"/>
  <c r="O16" i="47" s="1"/>
  <c r="AL16" i="47"/>
  <c r="AQ16" i="47"/>
  <c r="AS16" i="47" s="1"/>
  <c r="AV16" i="47"/>
  <c r="H16" i="47"/>
  <c r="AG16" i="47"/>
  <c r="BC16" i="47"/>
  <c r="AX16" i="47"/>
  <c r="B17" i="47"/>
  <c r="AV17" i="47" l="1"/>
  <c r="M17" i="47"/>
  <c r="O17" i="47" s="1"/>
  <c r="AQ17" i="47"/>
  <c r="AS17" i="47" s="1"/>
  <c r="AL17" i="47"/>
  <c r="AG17" i="47"/>
  <c r="H17" i="47"/>
  <c r="B18" i="47"/>
  <c r="AX17" i="47"/>
  <c r="F44" i="47"/>
  <c r="AQ18" i="47" l="1"/>
  <c r="AS18" i="47" s="1"/>
  <c r="M18" i="47"/>
  <c r="AV18" i="47"/>
  <c r="AX18" i="47" s="1"/>
  <c r="AL18" i="47"/>
  <c r="B19" i="47"/>
  <c r="AI11" i="47"/>
  <c r="F45" i="47"/>
  <c r="AQ19" i="47" l="1"/>
  <c r="AS19" i="47" s="1"/>
  <c r="M19" i="47"/>
  <c r="AL19" i="47"/>
  <c r="AV19" i="47"/>
  <c r="AX19" i="47" s="1"/>
  <c r="B20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AS20" i="47" s="1"/>
  <c r="M20" i="47"/>
  <c r="AV20" i="47"/>
  <c r="AX20" i="47" s="1"/>
  <c r="AL20" i="47"/>
  <c r="B21" i="47"/>
  <c r="AN12" i="47"/>
  <c r="AI13" i="47"/>
  <c r="J12" i="47"/>
  <c r="C68" i="43"/>
  <c r="F47" i="47"/>
  <c r="D47" i="43"/>
  <c r="B3" i="43"/>
  <c r="C52" i="43" s="1"/>
  <c r="B9" i="43" s="1"/>
  <c r="M21" i="47" l="1"/>
  <c r="AQ21" i="47"/>
  <c r="AV21" i="47"/>
  <c r="AX21" i="47" s="1"/>
  <c r="C69" i="43"/>
  <c r="B22" i="47"/>
  <c r="AN13" i="47"/>
  <c r="AI14" i="47"/>
  <c r="J13" i="47"/>
  <c r="F48" i="47"/>
  <c r="C70" i="43" l="1"/>
  <c r="M22" i="47"/>
  <c r="AV22" i="47"/>
  <c r="AX22" i="47" s="1"/>
  <c r="AQ22" i="47"/>
  <c r="B23" i="47"/>
  <c r="AN14" i="47"/>
  <c r="AI15" i="47"/>
  <c r="J14" i="47"/>
  <c r="F49" i="47"/>
  <c r="C71" i="43"/>
  <c r="B14" i="43"/>
  <c r="AV23" i="47" l="1"/>
  <c r="AQ23" i="47"/>
  <c r="M23" i="47"/>
  <c r="B24" i="47"/>
  <c r="AX23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289" i="31" s="1"/>
  <c r="I61" i="31"/>
  <c r="I136" i="31"/>
  <c r="I256" i="31" s="1"/>
  <c r="I17" i="31"/>
  <c r="I28" i="31"/>
  <c r="I158" i="31"/>
  <c r="I278" i="31" s="1"/>
  <c r="I50" i="31"/>
  <c r="I170" i="31" l="1"/>
  <c r="I290" i="31" s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301" i="31" s="1"/>
  <c r="I73" i="31"/>
  <c r="I193" i="31" l="1"/>
  <c r="I313" i="31" s="1"/>
  <c r="I138" i="31"/>
  <c r="I258" i="31" s="1"/>
  <c r="I19" i="31"/>
  <c r="I30" i="31"/>
  <c r="I182" i="31"/>
  <c r="I302" i="31" s="1"/>
  <c r="I74" i="31"/>
  <c r="I85" i="31"/>
  <c r="I149" i="31"/>
  <c r="I269" i="31" s="1"/>
  <c r="I41" i="31"/>
  <c r="I171" i="31"/>
  <c r="I291" i="31" s="1"/>
  <c r="I63" i="31"/>
  <c r="I160" i="31"/>
  <c r="I280" i="31" s="1"/>
  <c r="I52" i="31"/>
  <c r="I194" i="31" l="1"/>
  <c r="I314" i="31" s="1"/>
  <c r="I205" i="31"/>
  <c r="I172" i="31"/>
  <c r="I292" i="31" s="1"/>
  <c r="I64" i="31"/>
  <c r="I161" i="31"/>
  <c r="I281" i="31" s="1"/>
  <c r="I53" i="31"/>
  <c r="I97" i="31"/>
  <c r="I150" i="31"/>
  <c r="I270" i="31" s="1"/>
  <c r="I42" i="31"/>
  <c r="I183" i="31"/>
  <c r="I303" i="31" s="1"/>
  <c r="I75" i="31"/>
  <c r="I86" i="31"/>
  <c r="I139" i="31"/>
  <c r="I259" i="31" s="1"/>
  <c r="I31" i="31"/>
  <c r="I20" i="31"/>
  <c r="I206" i="31" l="1"/>
  <c r="I217" i="31"/>
  <c r="I195" i="31"/>
  <c r="I315" i="31" s="1"/>
  <c r="I151" i="31"/>
  <c r="I271" i="31" s="1"/>
  <c r="I43" i="31"/>
  <c r="I87" i="31"/>
  <c r="I162" i="31"/>
  <c r="I282" i="31" s="1"/>
  <c r="I54" i="31"/>
  <c r="I109" i="31"/>
  <c r="I184" i="31"/>
  <c r="I304" i="31" s="1"/>
  <c r="I76" i="31"/>
  <c r="I140" i="31"/>
  <c r="I260" i="31" s="1"/>
  <c r="I21" i="31"/>
  <c r="I32" i="31"/>
  <c r="I98" i="31"/>
  <c r="I173" i="31"/>
  <c r="I293" i="31" s="1"/>
  <c r="I65" i="31"/>
  <c r="I229" i="31" l="1"/>
  <c r="I218" i="31"/>
  <c r="I196" i="31"/>
  <c r="I316" i="31" s="1"/>
  <c r="I207" i="31"/>
  <c r="I152" i="31"/>
  <c r="I272" i="31" s="1"/>
  <c r="I44" i="31"/>
  <c r="I174" i="31"/>
  <c r="I294" i="31" s="1"/>
  <c r="I66" i="31"/>
  <c r="I185" i="31"/>
  <c r="I305" i="31" s="1"/>
  <c r="I77" i="31"/>
  <c r="I110" i="31"/>
  <c r="I141" i="31"/>
  <c r="I261" i="31" s="1"/>
  <c r="I33" i="31"/>
  <c r="I22" i="31"/>
  <c r="I88" i="31"/>
  <c r="I121" i="31"/>
  <c r="I99" i="31"/>
  <c r="I163" i="31"/>
  <c r="I283" i="31" s="1"/>
  <c r="I55" i="31"/>
  <c r="I208" i="31" l="1"/>
  <c r="I230" i="31"/>
  <c r="I197" i="31"/>
  <c r="I317" i="31" s="1"/>
  <c r="I219" i="31"/>
  <c r="I241" i="31"/>
  <c r="I175" i="31"/>
  <c r="I295" i="31" s="1"/>
  <c r="I67" i="31"/>
  <c r="I100" i="31"/>
  <c r="I153" i="31"/>
  <c r="I273" i="31" s="1"/>
  <c r="I45" i="31"/>
  <c r="I122" i="31"/>
  <c r="I164" i="31"/>
  <c r="I284" i="31" s="1"/>
  <c r="I56" i="31"/>
  <c r="I111" i="31"/>
  <c r="I142" i="31"/>
  <c r="I262" i="31" s="1"/>
  <c r="I23" i="31"/>
  <c r="I34" i="31"/>
  <c r="I89" i="31"/>
  <c r="I186" i="31"/>
  <c r="I306" i="31" s="1"/>
  <c r="I78" i="31"/>
  <c r="I209" i="31" l="1"/>
  <c r="I231" i="31"/>
  <c r="I220" i="31"/>
  <c r="I198" i="31"/>
  <c r="I318" i="31" s="1"/>
  <c r="I242" i="31"/>
  <c r="I90" i="31"/>
  <c r="I143" i="31"/>
  <c r="I263" i="31" s="1"/>
  <c r="I35" i="31"/>
  <c r="I24" i="31"/>
  <c r="I123" i="31"/>
  <c r="I187" i="31"/>
  <c r="I307" i="31" s="1"/>
  <c r="I79" i="31"/>
  <c r="I101" i="31"/>
  <c r="I154" i="31"/>
  <c r="I274" i="31" s="1"/>
  <c r="I46" i="31"/>
  <c r="I176" i="31"/>
  <c r="I296" i="31" s="1"/>
  <c r="I68" i="31"/>
  <c r="I165" i="31"/>
  <c r="I285" i="31" s="1"/>
  <c r="I57" i="31"/>
  <c r="I112" i="31"/>
  <c r="I210" i="31" l="1"/>
  <c r="I221" i="31"/>
  <c r="I232" i="31"/>
  <c r="I199" i="31"/>
  <c r="I319" i="31" s="1"/>
  <c r="I243" i="31"/>
  <c r="I177" i="31"/>
  <c r="I297" i="31" s="1"/>
  <c r="I69" i="31"/>
  <c r="I188" i="31"/>
  <c r="I308" i="31" s="1"/>
  <c r="I80" i="31"/>
  <c r="I113" i="31"/>
  <c r="I91" i="3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33" i="31" l="1"/>
  <c r="I200" i="31"/>
  <c r="I320" i="31" s="1"/>
  <c r="I222" i="31"/>
  <c r="I211" i="31"/>
  <c r="I244" i="31"/>
  <c r="I114" i="31"/>
  <c r="I103" i="31"/>
  <c r="I189" i="31"/>
  <c r="I309" i="31" s="1"/>
  <c r="I81" i="31"/>
  <c r="I156" i="31"/>
  <c r="I276" i="31" s="1"/>
  <c r="I48" i="31"/>
  <c r="I178" i="31"/>
  <c r="I298" i="31" s="1"/>
  <c r="I70" i="31"/>
  <c r="I167" i="31"/>
  <c r="I287" i="31" s="1"/>
  <c r="I59" i="31"/>
  <c r="I125" i="31"/>
  <c r="I92" i="31"/>
  <c r="I223" i="31" l="1"/>
  <c r="I234" i="31"/>
  <c r="I201" i="31"/>
  <c r="I321" i="31" s="1"/>
  <c r="I212" i="31"/>
  <c r="I245" i="31"/>
  <c r="I104" i="31"/>
  <c r="I190" i="31"/>
  <c r="I310" i="31" s="1"/>
  <c r="I82" i="31"/>
  <c r="I93" i="31"/>
  <c r="I179" i="31"/>
  <c r="I299" i="31" s="1"/>
  <c r="I71" i="31"/>
  <c r="I168" i="31"/>
  <c r="I288" i="31" s="1"/>
  <c r="I60" i="31"/>
  <c r="I115" i="31"/>
  <c r="I126" i="31"/>
  <c r="I202" i="31" l="1"/>
  <c r="I322" i="31" s="1"/>
  <c r="I235" i="31"/>
  <c r="I224" i="31"/>
  <c r="I213" i="31"/>
  <c r="I246" i="31"/>
  <c r="I127" i="31"/>
  <c r="I191" i="31"/>
  <c r="I311" i="31" s="1"/>
  <c r="I83" i="31"/>
  <c r="I105" i="31"/>
  <c r="I94" i="31"/>
  <c r="I180" i="31"/>
  <c r="I300" i="31" s="1"/>
  <c r="I72" i="31"/>
  <c r="I116" i="31"/>
  <c r="I236" i="31" l="1"/>
  <c r="I225" i="31"/>
  <c r="I203" i="31"/>
  <c r="I323" i="31" s="1"/>
  <c r="I214" i="31"/>
  <c r="I247" i="31"/>
  <c r="I117" i="31"/>
  <c r="I95" i="31"/>
  <c r="I128" i="31"/>
  <c r="I192" i="31"/>
  <c r="I312" i="31" s="1"/>
  <c r="I84" i="31"/>
  <c r="I106" i="31"/>
  <c r="I204" i="31" l="1"/>
  <c r="I324" i="31" s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25" i="31" l="1"/>
  <c r="L26" i="31" s="1"/>
  <c r="L27" i="31" s="1"/>
  <c r="B15" i="31"/>
  <c r="J14" i="31"/>
  <c r="O13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DA13" i="25"/>
  <c r="DB13" i="25" s="1"/>
  <c r="J15" i="31"/>
  <c r="B16" i="31"/>
  <c r="L28" i="31"/>
  <c r="B17" i="31" l="1"/>
  <c r="J16" i="31"/>
  <c r="L29" i="31"/>
  <c r="L30" i="31" l="1"/>
  <c r="J17" i="31"/>
  <c r="B18" i="31"/>
  <c r="J18" i="31" l="1"/>
  <c r="B19" i="31"/>
  <c r="L31" i="31"/>
  <c r="B20" i="31" l="1"/>
  <c r="J19" i="31"/>
  <c r="L32" i="31"/>
  <c r="L33" i="31" l="1"/>
  <c r="J20" i="31"/>
  <c r="B21" i="31"/>
  <c r="B22" i="31" l="1"/>
  <c r="J21" i="31"/>
  <c r="L34" i="31"/>
  <c r="J22" i="31" l="1"/>
  <c r="B23" i="31"/>
  <c r="L35" i="31"/>
  <c r="L36" i="31" l="1"/>
  <c r="L37" i="31" s="1"/>
  <c r="L38" i="31" s="1"/>
  <c r="L39" i="31" s="1"/>
  <c r="L40" i="31" s="1"/>
  <c r="L41" i="31" s="1"/>
  <c r="L42" i="31" s="1"/>
  <c r="J23" i="31"/>
  <c r="B24" i="31"/>
  <c r="B25" i="31" l="1"/>
  <c r="J24" i="31"/>
  <c r="J25" i="31" l="1"/>
  <c r="B26" i="31"/>
  <c r="B27" i="31" l="1"/>
  <c r="J26" i="31"/>
  <c r="B28" i="31" l="1"/>
  <c r="J27" i="31"/>
  <c r="J28" i="31" l="1"/>
  <c r="B29" i="31"/>
  <c r="B29" i="25" l="1"/>
  <c r="B30" i="31"/>
  <c r="J29" i="31"/>
  <c r="B30" i="25" l="1"/>
  <c r="O29" i="25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N31" i="25"/>
  <c r="AM31" i="25"/>
  <c r="AL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B267" i="31" l="1"/>
  <c r="J266" i="31"/>
  <c r="B268" i="31" l="1"/>
  <c r="J267" i="31"/>
  <c r="J268" i="31" l="1"/>
  <c r="B269" i="31"/>
  <c r="J269" i="31" l="1"/>
  <c r="B270" i="31"/>
  <c r="B271" i="31" l="1"/>
  <c r="J270" i="31"/>
  <c r="B272" i="31" l="1"/>
  <c r="J271" i="31"/>
  <c r="B273" i="31" l="1"/>
  <c r="J272" i="31"/>
  <c r="CV13" i="25"/>
  <c r="CW13" i="25"/>
  <c r="J273" i="31" l="1"/>
  <c r="B274" i="31"/>
  <c r="CX29" i="25"/>
  <c r="CV29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D19" i="43"/>
  <c r="L19" i="43" s="1"/>
  <c r="BJ13" i="25" l="1"/>
  <c r="B279" i="31"/>
  <c r="J278" i="31"/>
  <c r="D20" i="43"/>
  <c r="L20" i="43" s="1"/>
  <c r="G19" i="43"/>
  <c r="J279" i="31" l="1"/>
  <c r="B280" i="31"/>
  <c r="D21" i="43"/>
  <c r="L21" i="43" s="1"/>
  <c r="G20" i="43"/>
  <c r="J280" i="31" l="1"/>
  <c r="B281" i="31"/>
  <c r="D22" i="43"/>
  <c r="L22" i="43" s="1"/>
  <c r="G21" i="43"/>
  <c r="J281" i="31" l="1"/>
  <c r="B282" i="31"/>
  <c r="D23" i="43"/>
  <c r="L23" i="43" s="1"/>
  <c r="G22" i="43"/>
  <c r="J282" i="31" l="1"/>
  <c r="B283" i="31"/>
  <c r="D24" i="43"/>
  <c r="L24" i="43" s="1"/>
  <c r="G23" i="43"/>
  <c r="J283" i="31" l="1"/>
  <c r="B284" i="31"/>
  <c r="D25" i="43"/>
  <c r="L25" i="43" s="1"/>
  <c r="G24" i="43"/>
  <c r="J284" i="31" l="1"/>
  <c r="B285" i="31"/>
  <c r="D26" i="43"/>
  <c r="L26" i="43" s="1"/>
  <c r="G25" i="43"/>
  <c r="J285" i="31" l="1"/>
  <c r="B286" i="31"/>
  <c r="D27" i="43"/>
  <c r="L27" i="43" s="1"/>
  <c r="G26" i="43"/>
  <c r="J286" i="31" l="1"/>
  <c r="B287" i="31"/>
  <c r="D28" i="43"/>
  <c r="L28" i="43" s="1"/>
  <c r="G27" i="43"/>
  <c r="J287" i="31" l="1"/>
  <c r="B288" i="31"/>
  <c r="D29" i="43"/>
  <c r="L29" i="43" s="1"/>
  <c r="G28" i="43"/>
  <c r="J28" i="43" s="1"/>
  <c r="J288" i="31" l="1"/>
  <c r="B289" i="31"/>
  <c r="D30" i="43"/>
  <c r="L30" i="43" s="1"/>
  <c r="G29" i="43"/>
  <c r="J29" i="43" s="1"/>
  <c r="B21" i="77"/>
  <c r="K28" i="43"/>
  <c r="B290" i="31" l="1"/>
  <c r="J289" i="31"/>
  <c r="D31" i="43"/>
  <c r="L31" i="43" s="1"/>
  <c r="G30" i="43"/>
  <c r="J30" i="43" s="1"/>
  <c r="B22" i="77"/>
  <c r="K29" i="43"/>
  <c r="J290" i="31" l="1"/>
  <c r="B291" i="31"/>
  <c r="D32" i="43"/>
  <c r="L32" i="43" s="1"/>
  <c r="G31" i="43"/>
  <c r="J31" i="43" s="1"/>
  <c r="B23" i="77"/>
  <c r="K30" i="43"/>
  <c r="J291" i="31" l="1"/>
  <c r="B292" i="31"/>
  <c r="D33" i="43"/>
  <c r="L33" i="43" s="1"/>
  <c r="G32" i="43"/>
  <c r="J32" i="43" s="1"/>
  <c r="B24" i="77"/>
  <c r="K31" i="43"/>
  <c r="J292" i="31" l="1"/>
  <c r="B293" i="3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294" i="31" l="1"/>
  <c r="J293" i="31"/>
  <c r="J33" i="43"/>
  <c r="K33" i="43" s="1"/>
  <c r="G34" i="43"/>
  <c r="D35" i="43"/>
  <c r="L35" i="43" s="1"/>
  <c r="BJ30" i="25" s="1"/>
  <c r="J294" i="31" l="1"/>
  <c r="B295" i="31"/>
  <c r="J34" i="43"/>
  <c r="K34" i="43" s="1"/>
  <c r="G35" i="43"/>
  <c r="D36" i="43"/>
  <c r="L36" i="43" s="1"/>
  <c r="BJ31" i="25" l="1"/>
  <c r="B296" i="31"/>
  <c r="J295" i="31"/>
  <c r="J35" i="43"/>
  <c r="K35" i="43" s="1"/>
  <c r="G36" i="43"/>
  <c r="D37" i="43"/>
  <c r="L37" i="43" s="1"/>
  <c r="BJ33" i="25" s="1"/>
  <c r="BJ35" i="25" l="1"/>
  <c r="BJ32" i="25"/>
  <c r="BJ34" i="25"/>
  <c r="BJ36" i="25"/>
  <c r="B297" i="31"/>
  <c r="J296" i="31"/>
  <c r="J36" i="43"/>
  <c r="K36" i="43" s="1"/>
  <c r="G37" i="43"/>
  <c r="B298" i="31" l="1"/>
  <c r="J297" i="31"/>
  <c r="J37" i="43"/>
  <c r="K37" i="43" s="1"/>
  <c r="J298" i="31" l="1"/>
  <c r="B299" i="31"/>
  <c r="B300" i="31" l="1"/>
  <c r="J299" i="31"/>
  <c r="I76" i="25"/>
  <c r="J300" i="31" l="1"/>
  <c r="B301" i="31"/>
  <c r="J301" i="31" l="1"/>
  <c r="B302" i="31"/>
  <c r="J302" i="31" l="1"/>
  <c r="B303" i="31"/>
  <c r="J303" i="31" l="1"/>
  <c r="B304" i="31"/>
  <c r="B305" i="31" l="1"/>
  <c r="J304" i="31"/>
  <c r="B306" i="31" l="1"/>
  <c r="J305" i="31"/>
  <c r="B307" i="31" l="1"/>
  <c r="J306" i="31"/>
  <c r="B308" i="31" l="1"/>
  <c r="J307" i="31"/>
  <c r="B309" i="31" l="1"/>
  <c r="J308" i="31"/>
  <c r="B310" i="31" l="1"/>
  <c r="J309" i="31"/>
  <c r="B311" i="31" l="1"/>
  <c r="J310" i="31"/>
  <c r="B312" i="31" l="1"/>
  <c r="J311" i="31"/>
  <c r="J312" i="31" l="1"/>
  <c r="B313" i="31"/>
  <c r="J313" i="31" l="1"/>
  <c r="B314" i="31"/>
  <c r="J314" i="31" l="1"/>
  <c r="B315" i="31"/>
  <c r="J315" i="31" l="1"/>
  <c r="B316" i="31"/>
  <c r="J316" i="31" l="1"/>
  <c r="B317" i="31"/>
  <c r="J317" i="31" l="1"/>
  <c r="B318" i="31"/>
  <c r="J318" i="31" l="1"/>
  <c r="B319" i="31"/>
  <c r="J319" i="31" l="1"/>
  <c r="B320" i="31"/>
  <c r="J320" i="31" l="1"/>
  <c r="B321" i="31"/>
  <c r="J321" i="31" l="1"/>
  <c r="B322" i="31"/>
  <c r="J322" i="31" l="1"/>
  <c r="B323" i="31"/>
  <c r="J323" i="31" l="1"/>
  <c r="J324" i="31"/>
  <c r="AL33" i="25" l="1"/>
  <c r="K324" i="31" l="1"/>
  <c r="K294" i="31" l="1"/>
  <c r="K291" i="31"/>
  <c r="K298" i="31"/>
  <c r="K299" i="31"/>
  <c r="K300" i="31"/>
  <c r="K297" i="31"/>
  <c r="K295" i="31"/>
  <c r="K292" i="31"/>
  <c r="K289" i="31"/>
  <c r="O39" i="31"/>
  <c r="K296" i="31"/>
  <c r="K290" i="31"/>
  <c r="K293" i="31"/>
  <c r="K301" i="31" l="1"/>
  <c r="O40" i="31"/>
  <c r="K306" i="31"/>
  <c r="K304" i="31"/>
  <c r="K307" i="31"/>
  <c r="K312" i="31"/>
  <c r="K302" i="31"/>
  <c r="K308" i="31"/>
  <c r="K310" i="31"/>
  <c r="K303" i="31"/>
  <c r="K305" i="31"/>
  <c r="K309" i="31"/>
  <c r="K311" i="31"/>
  <c r="N39" i="31" l="1"/>
  <c r="K313" i="31"/>
  <c r="O41" i="31"/>
  <c r="K323" i="31"/>
  <c r="K318" i="31"/>
  <c r="K317" i="31"/>
  <c r="K319" i="31"/>
  <c r="K321" i="31"/>
  <c r="K322" i="31"/>
  <c r="K315" i="31"/>
  <c r="K320" i="31"/>
  <c r="K314" i="31"/>
  <c r="K316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CE38" i="25" l="1"/>
  <c r="CE29" i="25"/>
  <c r="CE37" i="25"/>
  <c r="CE31" i="25"/>
  <c r="CE35" i="25"/>
  <c r="CE34" i="25"/>
  <c r="CE30" i="25"/>
  <c r="CE32" i="25"/>
  <c r="CE33" i="25"/>
  <c r="CE36" i="25"/>
  <c r="AW13" i="25" l="1"/>
  <c r="AW30" i="25"/>
  <c r="AW31" i="25"/>
  <c r="AV13" i="25" l="1"/>
  <c r="AV30" i="25"/>
  <c r="AV31" i="25"/>
  <c r="CO13" i="25"/>
  <c r="AL13" i="25" l="1"/>
  <c r="AZ13" i="25"/>
  <c r="AZ30" i="25"/>
  <c r="AZ31" i="25"/>
  <c r="CN13" i="25"/>
  <c r="AQ13" i="25"/>
  <c r="AR13" i="25" l="1"/>
  <c r="AR30" i="25"/>
  <c r="AR31" i="25"/>
  <c r="CI13" i="25"/>
  <c r="AT13" i="25"/>
  <c r="AT30" i="25"/>
  <c r="AT31" i="25"/>
  <c r="CR13" i="25"/>
  <c r="CD13" i="25"/>
  <c r="DB5" i="25" l="1"/>
  <c r="CL13" i="25"/>
  <c r="AN13" i="25"/>
  <c r="CJ13" i="25"/>
  <c r="CF13" i="25" l="1"/>
  <c r="DC31" i="25"/>
  <c r="DC34" i="25"/>
  <c r="DC35" i="25"/>
  <c r="DC33" i="25"/>
  <c r="DC38" i="25"/>
  <c r="DC30" i="25"/>
  <c r="DC32" i="25"/>
  <c r="DC37" i="25"/>
  <c r="DC29" i="25"/>
  <c r="DC36" i="25"/>
  <c r="DC13" i="25"/>
  <c r="AO30" i="25" l="1"/>
  <c r="AO31" i="25"/>
  <c r="AO13" i="25" l="1"/>
  <c r="CG13" i="25" l="1"/>
  <c r="AU13" i="25" l="1"/>
  <c r="AU30" i="25"/>
  <c r="AU31" i="25"/>
  <c r="AX13" i="25"/>
  <c r="AX30" i="25"/>
  <c r="AX31" i="25"/>
  <c r="CP13" i="25" l="1"/>
  <c r="CM13" i="25"/>
  <c r="BA13" i="25"/>
  <c r="BA30" i="25"/>
  <c r="BA31" i="25"/>
  <c r="CS13" i="25" l="1"/>
  <c r="AR29" i="25"/>
  <c r="AP30" i="25" l="1"/>
  <c r="AP31" i="25"/>
  <c r="AQ29" i="25"/>
  <c r="AN29" i="25"/>
  <c r="AL29" i="25"/>
  <c r="AO29" i="25" l="1"/>
  <c r="CJ30" i="25"/>
  <c r="CJ31" i="25"/>
  <c r="CJ36" i="25"/>
  <c r="CJ37" i="25"/>
  <c r="CJ29" i="25"/>
  <c r="CJ35" i="25"/>
  <c r="CJ38" i="25"/>
  <c r="AS13" i="25"/>
  <c r="AS29" i="25"/>
  <c r="AS30" i="25"/>
  <c r="AS31" i="25"/>
  <c r="CJ32" i="25"/>
  <c r="CJ33" i="25"/>
  <c r="CJ34" i="25"/>
  <c r="AP29" i="25"/>
  <c r="AP13" i="25"/>
  <c r="AW29" i="25" l="1"/>
  <c r="AX29" i="25"/>
  <c r="AV29" i="25"/>
  <c r="CD30" i="25"/>
  <c r="CD31" i="25"/>
  <c r="CD35" i="25"/>
  <c r="AT29" i="25"/>
  <c r="AU29" i="25"/>
  <c r="CK30" i="25"/>
  <c r="CK29" i="25"/>
  <c r="CK35" i="25"/>
  <c r="CK37" i="25"/>
  <c r="CK36" i="25"/>
  <c r="CK31" i="25"/>
  <c r="CK33" i="25"/>
  <c r="CK38" i="25"/>
  <c r="CK13" i="25"/>
  <c r="CK34" i="25"/>
  <c r="CK32" i="25"/>
  <c r="CD38" i="25"/>
  <c r="CD37" i="25"/>
  <c r="CG31" i="25"/>
  <c r="CG37" i="25"/>
  <c r="CG35" i="25"/>
  <c r="CG33" i="25"/>
  <c r="CG29" i="25"/>
  <c r="CG36" i="25"/>
  <c r="CG30" i="25"/>
  <c r="CG34" i="25"/>
  <c r="CG38" i="25"/>
  <c r="CG32" i="25"/>
  <c r="CH37" i="25"/>
  <c r="CH33" i="25"/>
  <c r="CH32" i="25"/>
  <c r="CH38" i="25"/>
  <c r="CH31" i="25"/>
  <c r="CH36" i="25"/>
  <c r="CH29" i="25"/>
  <c r="CH13" i="25"/>
  <c r="CH34" i="25"/>
  <c r="CH30" i="25"/>
  <c r="CH35" i="25"/>
  <c r="CD33" i="25"/>
  <c r="CD32" i="25"/>
  <c r="CD34" i="25"/>
  <c r="CD29" i="25"/>
  <c r="CD36" i="25"/>
  <c r="CM32" i="25" l="1"/>
  <c r="CM31" i="25"/>
  <c r="CM37" i="25"/>
  <c r="CI30" i="25"/>
  <c r="CI34" i="25"/>
  <c r="CI37" i="25"/>
  <c r="CI36" i="25"/>
  <c r="CI35" i="25"/>
  <c r="CI33" i="25"/>
  <c r="CI32" i="25"/>
  <c r="CI38" i="25"/>
  <c r="CI29" i="25"/>
  <c r="CI31" i="25"/>
  <c r="CM36" i="25"/>
  <c r="CL30" i="25"/>
  <c r="CL37" i="25"/>
  <c r="CL35" i="25"/>
  <c r="CL33" i="25"/>
  <c r="CL34" i="25"/>
  <c r="CL36" i="25"/>
  <c r="CL31" i="25"/>
  <c r="CL38" i="25"/>
  <c r="CL32" i="25"/>
  <c r="CL29" i="25"/>
  <c r="CM38" i="25"/>
  <c r="AZ29" i="25"/>
  <c r="BA29" i="25"/>
  <c r="CM29" i="25"/>
  <c r="CM34" i="25"/>
  <c r="CN29" i="25"/>
  <c r="CN32" i="25"/>
  <c r="CN31" i="25"/>
  <c r="CN37" i="25"/>
  <c r="CN35" i="25"/>
  <c r="CN36" i="25"/>
  <c r="CN38" i="25"/>
  <c r="CN33" i="25"/>
  <c r="CN30" i="25"/>
  <c r="CN34" i="25"/>
  <c r="AY29" i="25"/>
  <c r="AY30" i="25"/>
  <c r="AY31" i="25"/>
  <c r="CM30" i="25"/>
  <c r="A73" i="25"/>
  <c r="CM35" i="25"/>
  <c r="CM33" i="25"/>
  <c r="CO32" i="25" l="1"/>
  <c r="CO33" i="25"/>
  <c r="CO35" i="25"/>
  <c r="CO38" i="25"/>
  <c r="CO29" i="25"/>
  <c r="CR31" i="25"/>
  <c r="CF35" i="25"/>
  <c r="CF38" i="25"/>
  <c r="CF29" i="25"/>
  <c r="CF33" i="25"/>
  <c r="CF32" i="25"/>
  <c r="CF34" i="25"/>
  <c r="CF37" i="25"/>
  <c r="CF36" i="25"/>
  <c r="CF30" i="25"/>
  <c r="CF31" i="25"/>
  <c r="AY13" i="25"/>
  <c r="CO30" i="25"/>
  <c r="CO31" i="25"/>
  <c r="BB13" i="25"/>
  <c r="BB29" i="25"/>
  <c r="BB30" i="25"/>
  <c r="BB31" i="25"/>
  <c r="CP30" i="25"/>
  <c r="CP35" i="25"/>
  <c r="CP33" i="25"/>
  <c r="CP31" i="25"/>
  <c r="CP37" i="25"/>
  <c r="CP36" i="25"/>
  <c r="CP29" i="25"/>
  <c r="CP34" i="25"/>
  <c r="CP32" i="25"/>
  <c r="CP38" i="25"/>
  <c r="CO37" i="25"/>
  <c r="CO34" i="25"/>
  <c r="CO36" i="25"/>
  <c r="CR38" i="25" l="1"/>
  <c r="CR30" i="25"/>
  <c r="CR37" i="25"/>
  <c r="CQ33" i="25"/>
  <c r="CQ30" i="25"/>
  <c r="CQ29" i="25"/>
  <c r="CQ35" i="25"/>
  <c r="CQ38" i="25"/>
  <c r="CQ32" i="25"/>
  <c r="CQ37" i="25"/>
  <c r="CQ34" i="25"/>
  <c r="CQ36" i="25"/>
  <c r="CQ31" i="25"/>
  <c r="CQ13" i="25"/>
  <c r="CS31" i="25"/>
  <c r="CS38" i="25"/>
  <c r="CS35" i="25"/>
  <c r="CS34" i="25"/>
  <c r="CS37" i="25"/>
  <c r="CS32" i="25"/>
  <c r="CS30" i="25"/>
  <c r="CS36" i="25"/>
  <c r="CS29" i="25"/>
  <c r="CT35" i="25"/>
  <c r="CT36" i="25"/>
  <c r="CT37" i="25"/>
  <c r="CT34" i="25"/>
  <c r="CT13" i="25"/>
  <c r="CT30" i="25"/>
  <c r="CT31" i="25"/>
  <c r="CT32" i="25"/>
  <c r="CT38" i="25"/>
  <c r="CT33" i="25"/>
  <c r="CT29" i="25"/>
  <c r="CR36" i="25"/>
  <c r="CR33" i="25"/>
  <c r="CR32" i="25"/>
  <c r="CS33" i="25"/>
  <c r="CR29" i="25"/>
  <c r="CR34" i="25"/>
  <c r="CR35" i="25"/>
  <c r="BC13" i="25" l="1"/>
  <c r="BC30" i="25"/>
  <c r="BC31" i="25"/>
  <c r="CU13" i="25" l="1"/>
  <c r="CY13" i="25" s="1"/>
  <c r="C13" i="25" s="1"/>
  <c r="A72" i="25" l="1"/>
  <c r="BC29" i="25" l="1"/>
  <c r="CU29" i="25" s="1"/>
  <c r="CY29" i="25" s="1"/>
  <c r="C29" i="25" s="1"/>
  <c r="A74" i="25" l="1"/>
  <c r="CU35" i="25"/>
  <c r="CY35" i="25" s="1"/>
  <c r="C35" i="25" s="1"/>
  <c r="CU32" i="25"/>
  <c r="CY32" i="25" s="1"/>
  <c r="C32" i="25" s="1"/>
  <c r="CU31" i="25"/>
  <c r="CY31" i="25" s="1"/>
  <c r="C31" i="25" s="1"/>
  <c r="CU38" i="25"/>
  <c r="CY38" i="25" s="1"/>
  <c r="C38" i="25" s="1"/>
  <c r="CU36" i="25"/>
  <c r="CY36" i="25" s="1"/>
  <c r="C36" i="25" s="1"/>
  <c r="CU30" i="25"/>
  <c r="CY30" i="25" s="1"/>
  <c r="C30" i="25" s="1"/>
  <c r="CU33" i="25"/>
  <c r="CY33" i="25" s="1"/>
  <c r="C33" i="25" s="1"/>
  <c r="CU37" i="25"/>
  <c r="CY37" i="25" s="1"/>
  <c r="C37" i="25" s="1"/>
  <c r="CU34" i="25"/>
  <c r="CY34" i="25" s="1"/>
  <c r="C34" i="25" s="1"/>
  <c r="K136" i="31" l="1"/>
  <c r="K157" i="31"/>
  <c r="O28" i="31"/>
  <c r="K158" i="31"/>
  <c r="K146" i="31"/>
  <c r="K184" i="31"/>
  <c r="K188" i="31"/>
  <c r="K142" i="31"/>
  <c r="K172" i="31"/>
  <c r="K161" i="31"/>
  <c r="K177" i="31"/>
  <c r="K141" i="31"/>
  <c r="K174" i="31"/>
  <c r="K147" i="31"/>
  <c r="K148" i="31"/>
  <c r="K168" i="31"/>
  <c r="K149" i="31"/>
  <c r="O30" i="31"/>
  <c r="K181" i="31"/>
  <c r="K154" i="31"/>
  <c r="K186" i="31"/>
  <c r="K163" i="31"/>
  <c r="K140" i="31"/>
  <c r="K144" i="31"/>
  <c r="K137" i="31"/>
  <c r="K176" i="31"/>
  <c r="K166" i="31"/>
  <c r="K190" i="31"/>
  <c r="K134" i="31"/>
  <c r="K164" i="31"/>
  <c r="K178" i="31"/>
  <c r="K173" i="31"/>
  <c r="K156" i="31"/>
  <c r="K135" i="31"/>
  <c r="K182" i="31"/>
  <c r="K187" i="31"/>
  <c r="K170" i="31"/>
  <c r="K133" i="31"/>
  <c r="O26" i="31"/>
  <c r="K165" i="31"/>
  <c r="K138" i="31"/>
  <c r="K192" i="31"/>
  <c r="K151" i="31"/>
  <c r="K143" i="31"/>
  <c r="K171" i="31"/>
  <c r="K191" i="31"/>
  <c r="K160" i="31"/>
  <c r="K180" i="31"/>
  <c r="K159" i="31"/>
  <c r="K152" i="31"/>
  <c r="K183" i="31"/>
  <c r="K169" i="31"/>
  <c r="O29" i="31"/>
  <c r="K139" i="31"/>
  <c r="K185" i="31"/>
  <c r="K145" i="31"/>
  <c r="O27" i="31"/>
  <c r="K189" i="31"/>
  <c r="K162" i="31"/>
  <c r="K179" i="31"/>
  <c r="K175" i="31"/>
  <c r="K150" i="31"/>
  <c r="K153" i="31"/>
  <c r="K155" i="31"/>
  <c r="K167" i="31"/>
  <c r="K203" i="31" l="1"/>
  <c r="K201" i="31"/>
  <c r="K204" i="31"/>
  <c r="K200" i="31"/>
  <c r="K202" i="31"/>
  <c r="N29" i="31"/>
  <c r="O31" i="31"/>
  <c r="K193" i="31"/>
  <c r="N28" i="31"/>
  <c r="K195" i="31"/>
  <c r="N26" i="31"/>
  <c r="K199" i="31"/>
  <c r="K194" i="31"/>
  <c r="N30" i="31"/>
  <c r="K198" i="31"/>
  <c r="N27" i="31"/>
  <c r="K197" i="31"/>
  <c r="K196" i="31"/>
  <c r="K221" i="31" l="1"/>
  <c r="K222" i="31"/>
  <c r="K224" i="31"/>
  <c r="K219" i="31"/>
  <c r="K227" i="31"/>
  <c r="K220" i="31"/>
  <c r="K218" i="31"/>
  <c r="K228" i="31"/>
  <c r="K217" i="31"/>
  <c r="K225" i="31"/>
  <c r="O33" i="31"/>
  <c r="K223" i="31"/>
  <c r="K226" i="31"/>
  <c r="K212" i="31"/>
  <c r="K207" i="31"/>
  <c r="K213" i="31"/>
  <c r="K208" i="31"/>
  <c r="K211" i="31"/>
  <c r="K215" i="31"/>
  <c r="K206" i="31"/>
  <c r="O32" i="31"/>
  <c r="K205" i="31"/>
  <c r="K210" i="31"/>
  <c r="K216" i="31"/>
  <c r="K209" i="31"/>
  <c r="K214" i="31"/>
  <c r="R27" i="31"/>
  <c r="R28" i="31"/>
  <c r="R30" i="31"/>
  <c r="R26" i="31"/>
  <c r="R29" i="31"/>
  <c r="K235" i="31"/>
  <c r="K238" i="31"/>
  <c r="K237" i="31"/>
  <c r="K230" i="31"/>
  <c r="K236" i="31"/>
  <c r="K240" i="31"/>
  <c r="K233" i="31"/>
  <c r="K239" i="31"/>
  <c r="K232" i="31" l="1"/>
  <c r="K234" i="31"/>
  <c r="K231" i="31"/>
  <c r="O34" i="31"/>
  <c r="K229" i="31"/>
  <c r="N31" i="31"/>
  <c r="R31" i="31" s="1"/>
  <c r="N32" i="31"/>
  <c r="K248" i="31"/>
  <c r="K241" i="31"/>
  <c r="O35" i="31"/>
  <c r="K249" i="31"/>
  <c r="K250" i="31"/>
  <c r="K251" i="31"/>
  <c r="K245" i="31"/>
  <c r="K252" i="31"/>
  <c r="K242" i="31"/>
  <c r="K247" i="31"/>
  <c r="K243" i="31"/>
  <c r="K244" i="31"/>
  <c r="K246" i="31"/>
  <c r="N33" i="31" l="1"/>
  <c r="R33" i="31" s="1"/>
  <c r="R32" i="31"/>
  <c r="N34" i="31"/>
  <c r="K258" i="31"/>
  <c r="K255" i="31"/>
  <c r="K257" i="31"/>
  <c r="K263" i="31"/>
  <c r="K256" i="31"/>
  <c r="K259" i="31"/>
  <c r="O36" i="31"/>
  <c r="K253" i="31"/>
  <c r="K254" i="31"/>
  <c r="K264" i="31"/>
  <c r="K260" i="31"/>
  <c r="K262" i="31"/>
  <c r="K261" i="31"/>
  <c r="R34" i="31" l="1"/>
  <c r="N35" i="31"/>
  <c r="K274" i="31"/>
  <c r="K273" i="31"/>
  <c r="K272" i="31"/>
  <c r="K271" i="31"/>
  <c r="K268" i="31"/>
  <c r="K269" i="31"/>
  <c r="K270" i="31"/>
  <c r="K276" i="31"/>
  <c r="K266" i="31"/>
  <c r="O37" i="31"/>
  <c r="K265" i="31"/>
  <c r="K275" i="31"/>
  <c r="K267" i="31"/>
  <c r="R35" i="31" l="1"/>
  <c r="K282" i="31"/>
  <c r="K280" i="31"/>
  <c r="K283" i="31"/>
  <c r="K277" i="31"/>
  <c r="O38" i="31"/>
  <c r="K288" i="31"/>
  <c r="N36" i="31"/>
  <c r="K284" i="31"/>
  <c r="K286" i="31"/>
  <c r="K279" i="31"/>
  <c r="K287" i="31"/>
  <c r="K278" i="31"/>
  <c r="K281" i="31"/>
  <c r="K285" i="31"/>
  <c r="R36" i="31" l="1"/>
  <c r="N37" i="31"/>
  <c r="N38" i="31"/>
  <c r="M28" i="31"/>
  <c r="R38" i="31" l="1"/>
  <c r="R37" i="31"/>
  <c r="M29" i="31"/>
  <c r="M30" i="31"/>
  <c r="M26" i="31"/>
  <c r="Q28" i="31"/>
  <c r="P28" i="31"/>
  <c r="M27" i="31"/>
  <c r="M32" i="31" l="1"/>
  <c r="Q27" i="31"/>
  <c r="P27" i="31"/>
  <c r="Q26" i="31"/>
  <c r="P26" i="31"/>
  <c r="Q29" i="31"/>
  <c r="P29" i="31"/>
  <c r="Q30" i="31"/>
  <c r="P30" i="31"/>
  <c r="M31" i="31"/>
  <c r="M33" i="31" l="1"/>
  <c r="Q32" i="31"/>
  <c r="P32" i="31"/>
  <c r="Q31" i="31"/>
  <c r="P31" i="31"/>
  <c r="M34" i="31" l="1"/>
  <c r="P33" i="31"/>
  <c r="Q33" i="31"/>
  <c r="M35" i="31" l="1"/>
  <c r="Q35" i="31" s="1"/>
  <c r="Q34" i="31"/>
  <c r="P34" i="31"/>
  <c r="P35" i="31" l="1"/>
  <c r="M36" i="31"/>
  <c r="M37" i="31" l="1"/>
  <c r="Q37" i="31" s="1"/>
  <c r="Q36" i="31"/>
  <c r="P36" i="31"/>
  <c r="M38" i="31"/>
  <c r="P37" i="31" l="1"/>
  <c r="P38" i="31"/>
  <c r="Q38" i="31"/>
  <c r="I18" i="43" l="1"/>
  <c r="J18" i="43" l="1"/>
  <c r="I19" i="43"/>
  <c r="J19" i="43" l="1"/>
  <c r="I20" i="43"/>
  <c r="B11" i="77"/>
  <c r="K18" i="43"/>
  <c r="J20" i="43" l="1"/>
  <c r="I21" i="43"/>
  <c r="B12" i="77"/>
  <c r="K19" i="43"/>
  <c r="I22" i="43" l="1"/>
  <c r="J21" i="43"/>
  <c r="B13" i="77"/>
  <c r="K20" i="43"/>
  <c r="B14" i="77" l="1"/>
  <c r="K21" i="43"/>
  <c r="J22" i="43"/>
  <c r="I23" i="43"/>
  <c r="K22" i="43" l="1"/>
  <c r="B15" i="77"/>
  <c r="J23" i="43"/>
  <c r="I24" i="43"/>
  <c r="J24" i="43" l="1"/>
  <c r="I25" i="43"/>
  <c r="K23" i="43"/>
  <c r="B16" i="77"/>
  <c r="I26" i="43" l="1"/>
  <c r="J25" i="43"/>
  <c r="K24" i="43"/>
  <c r="B17" i="77"/>
  <c r="K25" i="43" l="1"/>
  <c r="B18" i="77"/>
  <c r="J26" i="43"/>
  <c r="I27" i="43"/>
  <c r="J27" i="43" s="1"/>
  <c r="B20" i="77" l="1"/>
  <c r="K27" i="43"/>
  <c r="K26" i="43"/>
  <c r="B19" i="77"/>
  <c r="B50" i="77" l="1"/>
  <c r="F23" i="31" l="1"/>
  <c r="F123" i="31"/>
  <c r="F43" i="31"/>
  <c r="F66" i="31"/>
  <c r="F114" i="31"/>
  <c r="F51" i="31"/>
  <c r="F64" i="31"/>
  <c r="F60" i="31"/>
  <c r="F92" i="31"/>
  <c r="F69" i="31"/>
  <c r="F117" i="31"/>
  <c r="F40" i="31"/>
  <c r="F101" i="31"/>
  <c r="F59" i="31"/>
  <c r="F68" i="31"/>
  <c r="F78" i="31"/>
  <c r="F113" i="31"/>
  <c r="F36" i="31"/>
  <c r="F83" i="31"/>
  <c r="F37" i="31"/>
  <c r="F115" i="31"/>
  <c r="F81" i="31"/>
  <c r="F74" i="31"/>
  <c r="F108" i="31"/>
  <c r="F61" i="31"/>
  <c r="F67" i="31"/>
  <c r="F73" i="31"/>
  <c r="F131" i="31"/>
  <c r="F63" i="31"/>
  <c r="F110" i="31"/>
  <c r="F34" i="31"/>
  <c r="F35" i="31"/>
  <c r="F91" i="31"/>
  <c r="F13" i="31"/>
  <c r="F26" i="31"/>
  <c r="F45" i="31"/>
  <c r="F86" i="31"/>
  <c r="F124" i="31"/>
  <c r="F15" i="31"/>
  <c r="F48" i="31"/>
  <c r="F98" i="31"/>
  <c r="F38" i="31"/>
  <c r="F105" i="31"/>
  <c r="F119" i="31"/>
  <c r="F99" i="31"/>
  <c r="F54" i="31"/>
  <c r="F42" i="31"/>
  <c r="F111" i="31"/>
  <c r="F109" i="31"/>
  <c r="F71" i="31"/>
  <c r="F49" i="31"/>
  <c r="F122" i="31"/>
  <c r="F53" i="31"/>
  <c r="F20" i="31"/>
  <c r="F112" i="31"/>
  <c r="F85" i="31"/>
  <c r="F65" i="31"/>
  <c r="F75" i="31"/>
  <c r="F104" i="31"/>
  <c r="F79" i="31"/>
  <c r="F30" i="31"/>
  <c r="F103" i="31"/>
  <c r="F132" i="31"/>
  <c r="F89" i="31"/>
  <c r="F93" i="31"/>
  <c r="F50" i="31"/>
  <c r="F33" i="31"/>
  <c r="F58" i="31"/>
  <c r="F90" i="31"/>
  <c r="F130" i="31"/>
  <c r="F87" i="31"/>
  <c r="F41" i="31"/>
  <c r="F121" i="31"/>
  <c r="F28" i="31"/>
  <c r="F118" i="31"/>
  <c r="F80" i="31"/>
  <c r="F126" i="31"/>
  <c r="F25" i="31"/>
  <c r="F70" i="31"/>
  <c r="F22" i="31"/>
  <c r="F47" i="31"/>
  <c r="F27" i="31"/>
  <c r="F72" i="31"/>
  <c r="F106" i="31"/>
  <c r="F57" i="31"/>
  <c r="F14" i="31"/>
  <c r="F32" i="31"/>
  <c r="F19" i="31"/>
  <c r="F95" i="31"/>
  <c r="F44" i="31"/>
  <c r="F56" i="31"/>
  <c r="F82" i="31"/>
  <c r="F24" i="31"/>
  <c r="F39" i="31"/>
  <c r="F88" i="31"/>
  <c r="F94" i="31"/>
  <c r="F96" i="31"/>
  <c r="F129" i="31"/>
  <c r="F107" i="31"/>
  <c r="F128" i="31"/>
  <c r="F18" i="31"/>
  <c r="F16" i="31"/>
  <c r="F52" i="31"/>
  <c r="F84" i="31"/>
  <c r="F102" i="31"/>
  <c r="F31" i="31"/>
  <c r="F29" i="31"/>
  <c r="F17" i="31"/>
  <c r="F77" i="31"/>
  <c r="F116" i="31"/>
  <c r="F127" i="31"/>
  <c r="F120" i="31"/>
  <c r="F55" i="31"/>
  <c r="F21" i="31"/>
  <c r="F97" i="31"/>
  <c r="F125" i="31"/>
  <c r="F46" i="31"/>
  <c r="F76" i="31"/>
  <c r="F100" i="31"/>
  <c r="F62" i="31"/>
  <c r="F9" i="31"/>
  <c r="K125" i="31" l="1"/>
  <c r="D125" i="31"/>
  <c r="C125" i="31"/>
  <c r="K116" i="31"/>
  <c r="D116" i="31"/>
  <c r="C116" i="31"/>
  <c r="K31" i="31"/>
  <c r="D31" i="31"/>
  <c r="C31" i="31"/>
  <c r="D18" i="31"/>
  <c r="K18" i="31"/>
  <c r="K107" i="31"/>
  <c r="D107" i="31"/>
  <c r="C107" i="31"/>
  <c r="D24" i="31"/>
  <c r="K24" i="31"/>
  <c r="K19" i="31"/>
  <c r="D19" i="31"/>
  <c r="D14" i="31"/>
  <c r="K14" i="31"/>
  <c r="D27" i="31"/>
  <c r="K27" i="31"/>
  <c r="C27" i="31"/>
  <c r="K47" i="31"/>
  <c r="D47" i="31"/>
  <c r="C47" i="31"/>
  <c r="D126" i="31"/>
  <c r="K126" i="31"/>
  <c r="C126" i="31"/>
  <c r="K118" i="31"/>
  <c r="D118" i="31"/>
  <c r="C118" i="31"/>
  <c r="K121" i="31"/>
  <c r="O25" i="31"/>
  <c r="D121" i="31"/>
  <c r="C121" i="31"/>
  <c r="K130" i="31"/>
  <c r="D130" i="31"/>
  <c r="C130" i="31"/>
  <c r="K58" i="31"/>
  <c r="D58" i="31"/>
  <c r="C58" i="31"/>
  <c r="K50" i="31"/>
  <c r="D50" i="31"/>
  <c r="C50" i="31"/>
  <c r="K89" i="31"/>
  <c r="D89" i="31"/>
  <c r="C89" i="31"/>
  <c r="K79" i="31"/>
  <c r="D79" i="31"/>
  <c r="C79" i="31"/>
  <c r="K75" i="31"/>
  <c r="D75" i="31"/>
  <c r="C75" i="31"/>
  <c r="D85" i="31"/>
  <c r="K85" i="31"/>
  <c r="C85" i="31"/>
  <c r="K42" i="31"/>
  <c r="D42" i="31"/>
  <c r="C42" i="31"/>
  <c r="D99" i="31"/>
  <c r="K99" i="31"/>
  <c r="C99" i="31"/>
  <c r="K15" i="31"/>
  <c r="D15" i="31"/>
  <c r="D68" i="31"/>
  <c r="K68" i="31"/>
  <c r="C68" i="31"/>
  <c r="K92" i="31"/>
  <c r="D92" i="31"/>
  <c r="C92" i="31"/>
  <c r="K76" i="31"/>
  <c r="D76" i="31"/>
  <c r="C76" i="31"/>
  <c r="D21" i="31"/>
  <c r="K21" i="31"/>
  <c r="K17" i="31"/>
  <c r="D17" i="31"/>
  <c r="D84" i="31"/>
  <c r="K84" i="31"/>
  <c r="C84" i="31"/>
  <c r="K55" i="31"/>
  <c r="D55" i="31"/>
  <c r="C55" i="31"/>
  <c r="K127" i="31"/>
  <c r="D127" i="31"/>
  <c r="C127" i="31"/>
  <c r="K39" i="31"/>
  <c r="D39" i="31"/>
  <c r="C39" i="31"/>
  <c r="K32" i="31"/>
  <c r="D32" i="31"/>
  <c r="C32" i="31"/>
  <c r="K22" i="31"/>
  <c r="D22" i="31"/>
  <c r="K80" i="31"/>
  <c r="D80" i="31"/>
  <c r="C80" i="31"/>
  <c r="K90" i="31"/>
  <c r="D90" i="31"/>
  <c r="C90" i="31"/>
  <c r="K33" i="31"/>
  <c r="D33" i="31"/>
  <c r="C33" i="31"/>
  <c r="K93" i="31"/>
  <c r="D93" i="31"/>
  <c r="C93" i="31"/>
  <c r="K104" i="31"/>
  <c r="D104" i="31"/>
  <c r="C104" i="31"/>
  <c r="K112" i="31"/>
  <c r="D112" i="31"/>
  <c r="C112" i="31"/>
  <c r="K20" i="31"/>
  <c r="D20" i="31"/>
  <c r="K53" i="31"/>
  <c r="D53" i="31"/>
  <c r="C53" i="31"/>
  <c r="D49" i="31"/>
  <c r="K49" i="31"/>
  <c r="C49" i="31"/>
  <c r="K109" i="31"/>
  <c r="D109" i="31"/>
  <c r="C109" i="31"/>
  <c r="K105" i="31"/>
  <c r="D105" i="31"/>
  <c r="C105" i="31"/>
  <c r="K98" i="31"/>
  <c r="D98" i="31"/>
  <c r="C98" i="31"/>
  <c r="K86" i="31"/>
  <c r="D86" i="31"/>
  <c r="C86" i="31"/>
  <c r="K26" i="31"/>
  <c r="D26" i="31"/>
  <c r="C26" i="31"/>
  <c r="K91" i="31"/>
  <c r="D91" i="31"/>
  <c r="C91" i="31"/>
  <c r="K34" i="31"/>
  <c r="D34" i="31"/>
  <c r="C34" i="31"/>
  <c r="K63" i="31"/>
  <c r="D63" i="31"/>
  <c r="C63" i="31"/>
  <c r="D73" i="31"/>
  <c r="K73" i="31"/>
  <c r="C73" i="31"/>
  <c r="K67" i="31"/>
  <c r="D67" i="31"/>
  <c r="C67" i="31"/>
  <c r="D108" i="31"/>
  <c r="K108" i="31"/>
  <c r="C108" i="31"/>
  <c r="K81" i="31"/>
  <c r="D81" i="31"/>
  <c r="C81" i="31"/>
  <c r="D115" i="31"/>
  <c r="K115" i="31"/>
  <c r="C115" i="31"/>
  <c r="K83" i="31"/>
  <c r="D83" i="31"/>
  <c r="C83" i="31"/>
  <c r="D113" i="31"/>
  <c r="K113" i="31"/>
  <c r="C113" i="31"/>
  <c r="K101" i="31"/>
  <c r="D101" i="31"/>
  <c r="C101" i="31"/>
  <c r="D117" i="31"/>
  <c r="K117" i="31"/>
  <c r="C117" i="31"/>
  <c r="K64" i="31"/>
  <c r="D64" i="31"/>
  <c r="C64" i="31"/>
  <c r="D114" i="31"/>
  <c r="K114" i="31"/>
  <c r="C114" i="31"/>
  <c r="K43" i="31"/>
  <c r="D43" i="31"/>
  <c r="C43" i="31"/>
  <c r="D23" i="31"/>
  <c r="K23" i="31"/>
  <c r="K100" i="31"/>
  <c r="D100" i="31"/>
  <c r="C100" i="31"/>
  <c r="K97" i="31"/>
  <c r="D97" i="31"/>
  <c r="C97" i="31"/>
  <c r="K29" i="31"/>
  <c r="D29" i="31"/>
  <c r="C29" i="31"/>
  <c r="K102" i="31"/>
  <c r="D102" i="31"/>
  <c r="C102" i="31"/>
  <c r="K52" i="31"/>
  <c r="D52" i="31"/>
  <c r="C52" i="31"/>
  <c r="K128" i="31"/>
  <c r="D128" i="31"/>
  <c r="C128" i="31"/>
  <c r="K129" i="31"/>
  <c r="D129" i="31"/>
  <c r="C129" i="31"/>
  <c r="K94" i="31"/>
  <c r="D94" i="31"/>
  <c r="C94" i="31"/>
  <c r="K82" i="31"/>
  <c r="D82" i="31"/>
  <c r="C82" i="31"/>
  <c r="K95" i="31"/>
  <c r="D95" i="31"/>
  <c r="C95" i="31"/>
  <c r="K57" i="31"/>
  <c r="D57" i="31"/>
  <c r="C57" i="31"/>
  <c r="K72" i="31"/>
  <c r="D72" i="31"/>
  <c r="C72" i="31"/>
  <c r="D12" i="31"/>
  <c r="G12" i="31" s="1"/>
  <c r="D25" i="31"/>
  <c r="K25" i="31"/>
  <c r="C25" i="31"/>
  <c r="K28" i="31"/>
  <c r="D28" i="31"/>
  <c r="C28" i="31"/>
  <c r="K87" i="31"/>
  <c r="D87" i="31"/>
  <c r="C87" i="31"/>
  <c r="K132" i="31"/>
  <c r="D132" i="31"/>
  <c r="C132" i="31"/>
  <c r="K30" i="31"/>
  <c r="D30" i="31"/>
  <c r="C30" i="31"/>
  <c r="K65" i="31"/>
  <c r="D65" i="31"/>
  <c r="C65" i="31"/>
  <c r="K119" i="31"/>
  <c r="D119" i="31"/>
  <c r="C119" i="31"/>
  <c r="K59" i="31"/>
  <c r="D59" i="31"/>
  <c r="C59" i="31"/>
  <c r="K62" i="31"/>
  <c r="D62" i="31"/>
  <c r="C62" i="31"/>
  <c r="K46" i="31"/>
  <c r="D46" i="31"/>
  <c r="C46" i="31"/>
  <c r="K77" i="31"/>
  <c r="D77" i="31"/>
  <c r="C77" i="31"/>
  <c r="K120" i="31"/>
  <c r="D120" i="31"/>
  <c r="C120" i="31"/>
  <c r="K16" i="31"/>
  <c r="D16" i="31"/>
  <c r="K96" i="31"/>
  <c r="D96" i="31"/>
  <c r="C96" i="31"/>
  <c r="K88" i="31"/>
  <c r="D88" i="31"/>
  <c r="C88" i="31"/>
  <c r="K56" i="31"/>
  <c r="D56" i="31"/>
  <c r="C56" i="31"/>
  <c r="K44" i="31"/>
  <c r="D44" i="31"/>
  <c r="C44" i="31"/>
  <c r="D106" i="31"/>
  <c r="K106" i="31"/>
  <c r="C106" i="31"/>
  <c r="K70" i="31"/>
  <c r="D70" i="31"/>
  <c r="C70" i="31"/>
  <c r="K41" i="31"/>
  <c r="D41" i="31"/>
  <c r="C41" i="31"/>
  <c r="K103" i="31"/>
  <c r="D103" i="31"/>
  <c r="C103" i="31"/>
  <c r="K122" i="31"/>
  <c r="D122" i="31"/>
  <c r="C122" i="31"/>
  <c r="K71" i="31"/>
  <c r="D71" i="31"/>
  <c r="C71" i="31"/>
  <c r="K111" i="31"/>
  <c r="D111" i="31"/>
  <c r="C111" i="31"/>
  <c r="K54" i="31"/>
  <c r="D54" i="31"/>
  <c r="C54" i="31"/>
  <c r="D38" i="31"/>
  <c r="K38" i="31"/>
  <c r="C38" i="31"/>
  <c r="K48" i="31"/>
  <c r="D48" i="31"/>
  <c r="C48" i="31"/>
  <c r="D124" i="31"/>
  <c r="K124" i="31"/>
  <c r="C124" i="31"/>
  <c r="K45" i="31"/>
  <c r="D45" i="31"/>
  <c r="C45" i="31"/>
  <c r="D13" i="31"/>
  <c r="K13" i="31"/>
  <c r="O16" i="31"/>
  <c r="K35" i="31"/>
  <c r="D35" i="31"/>
  <c r="C35" i="31"/>
  <c r="D110" i="31"/>
  <c r="K110" i="31"/>
  <c r="C110" i="31"/>
  <c r="K131" i="31"/>
  <c r="D131" i="31"/>
  <c r="C131" i="31"/>
  <c r="K61" i="31"/>
  <c r="D61" i="31"/>
  <c r="C61" i="31"/>
  <c r="K74" i="31"/>
  <c r="D74" i="31"/>
  <c r="C74" i="31"/>
  <c r="K37" i="31"/>
  <c r="D37" i="31"/>
  <c r="C37" i="31"/>
  <c r="D36" i="31"/>
  <c r="K36" i="31"/>
  <c r="C36" i="31"/>
  <c r="K78" i="31"/>
  <c r="D78" i="31"/>
  <c r="C78" i="31"/>
  <c r="D40" i="31"/>
  <c r="K40" i="31"/>
  <c r="C40" i="31"/>
  <c r="K69" i="31"/>
  <c r="D69" i="31"/>
  <c r="C69" i="31"/>
  <c r="D60" i="31"/>
  <c r="K60" i="31"/>
  <c r="C60" i="31"/>
  <c r="K51" i="31"/>
  <c r="D51" i="31"/>
  <c r="C51" i="31"/>
  <c r="D66" i="31"/>
  <c r="K66" i="31"/>
  <c r="C66" i="31"/>
  <c r="K123" i="31"/>
  <c r="D123" i="31"/>
  <c r="C123" i="31"/>
  <c r="D9" i="31"/>
  <c r="E124" i="31" l="1"/>
  <c r="G124" i="31" s="1"/>
  <c r="E45" i="31"/>
  <c r="G45" i="31" s="1"/>
  <c r="E54" i="31"/>
  <c r="G54" i="31" s="1"/>
  <c r="E103" i="31"/>
  <c r="G103" i="31" s="1"/>
  <c r="E44" i="31"/>
  <c r="G44" i="31" s="1"/>
  <c r="E46" i="31"/>
  <c r="G46" i="31" s="1"/>
  <c r="E47" i="31"/>
  <c r="G47" i="31" s="1"/>
  <c r="E91" i="31"/>
  <c r="G91" i="31" s="1"/>
  <c r="E105" i="31"/>
  <c r="G105" i="31" s="1"/>
  <c r="E93" i="31"/>
  <c r="G93" i="31" s="1"/>
  <c r="E125" i="31"/>
  <c r="G125" i="31" s="1"/>
  <c r="E127" i="31"/>
  <c r="G127" i="31" s="1"/>
  <c r="E63" i="31"/>
  <c r="G63" i="31" s="1"/>
  <c r="E86" i="31"/>
  <c r="G86" i="31" s="1"/>
  <c r="E112" i="31"/>
  <c r="G112" i="31" s="1"/>
  <c r="E90" i="31"/>
  <c r="G90" i="31" s="1"/>
  <c r="E32" i="31"/>
  <c r="G32" i="31" s="1"/>
  <c r="E65" i="31"/>
  <c r="G65" i="31" s="1"/>
  <c r="E48" i="31"/>
  <c r="G48" i="31" s="1"/>
  <c r="E71" i="31"/>
  <c r="G71" i="31" s="1"/>
  <c r="E70" i="31"/>
  <c r="G70" i="31" s="1"/>
  <c r="E88" i="31"/>
  <c r="G88" i="31" s="1"/>
  <c r="E120" i="31"/>
  <c r="G120" i="31" s="1"/>
  <c r="E59" i="31"/>
  <c r="G59" i="31" s="1"/>
  <c r="E31" i="31"/>
  <c r="G31" i="31" s="1"/>
  <c r="E116" i="31"/>
  <c r="G116" i="31" s="1"/>
  <c r="E107" i="31"/>
  <c r="G107" i="31" s="1"/>
  <c r="E33" i="31"/>
  <c r="G33" i="31" s="1"/>
  <c r="E55" i="31"/>
  <c r="G55" i="31" s="1"/>
  <c r="E123" i="31"/>
  <c r="G123" i="31" s="1"/>
  <c r="E69" i="31"/>
  <c r="G69" i="31" s="1"/>
  <c r="E53" i="31"/>
  <c r="G53" i="31" s="1"/>
  <c r="E104" i="31"/>
  <c r="G104" i="31" s="1"/>
  <c r="E80" i="31"/>
  <c r="G80" i="31" s="1"/>
  <c r="E39" i="31"/>
  <c r="G39" i="31" s="1"/>
  <c r="E27" i="31"/>
  <c r="G27" i="31" s="1"/>
  <c r="E51" i="31"/>
  <c r="G51" i="31" s="1"/>
  <c r="E38" i="31"/>
  <c r="G38" i="31" s="1"/>
  <c r="E122" i="31"/>
  <c r="G122" i="31" s="1"/>
  <c r="E106" i="31"/>
  <c r="G106" i="31" s="1"/>
  <c r="E96" i="31"/>
  <c r="G96" i="31" s="1"/>
  <c r="E77" i="31"/>
  <c r="G77" i="31" s="1"/>
  <c r="E119" i="31"/>
  <c r="G119" i="31" s="1"/>
  <c r="E26" i="31"/>
  <c r="G26" i="31" s="1"/>
  <c r="E76" i="31"/>
  <c r="G76" i="31" s="1"/>
  <c r="E92" i="31"/>
  <c r="G92" i="31" s="1"/>
  <c r="E42" i="31"/>
  <c r="G42" i="31" s="1"/>
  <c r="E126" i="31"/>
  <c r="G126" i="31" s="1"/>
  <c r="E118" i="31"/>
  <c r="G118" i="31" s="1"/>
  <c r="E78" i="31"/>
  <c r="G78" i="31" s="1"/>
  <c r="E111" i="31"/>
  <c r="G111" i="31" s="1"/>
  <c r="E41" i="31"/>
  <c r="G41" i="31" s="1"/>
  <c r="E56" i="31"/>
  <c r="G56" i="31" s="1"/>
  <c r="E62" i="31"/>
  <c r="G62" i="31" s="1"/>
  <c r="E34" i="31"/>
  <c r="G34" i="31" s="1"/>
  <c r="E98" i="31"/>
  <c r="G98" i="31" s="1"/>
  <c r="E131" i="31"/>
  <c r="G131" i="31" s="1"/>
  <c r="E110" i="31"/>
  <c r="G110" i="31" s="1"/>
  <c r="E35" i="31"/>
  <c r="G35" i="31" s="1"/>
  <c r="E100" i="31"/>
  <c r="G100" i="31" s="1"/>
  <c r="E43" i="31"/>
  <c r="G43" i="31" s="1"/>
  <c r="E114" i="31"/>
  <c r="G114" i="31" s="1"/>
  <c r="E64" i="31"/>
  <c r="G64" i="31" s="1"/>
  <c r="E117" i="31"/>
  <c r="G117" i="31" s="1"/>
  <c r="E101" i="31"/>
  <c r="G101" i="31" s="1"/>
  <c r="E113" i="31"/>
  <c r="G113" i="31" s="1"/>
  <c r="E83" i="31"/>
  <c r="G83" i="31" s="1"/>
  <c r="E115" i="31"/>
  <c r="G115" i="31" s="1"/>
  <c r="E81" i="31"/>
  <c r="G81" i="31" s="1"/>
  <c r="E108" i="31"/>
  <c r="G108" i="31" s="1"/>
  <c r="E67" i="31"/>
  <c r="G67" i="31" s="1"/>
  <c r="E73" i="31"/>
  <c r="G73" i="31" s="1"/>
  <c r="E75" i="31"/>
  <c r="G75" i="31" s="1"/>
  <c r="E79" i="31"/>
  <c r="G79" i="31" s="1"/>
  <c r="E89" i="31"/>
  <c r="G89" i="31" s="1"/>
  <c r="E50" i="31"/>
  <c r="G50" i="31" s="1"/>
  <c r="E58" i="31"/>
  <c r="G58" i="31" s="1"/>
  <c r="E130" i="31"/>
  <c r="G130" i="31" s="1"/>
  <c r="E121" i="31"/>
  <c r="G121" i="31" s="1"/>
  <c r="M25" i="31"/>
  <c r="E30" i="31"/>
  <c r="G30" i="31" s="1"/>
  <c r="E132" i="31"/>
  <c r="G132" i="31" s="1"/>
  <c r="E87" i="31"/>
  <c r="G87" i="31" s="1"/>
  <c r="E28" i="31"/>
  <c r="G28" i="31" s="1"/>
  <c r="E25" i="31"/>
  <c r="G25" i="31" s="1"/>
  <c r="E109" i="31"/>
  <c r="G109" i="31" s="1"/>
  <c r="N25" i="31"/>
  <c r="R25" i="31" s="1"/>
  <c r="E66" i="31"/>
  <c r="G66" i="31" s="1"/>
  <c r="E60" i="31"/>
  <c r="G60" i="31" s="1"/>
  <c r="E40" i="31"/>
  <c r="G40" i="31" s="1"/>
  <c r="E36" i="31"/>
  <c r="G36" i="31" s="1"/>
  <c r="E37" i="31"/>
  <c r="G37" i="31" s="1"/>
  <c r="K4" i="31"/>
  <c r="K5" i="31"/>
  <c r="E49" i="31"/>
  <c r="G49" i="31" s="1"/>
  <c r="E74" i="31"/>
  <c r="G74" i="31" s="1"/>
  <c r="E61" i="31"/>
  <c r="G61" i="31" s="1"/>
  <c r="N16" i="31"/>
  <c r="R16" i="31" s="1"/>
  <c r="E72" i="31"/>
  <c r="G72" i="31" s="1"/>
  <c r="E57" i="31"/>
  <c r="G57" i="31" s="1"/>
  <c r="E95" i="31"/>
  <c r="G95" i="31" s="1"/>
  <c r="E82" i="31"/>
  <c r="G82" i="31" s="1"/>
  <c r="E94" i="31"/>
  <c r="G94" i="31" s="1"/>
  <c r="E129" i="31"/>
  <c r="G129" i="31" s="1"/>
  <c r="E128" i="31"/>
  <c r="G128" i="31" s="1"/>
  <c r="E52" i="31"/>
  <c r="G52" i="31" s="1"/>
  <c r="E102" i="31"/>
  <c r="G102" i="31" s="1"/>
  <c r="E29" i="31"/>
  <c r="G29" i="31" s="1"/>
  <c r="E97" i="31"/>
  <c r="G97" i="31" s="1"/>
  <c r="E84" i="31"/>
  <c r="G84" i="31" s="1"/>
  <c r="E68" i="31"/>
  <c r="G68" i="31" s="1"/>
  <c r="E99" i="31"/>
  <c r="G99" i="31" s="1"/>
  <c r="E85" i="31"/>
  <c r="G85" i="31" s="1"/>
  <c r="Q25" i="31" l="1"/>
  <c r="P25" i="31"/>
  <c r="K3" i="25"/>
  <c r="M7" i="31"/>
  <c r="K6" i="31"/>
  <c r="B5" i="31" s="1"/>
  <c r="G9" i="25" l="1"/>
  <c r="B5" i="25"/>
  <c r="C49" i="25"/>
  <c r="E35" i="25"/>
  <c r="G31" i="25"/>
  <c r="E31" i="25"/>
  <c r="G38" i="25"/>
  <c r="E37" i="25"/>
  <c r="E29" i="25"/>
  <c r="G30" i="25"/>
  <c r="G33" i="25"/>
  <c r="G35" i="25"/>
  <c r="E34" i="25"/>
  <c r="E36" i="25"/>
  <c r="E33" i="25"/>
  <c r="G29" i="25"/>
  <c r="E38" i="25"/>
  <c r="G34" i="25"/>
  <c r="E32" i="25"/>
  <c r="G36" i="25"/>
  <c r="G37" i="25"/>
  <c r="G32" i="25"/>
  <c r="E30" i="25"/>
  <c r="H33" i="25" l="1"/>
  <c r="H36" i="25"/>
  <c r="H35" i="25"/>
  <c r="H31" i="25"/>
  <c r="H29" i="25"/>
  <c r="H37" i="25"/>
  <c r="H34" i="25"/>
  <c r="H32" i="25"/>
  <c r="H30" i="25"/>
  <c r="O16" i="28"/>
  <c r="H38" i="25"/>
  <c r="B5" i="28"/>
  <c r="B5" i="66"/>
  <c r="B4" i="31"/>
  <c r="C9" i="28" l="1"/>
  <c r="C36" i="28" l="1"/>
  <c r="C30" i="28"/>
  <c r="C38" i="28"/>
  <c r="C20" i="28" l="1"/>
  <c r="C27" i="28"/>
  <c r="C26" i="28"/>
  <c r="C21" i="28"/>
  <c r="C18" i="28"/>
  <c r="C33" i="28"/>
  <c r="C35" i="28"/>
  <c r="C31" i="28"/>
  <c r="C25" i="28"/>
  <c r="C32" i="28"/>
  <c r="C24" i="28"/>
  <c r="C34" i="28"/>
  <c r="C29" i="28"/>
  <c r="C28" i="28"/>
  <c r="C17" i="28"/>
  <c r="C37" i="28"/>
  <c r="C19" i="28"/>
  <c r="C23" i="28"/>
  <c r="C22" i="28"/>
  <c r="C24" i="31" l="1"/>
  <c r="E24" i="31" s="1"/>
  <c r="G24" i="31" s="1"/>
  <c r="C15" i="31"/>
  <c r="E15" i="31" s="1"/>
  <c r="G15" i="31" s="1"/>
  <c r="C19" i="31"/>
  <c r="E19" i="31" s="1"/>
  <c r="G19" i="31" s="1"/>
  <c r="C17" i="31"/>
  <c r="E17" i="31" s="1"/>
  <c r="G17" i="31" s="1"/>
  <c r="C20" i="31"/>
  <c r="E20" i="31" s="1"/>
  <c r="G20" i="31" s="1"/>
  <c r="C16" i="31"/>
  <c r="E16" i="31" s="1"/>
  <c r="G16" i="31" s="1"/>
  <c r="C14" i="31"/>
  <c r="E14" i="31" s="1"/>
  <c r="G14" i="31" s="1"/>
  <c r="O13" i="66" l="1"/>
  <c r="G13" i="66"/>
  <c r="E13" i="66"/>
  <c r="K13" i="66"/>
  <c r="H13" i="66"/>
  <c r="J13" i="66"/>
  <c r="F13" i="66"/>
  <c r="C21" i="31"/>
  <c r="E21" i="31" s="1"/>
  <c r="G21" i="31" s="1"/>
  <c r="C23" i="31"/>
  <c r="E23" i="31" s="1"/>
  <c r="G23" i="31" s="1"/>
  <c r="C22" i="31"/>
  <c r="E22" i="31" s="1"/>
  <c r="G22" i="31" s="1"/>
  <c r="C18" i="31"/>
  <c r="E18" i="31" s="1"/>
  <c r="G18" i="31" s="1"/>
  <c r="L13" i="66" l="1"/>
  <c r="I13" i="66"/>
  <c r="M13" i="66"/>
  <c r="N13" i="66"/>
  <c r="C13" i="31"/>
  <c r="E13" i="25"/>
  <c r="C9" i="31"/>
  <c r="G9" i="31" l="1"/>
  <c r="G50" i="25" s="1"/>
  <c r="E50" i="25"/>
  <c r="M16" i="31"/>
  <c r="E13" i="31"/>
  <c r="D13" i="66"/>
  <c r="C13" i="66"/>
  <c r="E9" i="31"/>
  <c r="G13" i="25"/>
  <c r="I75" i="25" l="1"/>
  <c r="Q16" i="31"/>
  <c r="P16" i="31"/>
  <c r="G13" i="31"/>
  <c r="B23" i="66" l="1"/>
  <c r="B24" i="66" l="1"/>
  <c r="B25" i="66" l="1"/>
  <c r="B26" i="66" l="1"/>
  <c r="B27" i="66" l="1"/>
  <c r="B28" i="66" l="1"/>
  <c r="B29" i="66" l="1"/>
  <c r="B30" i="66" l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<sst xmlns="http://schemas.openxmlformats.org/spreadsheetml/2006/main" count="1169" uniqueCount="239">
  <si>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</si>
  <si>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</si>
  <si>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</si>
  <si>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</si>
  <si>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</si>
  <si>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</si>
  <si>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</si>
  <si>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</si>
  <si>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</si>
  <si>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</si>
  <si>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</si>
  <si>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</si>
  <si>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</si>
  <si>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</si>
  <si>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</si>
  <si>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</si>
  <si>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</si>
  <si>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</si>
  <si>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</si>
  <si>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</si>
  <si>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</si>
  <si>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</si>
  <si>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</si>
  <si>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</si>
  <si>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</si>
  <si>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</si>
  <si>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</si>
  <si>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</si>
  <si>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</si>
  <si>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</si>
  <si>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</si>
  <si>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</si>
  <si>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</si>
  <si>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</si>
  <si>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</si>
  <si>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</si>
  <si>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</si>
  <si>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</si>
  <si>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</si>
  <si>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</si>
  <si>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</si>
  <si>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</si>
  <si>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</si>
  <si>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</si>
  <si>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</si>
  <si>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</si>
  <si>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</si>
  <si>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</si>
  <si>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</si>
  <si>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</si>
  <si>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</si>
  <si>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</si>
  <si>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</si>
  <si>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</si>
  <si>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</si>
  <si>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</si>
  <si>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</si>
  <si>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</si>
  <si>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</si>
  <si>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</si>
  <si>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</si>
  <si>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</si>
  <si>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</si>
  <si>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</si>
  <si>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</si>
  <si>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</si>
  <si>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</si>
  <si>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</si>
  <si>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</si>
  <si>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</si>
  <si>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</si>
  <si>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</si>
  <si>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</si>
  <si>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</si>
  <si>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</si>
  <si>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</si>
  <si>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</si>
  <si>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</si>
  <si>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</si>
  <si>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</si>
  <si>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</si>
  <si>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</si>
  <si>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</si>
  <si>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</si>
  <si>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</si>
  <si>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</si>
  <si>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</si>
  <si>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</si>
  <si>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</si>
  <si>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</si>
  <si>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</si>
  <si>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</si>
  <si>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</si>
  <si>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</si>
  <si>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</si>
  <si>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</si>
  <si>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</si>
  <si>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</si>
  <si>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</si>
  <si>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</si>
  <si>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</si>
  <si>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</si>
  <si>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</si>
  <si>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</si>
  <si>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</si>
  <si>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</si>
  <si>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</si>
  <si>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</si>
  <si>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</si>
  <si>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</si>
  <si>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</si>
  <si>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</si>
  <si>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</si>
  <si>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</si>
  <si>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</si>
  <si>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</si>
  <si>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</si>
  <si>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</si>
  <si>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</si>
  <si>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</si>
  <si>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</si>
  <si>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</si>
  <si>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</si>
  <si>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</si>
  <si>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</si>
  <si>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</si>
  <si>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</si>
  <si>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</si>
  <si>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</si>
  <si>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</si>
  <si>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</si>
  <si>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</si>
  <si>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</si>
  <si>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</si>
  <si>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</si>
  <si>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</si>
  <si>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</si>
  <si>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</si>
  <si>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</si>
  <si>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</si>
  <si>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</si>
  <si>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</si>
  <si>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</si>
  <si>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</si>
  <si>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</si>
  <si>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</si>
  <si>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</si>
  <si>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</si>
  <si>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</si>
  <si>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</si>
  <si>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</si>
  <si>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</si>
  <si>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</si>
  <si>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</si>
  <si>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</si>
  <si>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</si>
  <si>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</si>
  <si>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</si>
  <si>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</si>
  <si>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</si>
  <si>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</si>
  <si>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</si>
  <si>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</si>
  <si>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</si>
  <si>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</si>
  <si>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</si>
  <si>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</si>
  <si>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</si>
  <si>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</si>
  <si>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</si>
  <si>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</si>
  <si>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</si>
  <si>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</si>
  <si>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</si>
  <si>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</si>
  <si>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</si>
  <si>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</si>
  <si>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</si>
  <si>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</si>
  <si>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</si>
  <si>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</si>
  <si>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</si>
  <si>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</si>
  <si>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</si>
  <si>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</si>
  <si>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</si>
  <si>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</si>
  <si>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</si>
  <si>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</si>
  <si>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</si>
  <si>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</si>
  <si>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</si>
  <si>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</si>
  <si>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</si>
  <si>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</si>
  <si>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</si>
  <si>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</si>
  <si>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</si>
  <si>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</si>
  <si>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</si>
  <si>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</si>
  <si>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</si>
  <si>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</si>
  <si>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</si>
  <si>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</si>
  <si>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</si>
  <si>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</si>
  <si>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</si>
  <si>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</si>
  <si>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</si>
  <si>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</si>
  <si>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</si>
  <si>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</si>
  <si>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</si>
  <si>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</si>
  <si>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</si>
  <si>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</si>
  <si>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</si>
  <si>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</si>
  <si>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</si>
  <si>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</si>
  <si>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</si>
  <si>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</si>
  <si>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</si>
  <si>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</si>
  <si>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</si>
  <si>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</si>
  <si>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</si>
  <si>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</si>
  <si>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</si>
  <si>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</si>
  <si>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</si>
  <si>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</si>
  <si>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</si>
  <si>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1 Year</t>
  </si>
  <si>
    <t>Photovoltaic (Utility) 30% ITC</t>
  </si>
  <si>
    <t>Kennecott Smelter Non Firm</t>
  </si>
  <si>
    <t>2023$</t>
  </si>
  <si>
    <t>Company Official Inflation Forecast Dated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</si>
</sst>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412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173" fontId="0" fillId="12" borderId="0" xfId="0" applyNumberFormat="1" applyFill="1"/>
    <xf numFmtId="172" fontId="0" fillId="12" borderId="0" xfId="0" applyNumberForma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0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7_68%20-%20Kennecott%20-%20UT%20-%202021%20Sep\Workpapers%20to%20file\67%20-%20Kennecott%20Smelter%20-%201a%20-%20GRID%20AC%20Study%20CONF%20_2021%2009%20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2022</v>
          </cell>
          <cell r="C7">
            <v>25.390551521252014</v>
          </cell>
          <cell r="D7">
            <v>24.623666461042905</v>
          </cell>
          <cell r="E7">
            <v>26.072106531594653</v>
          </cell>
          <cell r="F7">
            <v>21.953421119519337</v>
          </cell>
          <cell r="G7">
            <v>17.175287766694218</v>
          </cell>
          <cell r="H7">
            <v>16.399453000089469</v>
          </cell>
          <cell r="I7">
            <v>21.384094549442555</v>
          </cell>
          <cell r="J7">
            <v>37.683841321908588</v>
          </cell>
          <cell r="K7">
            <v>44.841818264632792</v>
          </cell>
          <cell r="L7">
            <v>29.222340374444428</v>
          </cell>
          <cell r="M7">
            <v>20.021987641622676</v>
          </cell>
          <cell r="N7">
            <v>20.865009088645333</v>
          </cell>
          <cell r="O7">
            <v>24.092920868464013</v>
          </cell>
        </row>
        <row r="8">
          <cell r="B8">
            <v>2023</v>
          </cell>
        </row>
        <row r="9">
          <cell r="B9">
            <v>2024</v>
          </cell>
        </row>
        <row r="10">
          <cell r="B10">
            <v>2025</v>
          </cell>
        </row>
        <row r="11">
          <cell r="B11">
            <v>2026</v>
          </cell>
        </row>
        <row r="12">
          <cell r="B12">
            <v>2027</v>
          </cell>
        </row>
        <row r="13">
          <cell r="B13">
            <v>2028</v>
          </cell>
        </row>
        <row r="14">
          <cell r="B14">
            <v>2029</v>
          </cell>
        </row>
        <row r="15">
          <cell r="B15">
            <v>2030</v>
          </cell>
        </row>
        <row r="16">
          <cell r="B16">
            <v>2031</v>
          </cell>
        </row>
        <row r="17">
          <cell r="B17">
            <v>2032</v>
          </cell>
        </row>
        <row r="18">
          <cell r="B18">
            <v>2033</v>
          </cell>
        </row>
        <row r="19">
          <cell r="B19">
            <v>2034</v>
          </cell>
        </row>
        <row r="20">
          <cell r="B20">
            <v>2035</v>
          </cell>
        </row>
        <row r="21">
          <cell r="B21">
            <v>2036</v>
          </cell>
        </row>
        <row r="22">
          <cell r="B22">
            <v>2037</v>
          </cell>
        </row>
        <row r="23">
          <cell r="B23">
            <v>2038</v>
          </cell>
        </row>
        <row r="24">
          <cell r="B24">
            <v>2039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2022-2031</v>
          </cell>
          <cell r="F3">
            <v>44562</v>
          </cell>
          <cell r="G3">
            <v>44593</v>
          </cell>
          <cell r="H3">
            <v>44621</v>
          </cell>
          <cell r="I3">
            <v>44652</v>
          </cell>
          <cell r="J3">
            <v>44682</v>
          </cell>
          <cell r="K3">
            <v>44713</v>
          </cell>
          <cell r="L3">
            <v>44743</v>
          </cell>
          <cell r="M3">
            <v>44774</v>
          </cell>
          <cell r="N3">
            <v>44805</v>
          </cell>
          <cell r="O3">
            <v>44835</v>
          </cell>
          <cell r="P3">
            <v>44866</v>
          </cell>
          <cell r="Q3">
            <v>44896</v>
          </cell>
          <cell r="R3">
            <v>2023</v>
          </cell>
          <cell r="S3">
            <v>44927</v>
          </cell>
          <cell r="T3">
            <v>44958</v>
          </cell>
          <cell r="U3">
            <v>44986</v>
          </cell>
          <cell r="V3">
            <v>45017</v>
          </cell>
          <cell r="W3">
            <v>45047</v>
          </cell>
          <cell r="X3">
            <v>45078</v>
          </cell>
          <cell r="Y3">
            <v>45108</v>
          </cell>
          <cell r="Z3">
            <v>45139</v>
          </cell>
          <cell r="AA3">
            <v>45170</v>
          </cell>
          <cell r="AB3">
            <v>45200</v>
          </cell>
          <cell r="AC3">
            <v>45231</v>
          </cell>
          <cell r="AD3">
            <v>45261</v>
          </cell>
          <cell r="AE3">
            <v>2024</v>
          </cell>
          <cell r="AF3">
            <v>45292</v>
          </cell>
          <cell r="AG3">
            <v>45323</v>
          </cell>
          <cell r="AH3">
            <v>45352</v>
          </cell>
          <cell r="AI3">
            <v>45383</v>
          </cell>
          <cell r="AJ3">
            <v>45413</v>
          </cell>
          <cell r="AK3">
            <v>45444</v>
          </cell>
          <cell r="AL3">
            <v>45474</v>
          </cell>
          <cell r="AM3">
            <v>45505</v>
          </cell>
          <cell r="AN3">
            <v>45536</v>
          </cell>
          <cell r="AO3">
            <v>45566</v>
          </cell>
          <cell r="AP3">
            <v>45597</v>
          </cell>
          <cell r="AQ3">
            <v>45627</v>
          </cell>
          <cell r="AR3">
            <v>2025</v>
          </cell>
          <cell r="AS3">
            <v>45658</v>
          </cell>
          <cell r="AT3">
            <v>45689</v>
          </cell>
          <cell r="AU3">
            <v>45717</v>
          </cell>
          <cell r="AV3">
            <v>45748</v>
          </cell>
          <cell r="AW3">
            <v>45778</v>
          </cell>
          <cell r="AX3">
            <v>45809</v>
          </cell>
          <cell r="AY3">
            <v>45839</v>
          </cell>
          <cell r="AZ3">
            <v>45870</v>
          </cell>
          <cell r="BA3">
            <v>45901</v>
          </cell>
          <cell r="BB3">
            <v>45931</v>
          </cell>
          <cell r="BC3">
            <v>45962</v>
          </cell>
          <cell r="BD3">
            <v>45992</v>
          </cell>
          <cell r="BE3">
            <v>2026</v>
          </cell>
          <cell r="BF3">
            <v>46023</v>
          </cell>
          <cell r="BG3">
            <v>46054</v>
          </cell>
          <cell r="BH3">
            <v>46082</v>
          </cell>
          <cell r="BI3">
            <v>46113</v>
          </cell>
          <cell r="BJ3">
            <v>46143</v>
          </cell>
          <cell r="BK3">
            <v>46174</v>
          </cell>
          <cell r="BL3">
            <v>46204</v>
          </cell>
          <cell r="BM3">
            <v>46235</v>
          </cell>
          <cell r="BN3">
            <v>46266</v>
          </cell>
          <cell r="BO3">
            <v>46296</v>
          </cell>
          <cell r="BP3">
            <v>46327</v>
          </cell>
          <cell r="BQ3">
            <v>46357</v>
          </cell>
          <cell r="BR3">
            <v>2027</v>
          </cell>
          <cell r="BS3">
            <v>46388</v>
          </cell>
          <cell r="BT3">
            <v>46419</v>
          </cell>
          <cell r="BU3">
            <v>46447</v>
          </cell>
          <cell r="BV3">
            <v>46478</v>
          </cell>
          <cell r="BW3">
            <v>46508</v>
          </cell>
          <cell r="BX3">
            <v>46539</v>
          </cell>
          <cell r="BY3">
            <v>46569</v>
          </cell>
          <cell r="BZ3">
            <v>46600</v>
          </cell>
          <cell r="CA3">
            <v>46631</v>
          </cell>
          <cell r="CB3">
            <v>46661</v>
          </cell>
          <cell r="CC3">
            <v>46692</v>
          </cell>
          <cell r="CD3">
            <v>46722</v>
          </cell>
          <cell r="CE3">
            <v>2028</v>
          </cell>
          <cell r="CF3">
            <v>46753</v>
          </cell>
          <cell r="CG3">
            <v>46784</v>
          </cell>
          <cell r="CH3">
            <v>46813</v>
          </cell>
          <cell r="CI3">
            <v>46844</v>
          </cell>
          <cell r="CJ3">
            <v>46874</v>
          </cell>
          <cell r="CK3">
            <v>46905</v>
          </cell>
          <cell r="CL3">
            <v>46935</v>
          </cell>
          <cell r="CM3">
            <v>46966</v>
          </cell>
          <cell r="CN3">
            <v>46997</v>
          </cell>
          <cell r="CO3">
            <v>47027</v>
          </cell>
          <cell r="CP3">
            <v>47058</v>
          </cell>
          <cell r="CQ3">
            <v>47088</v>
          </cell>
          <cell r="CR3">
            <v>2029</v>
          </cell>
          <cell r="CS3">
            <v>47119</v>
          </cell>
          <cell r="CT3">
            <v>47150</v>
          </cell>
          <cell r="CU3">
            <v>47178</v>
          </cell>
          <cell r="CV3">
            <v>47209</v>
          </cell>
          <cell r="CW3">
            <v>47239</v>
          </cell>
          <cell r="CX3">
            <v>47270</v>
          </cell>
          <cell r="CY3">
            <v>47300</v>
          </cell>
          <cell r="CZ3">
            <v>47331</v>
          </cell>
          <cell r="DA3">
            <v>47362</v>
          </cell>
          <cell r="DB3">
            <v>47392</v>
          </cell>
          <cell r="DC3">
            <v>47423</v>
          </cell>
          <cell r="DD3">
            <v>47453</v>
          </cell>
          <cell r="DE3">
            <v>2030</v>
          </cell>
          <cell r="DF3">
            <v>47484</v>
          </cell>
          <cell r="DG3">
            <v>47515</v>
          </cell>
          <cell r="DH3">
            <v>47543</v>
          </cell>
          <cell r="DI3">
            <v>47574</v>
          </cell>
          <cell r="DJ3">
            <v>47604</v>
          </cell>
          <cell r="DK3">
            <v>47635</v>
          </cell>
          <cell r="DL3">
            <v>47665</v>
          </cell>
          <cell r="DM3">
            <v>47696</v>
          </cell>
          <cell r="DN3">
            <v>47727</v>
          </cell>
          <cell r="DO3">
            <v>47757</v>
          </cell>
          <cell r="DP3">
            <v>47788</v>
          </cell>
          <cell r="DQ3">
            <v>47818</v>
          </cell>
          <cell r="DR3">
            <v>2031</v>
          </cell>
          <cell r="DS3">
            <v>47849</v>
          </cell>
          <cell r="DT3">
            <v>47880</v>
          </cell>
          <cell r="DU3">
            <v>47908</v>
          </cell>
          <cell r="DV3">
            <v>47939</v>
          </cell>
          <cell r="DW3">
            <v>47969</v>
          </cell>
          <cell r="DX3">
            <v>48000</v>
          </cell>
          <cell r="DY3">
            <v>48030</v>
          </cell>
          <cell r="DZ3">
            <v>48061</v>
          </cell>
          <cell r="EA3">
            <v>48092</v>
          </cell>
          <cell r="EB3">
            <v>48122</v>
          </cell>
          <cell r="EC3">
            <v>48153</v>
          </cell>
          <cell r="ED3">
            <v>48183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74</v>
          </cell>
          <cell r="H32">
            <v>0</v>
          </cell>
          <cell r="I32">
            <v>0</v>
          </cell>
          <cell r="J32">
            <v>356.79999999981374</v>
          </cell>
          <cell r="K32">
            <v>1747</v>
          </cell>
          <cell r="L32">
            <v>0</v>
          </cell>
          <cell r="M32">
            <v>7986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48381</v>
          </cell>
          <cell r="G33">
            <v>27619.09999999986</v>
          </cell>
          <cell r="H33">
            <v>3130.8999999999069</v>
          </cell>
          <cell r="I33">
            <v>-1110.7999999998137</v>
          </cell>
          <cell r="J33">
            <v>-981.94000000000233</v>
          </cell>
          <cell r="K33">
            <v>0</v>
          </cell>
          <cell r="L33">
            <v>5314</v>
          </cell>
          <cell r="M33">
            <v>6650</v>
          </cell>
          <cell r="N33">
            <v>6765</v>
          </cell>
          <cell r="O33">
            <v>3627</v>
          </cell>
          <cell r="P33">
            <v>21863</v>
          </cell>
          <cell r="Q33">
            <v>34832.5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2703.5</v>
          </cell>
          <cell r="G34">
            <v>749</v>
          </cell>
          <cell r="H34">
            <v>24168</v>
          </cell>
          <cell r="I34">
            <v>11973</v>
          </cell>
          <cell r="J34">
            <v>9953.5</v>
          </cell>
          <cell r="K34">
            <v>23196.700000000186</v>
          </cell>
          <cell r="L34">
            <v>101949</v>
          </cell>
          <cell r="M34">
            <v>70314</v>
          </cell>
          <cell r="N34">
            <v>52023</v>
          </cell>
          <cell r="O34">
            <v>17635.5</v>
          </cell>
          <cell r="P34">
            <v>2534.5</v>
          </cell>
          <cell r="Q34">
            <v>7714.5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13490</v>
          </cell>
          <cell r="G35">
            <v>8628.5</v>
          </cell>
          <cell r="H35">
            <v>2152.8000000002794</v>
          </cell>
          <cell r="I35">
            <v>3717.9599999999627</v>
          </cell>
          <cell r="J35">
            <v>1966.839999999851</v>
          </cell>
          <cell r="K35">
            <v>6357.7999999998137</v>
          </cell>
          <cell r="L35">
            <v>6935</v>
          </cell>
          <cell r="M35">
            <v>17258.200000000186</v>
          </cell>
          <cell r="N35">
            <v>21497.60000000149</v>
          </cell>
          <cell r="O35">
            <v>-4750.2999999998137</v>
          </cell>
          <cell r="P35">
            <v>18674.200000000186</v>
          </cell>
          <cell r="Q35">
            <v>20681.399999999441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21</v>
          </cell>
          <cell r="G36">
            <v>0</v>
          </cell>
          <cell r="H36">
            <v>778.5</v>
          </cell>
          <cell r="I36">
            <v>245.79999999981374</v>
          </cell>
          <cell r="J36">
            <v>15.5</v>
          </cell>
          <cell r="K36">
            <v>0</v>
          </cell>
          <cell r="L36">
            <v>0</v>
          </cell>
          <cell r="M36">
            <v>2590</v>
          </cell>
          <cell r="N36">
            <v>0</v>
          </cell>
          <cell r="O36">
            <v>18.5</v>
          </cell>
          <cell r="P36">
            <v>0.91000000000349246</v>
          </cell>
          <cell r="Q36">
            <v>275.77999999999884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-48.285000000032596</v>
          </cell>
          <cell r="H38">
            <v>0</v>
          </cell>
          <cell r="I38">
            <v>0</v>
          </cell>
          <cell r="J38">
            <v>-39.580650000018068</v>
          </cell>
          <cell r="K38">
            <v>-273.15119999996386</v>
          </cell>
          <cell r="L38">
            <v>0</v>
          </cell>
          <cell r="M38">
            <v>-332.61228000000119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64595.5</v>
          </cell>
          <cell r="G41">
            <v>37022.314999997616</v>
          </cell>
          <cell r="H41">
            <v>30230.199999999255</v>
          </cell>
          <cell r="I41">
            <v>14825.960000000894</v>
          </cell>
          <cell r="J41">
            <v>11271.119349999353</v>
          </cell>
          <cell r="K41">
            <v>31028.348799996078</v>
          </cell>
          <cell r="L41">
            <v>114198</v>
          </cell>
          <cell r="M41">
            <v>104465.58771999925</v>
          </cell>
          <cell r="N41">
            <v>80285.59999999404</v>
          </cell>
          <cell r="O41">
            <v>16530.699999999255</v>
          </cell>
          <cell r="P41">
            <v>43072.609999999404</v>
          </cell>
          <cell r="Q41">
            <v>63504.180000003427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64595.5</v>
          </cell>
          <cell r="G43">
            <v>37022.314999997616</v>
          </cell>
          <cell r="H43">
            <v>30230.199999999255</v>
          </cell>
          <cell r="I43">
            <v>14825.960000000894</v>
          </cell>
          <cell r="J43">
            <v>11271.119349999353</v>
          </cell>
          <cell r="K43">
            <v>31028.348799996078</v>
          </cell>
          <cell r="L43">
            <v>114198</v>
          </cell>
          <cell r="M43">
            <v>104465.58771999925</v>
          </cell>
          <cell r="N43">
            <v>80285.59999999404</v>
          </cell>
          <cell r="O43">
            <v>16530.699999999255</v>
          </cell>
          <cell r="P43">
            <v>43072.609999999404</v>
          </cell>
          <cell r="Q43">
            <v>63504.180000003427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4">
          <cell r="F194">
            <v>0</v>
          </cell>
          <cell r="G194">
            <v>-287.49099999999453</v>
          </cell>
          <cell r="H194">
            <v>0</v>
          </cell>
          <cell r="I194">
            <v>0</v>
          </cell>
          <cell r="J194">
            <v>-167.42499999999927</v>
          </cell>
          <cell r="K194">
            <v>-1495.4061399999991</v>
          </cell>
          <cell r="L194">
            <v>-6403.2659999999887</v>
          </cell>
          <cell r="M194">
            <v>-32722.819999999949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</row>
        <row r="195">
          <cell r="F195">
            <v>-32573.09999999986</v>
          </cell>
          <cell r="G195">
            <v>-70334.799999999814</v>
          </cell>
          <cell r="H195">
            <v>-29064.100000000093</v>
          </cell>
          <cell r="I195">
            <v>-15978.300000000047</v>
          </cell>
          <cell r="J195">
            <v>-15888.360000000102</v>
          </cell>
          <cell r="K195">
            <v>0</v>
          </cell>
          <cell r="L195">
            <v>-14095.23000000001</v>
          </cell>
          <cell r="M195">
            <v>0</v>
          </cell>
          <cell r="N195">
            <v>0</v>
          </cell>
          <cell r="O195">
            <v>-5594.8399999999965</v>
          </cell>
          <cell r="P195">
            <v>-23619.439999999944</v>
          </cell>
          <cell r="Q195">
            <v>-49091.59999999986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6">
          <cell r="F196">
            <v>-7857.3399999999965</v>
          </cell>
          <cell r="G196">
            <v>-16107.199999999953</v>
          </cell>
          <cell r="H196">
            <v>-60392.800000000047</v>
          </cell>
          <cell r="I196">
            <v>-41691.800000000047</v>
          </cell>
          <cell r="J196">
            <v>-36097</v>
          </cell>
          <cell r="K196">
            <v>-61195.899999999907</v>
          </cell>
          <cell r="L196">
            <v>-192009</v>
          </cell>
          <cell r="M196">
            <v>-272211</v>
          </cell>
          <cell r="N196">
            <v>-92209.400000000373</v>
          </cell>
          <cell r="O196">
            <v>-20863.97000000003</v>
          </cell>
          <cell r="P196">
            <v>-1511.1130000000012</v>
          </cell>
          <cell r="Q196">
            <v>-16168.939999999944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</row>
        <row r="197">
          <cell r="F197">
            <v>0</v>
          </cell>
          <cell r="G197">
            <v>0</v>
          </cell>
          <cell r="H197">
            <v>-1140.1320000000123</v>
          </cell>
          <cell r="I197">
            <v>-4.2430800000001909</v>
          </cell>
          <cell r="J197">
            <v>-373.69000000000233</v>
          </cell>
          <cell r="K197">
            <v>5000.3600000000006</v>
          </cell>
          <cell r="L197">
            <v>0</v>
          </cell>
          <cell r="M197">
            <v>0</v>
          </cell>
          <cell r="N197">
            <v>0</v>
          </cell>
          <cell r="O197">
            <v>-10473.913</v>
          </cell>
          <cell r="P197">
            <v>-169.51200000000244</v>
          </cell>
          <cell r="Q197">
            <v>-809.87900000000081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</row>
        <row r="203">
          <cell r="F203">
            <v>-40430.439999999711</v>
          </cell>
          <cell r="G203">
            <v>-86729.490999999922</v>
          </cell>
          <cell r="H203">
            <v>-90597.032000000123</v>
          </cell>
          <cell r="I203">
            <v>-57674.343080000486</v>
          </cell>
          <cell r="J203">
            <v>-52526.474999999627</v>
          </cell>
          <cell r="K203">
            <v>-57690.946139999898</v>
          </cell>
          <cell r="L203">
            <v>-212507.49600000028</v>
          </cell>
          <cell r="M203">
            <v>-304933.8200000003</v>
          </cell>
          <cell r="N203">
            <v>-92209.400000000373</v>
          </cell>
          <cell r="O203">
            <v>-36932.722999999998</v>
          </cell>
          <cell r="P203">
            <v>-25300.064999999944</v>
          </cell>
          <cell r="Q203">
            <v>-66070.419000000227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</row>
        <row r="205">
          <cell r="A205" t="str">
            <v>Total Purchased Power &amp; Net Interchange</v>
          </cell>
          <cell r="F205">
            <v>-40430.439999997616</v>
          </cell>
          <cell r="G205">
            <v>-86729.490999996662</v>
          </cell>
          <cell r="H205">
            <v>-90597.032000005245</v>
          </cell>
          <cell r="I205">
            <v>-57674.34308000654</v>
          </cell>
          <cell r="J205">
            <v>-52526.47500000149</v>
          </cell>
          <cell r="K205">
            <v>-57690.946139998734</v>
          </cell>
          <cell r="L205">
            <v>-212507.49599999934</v>
          </cell>
          <cell r="M205">
            <v>-304933.81999999285</v>
          </cell>
          <cell r="N205">
            <v>-92209.39999999851</v>
          </cell>
          <cell r="O205">
            <v>-36932.722999997437</v>
          </cell>
          <cell r="P205">
            <v>-25300.064999997616</v>
          </cell>
          <cell r="Q205">
            <v>-66070.418999999762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</row>
        <row r="206">
          <cell r="CE206" t="e">
            <v>#DIV/0!</v>
          </cell>
          <cell r="CF206" t="e">
            <v>#DIV/0!</v>
          </cell>
          <cell r="CG206" t="e">
            <v>#DIV/0!</v>
          </cell>
          <cell r="CH206" t="e">
            <v>#DIV/0!</v>
          </cell>
          <cell r="CI206" t="e">
            <v>#DIV/0!</v>
          </cell>
          <cell r="CJ206" t="e">
            <v>#DIV/0!</v>
          </cell>
          <cell r="CK206" t="e">
            <v>#DIV/0!</v>
          </cell>
          <cell r="CL206" t="e">
            <v>#DIV/0!</v>
          </cell>
          <cell r="CM206" t="e">
            <v>#DIV/0!</v>
          </cell>
          <cell r="CN206" t="e">
            <v>#DIV/0!</v>
          </cell>
        </row>
        <row r="207">
          <cell r="A207" t="str">
            <v>Wheeling &amp; U. of F. Expense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  <cell r="W209" t="e">
            <v>#N/A</v>
          </cell>
          <cell r="X209" t="e">
            <v>#N/A</v>
          </cell>
          <cell r="Y209" t="e">
            <v>#N/A</v>
          </cell>
          <cell r="Z209" t="e">
            <v>#N/A</v>
          </cell>
          <cell r="AA209" t="e">
            <v>#N/A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 t="e">
            <v>#N/A</v>
          </cell>
          <cell r="AH209" t="e">
            <v>#N/A</v>
          </cell>
          <cell r="AI209" t="e">
            <v>#N/A</v>
          </cell>
          <cell r="AJ209" t="e">
            <v>#N/A</v>
          </cell>
          <cell r="AK209" t="e">
            <v>#N/A</v>
          </cell>
          <cell r="AL209" t="e">
            <v>#N/A</v>
          </cell>
          <cell r="AM209" t="e">
            <v>#N/A</v>
          </cell>
          <cell r="AN209" t="e">
            <v>#N/A</v>
          </cell>
          <cell r="AO209" t="e">
            <v>#N/A</v>
          </cell>
          <cell r="AP209" t="e">
            <v>#N/A</v>
          </cell>
          <cell r="AQ209" t="e">
            <v>#N/A</v>
          </cell>
          <cell r="AR209" t="e">
            <v>#N/A</v>
          </cell>
          <cell r="AS209" t="e">
            <v>#N/A</v>
          </cell>
          <cell r="AT209" t="e">
            <v>#N/A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F209" t="e">
            <v>#N/A</v>
          </cell>
          <cell r="CG209" t="e">
            <v>#N/A</v>
          </cell>
          <cell r="CH209" t="e">
            <v>#N/A</v>
          </cell>
          <cell r="CI209" t="e">
            <v>#N/A</v>
          </cell>
          <cell r="CJ209" t="e">
            <v>#N/A</v>
          </cell>
          <cell r="CK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CV209" t="e">
            <v>#N/A</v>
          </cell>
          <cell r="CW209" t="e">
            <v>#N/A</v>
          </cell>
          <cell r="CX209" t="e">
            <v>#N/A</v>
          </cell>
          <cell r="CY209" t="e">
            <v>#N/A</v>
          </cell>
          <cell r="CZ209" t="e">
            <v>#N/A</v>
          </cell>
          <cell r="DA209" t="e">
            <v>#N/A</v>
          </cell>
          <cell r="DB209" t="e">
            <v>#N/A</v>
          </cell>
          <cell r="DC209" t="e">
            <v>#N/A</v>
          </cell>
          <cell r="DD209" t="e">
            <v>#N/A</v>
          </cell>
          <cell r="DE209" t="e">
            <v>#N/A</v>
          </cell>
          <cell r="DF209" t="e">
            <v>#N/A</v>
          </cell>
          <cell r="DG209" t="e">
            <v>#N/A</v>
          </cell>
          <cell r="DH209" t="e">
            <v>#N/A</v>
          </cell>
          <cell r="DI209" t="e">
            <v>#N/A</v>
          </cell>
          <cell r="DJ209" t="e">
            <v>#N/A</v>
          </cell>
          <cell r="DK209" t="e">
            <v>#N/A</v>
          </cell>
          <cell r="DL209" t="e">
            <v>#N/A</v>
          </cell>
          <cell r="DM209" t="e">
            <v>#N/A</v>
          </cell>
          <cell r="DN209" t="e">
            <v>#N/A</v>
          </cell>
          <cell r="DO209" t="e">
            <v>#N/A</v>
          </cell>
          <cell r="DP209" t="e">
            <v>#N/A</v>
          </cell>
          <cell r="DQ209" t="e">
            <v>#N/A</v>
          </cell>
          <cell r="DR209" t="e">
            <v>#N/A</v>
          </cell>
          <cell r="DS209" t="e">
            <v>#N/A</v>
          </cell>
          <cell r="DT209" t="e">
            <v>#N/A</v>
          </cell>
          <cell r="DU209" t="e">
            <v>#N/A</v>
          </cell>
          <cell r="DV209" t="e">
            <v>#N/A</v>
          </cell>
          <cell r="DW209" t="e">
            <v>#N/A</v>
          </cell>
          <cell r="DX209" t="e">
            <v>#N/A</v>
          </cell>
          <cell r="DY209" t="e">
            <v>#N/A</v>
          </cell>
          <cell r="DZ209" t="e">
            <v>#N/A</v>
          </cell>
          <cell r="EA209" t="e">
            <v>#N/A</v>
          </cell>
          <cell r="EB209" t="e">
            <v>#N/A</v>
          </cell>
          <cell r="EC209" t="e">
            <v>#N/A</v>
          </cell>
          <cell r="ED209" t="e">
            <v>#N/A</v>
          </cell>
        </row>
        <row r="210">
          <cell r="F210">
            <v>749.20929999999862</v>
          </cell>
          <cell r="G210">
            <v>56.271700000000237</v>
          </cell>
          <cell r="H210">
            <v>-17.844279999999799</v>
          </cell>
          <cell r="I210">
            <v>0</v>
          </cell>
          <cell r="J210">
            <v>-3.9600039999999694</v>
          </cell>
          <cell r="K210">
            <v>-20.428670000000011</v>
          </cell>
          <cell r="L210">
            <v>89.097476</v>
          </cell>
          <cell r="M210">
            <v>-11.12329999999929</v>
          </cell>
          <cell r="N210">
            <v>-4.668999999999869</v>
          </cell>
          <cell r="O210">
            <v>13.965099999999893</v>
          </cell>
          <cell r="P210">
            <v>-107.27599999999802</v>
          </cell>
          <cell r="Q210">
            <v>-69.760300000001735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</row>
        <row r="212">
          <cell r="A212" t="str">
            <v>Total Wheeling &amp; U. of F. Expense</v>
          </cell>
          <cell r="F212">
            <v>749.20930000022054</v>
          </cell>
          <cell r="G212">
            <v>56.27170000039041</v>
          </cell>
          <cell r="H212">
            <v>-17.844280000776052</v>
          </cell>
          <cell r="I212">
            <v>0</v>
          </cell>
          <cell r="J212">
            <v>-3.9600039999932051</v>
          </cell>
          <cell r="K212">
            <v>-20.42867000028491</v>
          </cell>
          <cell r="L212">
            <v>89.097475999966264</v>
          </cell>
          <cell r="M212">
            <v>-11.123299999162555</v>
          </cell>
          <cell r="N212">
            <v>-4.6690000016242266</v>
          </cell>
          <cell r="O212">
            <v>13.965099999681115</v>
          </cell>
          <cell r="P212">
            <v>-107.2759999986738</v>
          </cell>
          <cell r="Q212">
            <v>-69.760299999266863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  <cell r="BN212" t="e">
            <v>#N/A</v>
          </cell>
          <cell r="BO212" t="e">
            <v>#N/A</v>
          </cell>
          <cell r="BP212" t="e">
            <v>#N/A</v>
          </cell>
          <cell r="BQ212" t="e">
            <v>#N/A</v>
          </cell>
          <cell r="BR212" t="e">
            <v>#N/A</v>
          </cell>
          <cell r="BS212" t="e">
            <v>#N/A</v>
          </cell>
          <cell r="BT212" t="e">
            <v>#N/A</v>
          </cell>
          <cell r="BU212" t="e">
            <v>#N/A</v>
          </cell>
          <cell r="BV212" t="e">
            <v>#N/A</v>
          </cell>
          <cell r="BW212" t="e">
            <v>#N/A</v>
          </cell>
          <cell r="BX212" t="e">
            <v>#N/A</v>
          </cell>
          <cell r="BY212" t="e">
            <v>#N/A</v>
          </cell>
          <cell r="BZ212" t="e">
            <v>#N/A</v>
          </cell>
          <cell r="CA212" t="e">
            <v>#N/A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F212" t="e">
            <v>#N/A</v>
          </cell>
          <cell r="CG212" t="e">
            <v>#N/A</v>
          </cell>
          <cell r="CH212" t="e">
            <v>#N/A</v>
          </cell>
          <cell r="CI212" t="e">
            <v>#N/A</v>
          </cell>
          <cell r="CJ212" t="e">
            <v>#N/A</v>
          </cell>
          <cell r="CK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P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CV212" t="e">
            <v>#N/A</v>
          </cell>
          <cell r="CW212" t="e">
            <v>#N/A</v>
          </cell>
          <cell r="CX212" t="e">
            <v>#N/A</v>
          </cell>
          <cell r="CY212" t="e">
            <v>#N/A</v>
          </cell>
          <cell r="CZ212" t="e">
            <v>#N/A</v>
          </cell>
          <cell r="DA212" t="e">
            <v>#N/A</v>
          </cell>
          <cell r="DB212" t="e">
            <v>#N/A</v>
          </cell>
          <cell r="DC212" t="e">
            <v>#N/A</v>
          </cell>
          <cell r="DD212" t="e">
            <v>#N/A</v>
          </cell>
          <cell r="DE212" t="e">
            <v>#N/A</v>
          </cell>
          <cell r="DF212" t="e">
            <v>#N/A</v>
          </cell>
          <cell r="DG212" t="e">
            <v>#N/A</v>
          </cell>
          <cell r="DH212" t="e">
            <v>#N/A</v>
          </cell>
          <cell r="DI212" t="e">
            <v>#N/A</v>
          </cell>
          <cell r="DJ212" t="e">
            <v>#N/A</v>
          </cell>
          <cell r="DK212" t="e">
            <v>#N/A</v>
          </cell>
          <cell r="DL212" t="e">
            <v>#N/A</v>
          </cell>
          <cell r="DM212" t="e">
            <v>#N/A</v>
          </cell>
          <cell r="DN212" t="e">
            <v>#N/A</v>
          </cell>
          <cell r="DO212" t="e">
            <v>#N/A</v>
          </cell>
          <cell r="DP212" t="e">
            <v>#N/A</v>
          </cell>
          <cell r="DQ212" t="e">
            <v>#N/A</v>
          </cell>
          <cell r="DR212" t="e">
            <v>#N/A</v>
          </cell>
          <cell r="DS212" t="e">
            <v>#N/A</v>
          </cell>
          <cell r="DT212" t="e">
            <v>#N/A</v>
          </cell>
          <cell r="DU212" t="e">
            <v>#N/A</v>
          </cell>
          <cell r="DV212" t="e">
            <v>#N/A</v>
          </cell>
          <cell r="DW212" t="e">
            <v>#N/A</v>
          </cell>
          <cell r="DX212" t="e">
            <v>#N/A</v>
          </cell>
          <cell r="DY212" t="e">
            <v>#N/A</v>
          </cell>
          <cell r="DZ212" t="e">
            <v>#N/A</v>
          </cell>
          <cell r="EA212" t="e">
            <v>#N/A</v>
          </cell>
          <cell r="EB212" t="e">
            <v>#N/A</v>
          </cell>
          <cell r="EC212" t="e">
            <v>#N/A</v>
          </cell>
          <cell r="ED212" t="e">
            <v>#N/A</v>
          </cell>
          <cell r="EE212">
            <v>0</v>
          </cell>
        </row>
        <row r="214">
          <cell r="A214" t="str">
            <v>Coal Fuel Burn Expense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-657.47608623723499</v>
          </cell>
          <cell r="G216">
            <v>-1031.8541000704281</v>
          </cell>
          <cell r="H216">
            <v>-1127.9611005173065</v>
          </cell>
          <cell r="I216">
            <v>-2041.1308447341435</v>
          </cell>
          <cell r="J216">
            <v>-212.46721677365713</v>
          </cell>
          <cell r="K216">
            <v>-767.75778380059637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-438.11307086609304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7">
          <cell r="F217">
            <v>-4424.0277587510645</v>
          </cell>
          <cell r="G217">
            <v>-2186.1415809036698</v>
          </cell>
          <cell r="H217">
            <v>-2631.6693245936185</v>
          </cell>
          <cell r="I217">
            <v>-2201.4789499975741</v>
          </cell>
          <cell r="J217">
            <v>-774.39340427005664</v>
          </cell>
          <cell r="K217">
            <v>-3925.7577281750273</v>
          </cell>
          <cell r="L217">
            <v>-512.62661972828209</v>
          </cell>
          <cell r="M217">
            <v>-1861.1990400920622</v>
          </cell>
          <cell r="N217">
            <v>-1378.3171086073853</v>
          </cell>
          <cell r="O217">
            <v>-3332.487323208712</v>
          </cell>
          <cell r="P217">
            <v>-1873.5771593607496</v>
          </cell>
          <cell r="Q217">
            <v>-3534.0206913077272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</row>
        <row r="218">
          <cell r="F218">
            <v>-1470.2349759209901</v>
          </cell>
          <cell r="G218">
            <v>-391.55194032285362</v>
          </cell>
          <cell r="H218">
            <v>-1158.3127834610641</v>
          </cell>
          <cell r="I218">
            <v>-1623.3445525839925</v>
          </cell>
          <cell r="J218">
            <v>-1602.1283958181739</v>
          </cell>
          <cell r="K218">
            <v>-206.67132850270718</v>
          </cell>
          <cell r="L218">
            <v>-220.52460638992488</v>
          </cell>
          <cell r="M218">
            <v>0</v>
          </cell>
          <cell r="N218">
            <v>0</v>
          </cell>
          <cell r="O218">
            <v>0</v>
          </cell>
          <cell r="P218">
            <v>-203.7134089525789</v>
          </cell>
          <cell r="Q218">
            <v>-104.69758404325694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19">
          <cell r="F219">
            <v>-4926.1153034479357</v>
          </cell>
          <cell r="G219">
            <v>-3666.1843711410183</v>
          </cell>
          <cell r="H219">
            <v>-952.83165074372664</v>
          </cell>
          <cell r="I219">
            <v>-407.36184901464731</v>
          </cell>
          <cell r="J219">
            <v>-546.62612158420961</v>
          </cell>
          <cell r="K219">
            <v>-940.08804233872797</v>
          </cell>
          <cell r="L219">
            <v>-2214.5211528306827</v>
          </cell>
          <cell r="M219">
            <v>-2326.5396388104418</v>
          </cell>
          <cell r="N219">
            <v>-1772.8792381065432</v>
          </cell>
          <cell r="O219">
            <v>-1494.2302429825068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</row>
        <row r="220">
          <cell r="F220">
            <v>-30856.909867726266</v>
          </cell>
          <cell r="G220">
            <v>-32120.598862307146</v>
          </cell>
          <cell r="H220">
            <v>-31469.836865099147</v>
          </cell>
          <cell r="I220">
            <v>-36237.47454466112</v>
          </cell>
          <cell r="J220">
            <v>-55056.011263992637</v>
          </cell>
          <cell r="K220">
            <v>-36479.355343623087</v>
          </cell>
          <cell r="L220">
            <v>-10951.093953058124</v>
          </cell>
          <cell r="M220">
            <v>-7842.7019663807005</v>
          </cell>
          <cell r="N220">
            <v>-25763.002889564261</v>
          </cell>
          <cell r="O220">
            <v>-38224.700336143374</v>
          </cell>
          <cell r="P220">
            <v>-45392.787805413827</v>
          </cell>
          <cell r="Q220">
            <v>-33364.218856979162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</row>
        <row r="221">
          <cell r="F221">
            <v>-8535.5199128091335</v>
          </cell>
          <cell r="G221">
            <v>-12389.279873443767</v>
          </cell>
          <cell r="H221">
            <v>-19842.39979730919</v>
          </cell>
          <cell r="I221">
            <v>-24721.279747471213</v>
          </cell>
          <cell r="J221">
            <v>-33330.399659529328</v>
          </cell>
          <cell r="K221">
            <v>-10740.319890286773</v>
          </cell>
          <cell r="L221">
            <v>-7295.0399254821241</v>
          </cell>
          <cell r="M221">
            <v>-3355.6799657195807</v>
          </cell>
          <cell r="N221">
            <v>-1775.6799818612635</v>
          </cell>
          <cell r="O221">
            <v>-12959.359867617488</v>
          </cell>
          <cell r="P221">
            <v>-11755.999879911542</v>
          </cell>
          <cell r="Q221">
            <v>-9933.2798985317349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2">
          <cell r="F222">
            <v>-79919.842127744108</v>
          </cell>
          <cell r="G222">
            <v>-56521.64550403133</v>
          </cell>
          <cell r="H222">
            <v>-65313.882042877376</v>
          </cell>
          <cell r="I222">
            <v>-36327.446632610634</v>
          </cell>
          <cell r="J222">
            <v>-34557.585996868089</v>
          </cell>
          <cell r="K222">
            <v>-73565.813543027267</v>
          </cell>
          <cell r="L222">
            <v>-89067.67218573764</v>
          </cell>
          <cell r="M222">
            <v>-98239.266763668507</v>
          </cell>
          <cell r="N222">
            <v>-85388.046244585887</v>
          </cell>
          <cell r="O222">
            <v>-76499.519685970619</v>
          </cell>
          <cell r="P222">
            <v>-71337.472528390586</v>
          </cell>
          <cell r="Q222">
            <v>-59248.763257471845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</row>
        <row r="223">
          <cell r="F223">
            <v>-37253.65678713657</v>
          </cell>
          <cell r="G223">
            <v>-42031.84265418211</v>
          </cell>
          <cell r="H223">
            <v>-9194.0928981062025</v>
          </cell>
          <cell r="I223">
            <v>-7173.065600504633</v>
          </cell>
          <cell r="J223">
            <v>-4268.8719926902559</v>
          </cell>
          <cell r="K223">
            <v>-7734.4858342825901</v>
          </cell>
          <cell r="L223">
            <v>-24585.345327533316</v>
          </cell>
          <cell r="M223">
            <v>-20777.228409735486</v>
          </cell>
          <cell r="N223">
            <v>-19414.160264843144</v>
          </cell>
          <cell r="O223">
            <v>-14132.598283375148</v>
          </cell>
          <cell r="P223">
            <v>-14628.728317876812</v>
          </cell>
          <cell r="Q223">
            <v>-25829.280873747077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F224">
            <v>0</v>
          </cell>
          <cell r="G224">
            <v>-830.96182439825498</v>
          </cell>
          <cell r="H224">
            <v>-253.87884634942748</v>
          </cell>
          <cell r="I224">
            <v>-1474.0744884929154</v>
          </cell>
          <cell r="J224">
            <v>-1572.2362677487545</v>
          </cell>
          <cell r="K224">
            <v>-1303.4095245585777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-135.11957144597545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</row>
        <row r="226">
          <cell r="A226" t="str">
            <v>Total Coal Fuel Burn Expense</v>
          </cell>
          <cell r="F226">
            <v>-168043.78281977028</v>
          </cell>
          <cell r="G226">
            <v>-151170.06071079522</v>
          </cell>
          <cell r="H226">
            <v>-131944.86530904472</v>
          </cell>
          <cell r="I226">
            <v>-112206.65721007437</v>
          </cell>
          <cell r="J226">
            <v>-131920.72031926364</v>
          </cell>
          <cell r="K226">
            <v>-135663.6590185836</v>
          </cell>
          <cell r="L226">
            <v>-134846.82377075404</v>
          </cell>
          <cell r="M226">
            <v>-134402.61578440666</v>
          </cell>
          <cell r="N226">
            <v>-135492.08572757244</v>
          </cell>
          <cell r="O226">
            <v>-146642.89573930204</v>
          </cell>
          <cell r="P226">
            <v>-145630.39217077196</v>
          </cell>
          <cell r="Q226">
            <v>-132149.38073352724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8">
          <cell r="A228" t="str">
            <v>Gas Fuel Burn Expense</v>
          </cell>
        </row>
        <row r="229">
          <cell r="F229">
            <v>-1705.7365000005811</v>
          </cell>
          <cell r="G229">
            <v>-3423.3799999998882</v>
          </cell>
          <cell r="H229">
            <v>-3958.9710000008345</v>
          </cell>
          <cell r="I229">
            <v>-7214.0673586539924</v>
          </cell>
          <cell r="J229">
            <v>-4825.6053840643726</v>
          </cell>
          <cell r="K229">
            <v>-4109.463642903138</v>
          </cell>
          <cell r="L229">
            <v>-13104.957599999383</v>
          </cell>
          <cell r="M229">
            <v>-17686.767399999313</v>
          </cell>
          <cell r="N229">
            <v>-22814.288499999791</v>
          </cell>
          <cell r="O229">
            <v>-19396.346199944615</v>
          </cell>
          <cell r="P229">
            <v>-3277.7653549388051</v>
          </cell>
          <cell r="Q229">
            <v>-2019.7132306322455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1">
          <cell r="F231">
            <v>-18853.286887429655</v>
          </cell>
          <cell r="G231">
            <v>-9638.2469124402851</v>
          </cell>
          <cell r="H231">
            <v>-11210.353420619853</v>
          </cell>
          <cell r="I231">
            <v>-8556.5147106493823</v>
          </cell>
          <cell r="J231">
            <v>-4702.7147384877317</v>
          </cell>
          <cell r="K231">
            <v>-13054.142021071166</v>
          </cell>
          <cell r="L231">
            <v>-6832.5865572616458</v>
          </cell>
          <cell r="M231">
            <v>-7619.653063070029</v>
          </cell>
          <cell r="N231">
            <v>-16402.090746467002</v>
          </cell>
          <cell r="O231">
            <v>-9450.0768518382683</v>
          </cell>
          <cell r="P231">
            <v>-13333.125318834558</v>
          </cell>
          <cell r="Q231">
            <v>-11867.177765031345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</row>
        <row r="232">
          <cell r="F232">
            <v>-273.59108752489556</v>
          </cell>
          <cell r="G232">
            <v>-152.42568169918377</v>
          </cell>
          <cell r="H232">
            <v>-49.622227984364145</v>
          </cell>
          <cell r="I232">
            <v>18.559265518968459</v>
          </cell>
          <cell r="J232">
            <v>18.703591879748274</v>
          </cell>
          <cell r="K232">
            <v>54.955174879636616</v>
          </cell>
          <cell r="L232">
            <v>-36.109736588317901</v>
          </cell>
          <cell r="M232">
            <v>-34.623067942680791</v>
          </cell>
          <cell r="N232">
            <v>-75.47816474433057</v>
          </cell>
          <cell r="O232">
            <v>49.384374486748129</v>
          </cell>
          <cell r="P232">
            <v>-22.042839472880587</v>
          </cell>
          <cell r="Q232">
            <v>-108.19099438353442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-2321.3396027677227</v>
          </cell>
          <cell r="G233">
            <v>-2827.8488834874006</v>
          </cell>
          <cell r="H233">
            <v>-1203.2049533640966</v>
          </cell>
          <cell r="I233">
            <v>-1998.1006676654797</v>
          </cell>
          <cell r="J233">
            <v>-2257.0030556686688</v>
          </cell>
          <cell r="K233">
            <v>-2347.4641952571692</v>
          </cell>
          <cell r="L233">
            <v>-1481.2081228694879</v>
          </cell>
          <cell r="M233">
            <v>-4457.5252752311062</v>
          </cell>
          <cell r="N233">
            <v>-6583.8078177173156</v>
          </cell>
          <cell r="O233">
            <v>-2187.0042803555261</v>
          </cell>
          <cell r="P233">
            <v>-4697.9651253117481</v>
          </cell>
          <cell r="Q233">
            <v>-2494.1296037117718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-2862.8046413459815</v>
          </cell>
          <cell r="J234">
            <v>-42.330215935653541</v>
          </cell>
          <cell r="K234">
            <v>-1168.9868570966646</v>
          </cell>
          <cell r="L234">
            <v>0</v>
          </cell>
          <cell r="M234">
            <v>0</v>
          </cell>
          <cell r="N234">
            <v>0</v>
          </cell>
          <cell r="O234">
            <v>-7394.0478000552393</v>
          </cell>
          <cell r="P234">
            <v>-4823.1857450618409</v>
          </cell>
          <cell r="Q234">
            <v>-8370.5418693674728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5">
          <cell r="F235">
            <v>-24282.293584042229</v>
          </cell>
          <cell r="G235">
            <v>-17070.11427641008</v>
          </cell>
          <cell r="H235">
            <v>-22778.387533905916</v>
          </cell>
          <cell r="I235">
            <v>-9839.3304534899071</v>
          </cell>
          <cell r="J235">
            <v>-7902.1831431463361</v>
          </cell>
          <cell r="K235">
            <v>-11939.600723988377</v>
          </cell>
          <cell r="L235">
            <v>-5665.6157723115757</v>
          </cell>
          <cell r="M235">
            <v>-6592.6138028632849</v>
          </cell>
          <cell r="N235">
            <v>-15866.549109626561</v>
          </cell>
          <cell r="O235">
            <v>-17177.766981190071</v>
          </cell>
          <cell r="P235">
            <v>-19799.761162214912</v>
          </cell>
          <cell r="Q235">
            <v>-18979.806538834237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</row>
        <row r="236">
          <cell r="F236">
            <v>-11997.76298823487</v>
          </cell>
          <cell r="G236">
            <v>-8661.4923359630629</v>
          </cell>
          <cell r="H236">
            <v>-7643.401564125903</v>
          </cell>
          <cell r="I236">
            <v>-11135.190363714471</v>
          </cell>
          <cell r="J236">
            <v>-7574.1678745765239</v>
          </cell>
          <cell r="K236">
            <v>-21591.10444456432</v>
          </cell>
          <cell r="L236">
            <v>-19926.775520968251</v>
          </cell>
          <cell r="M236">
            <v>-21823.700130891055</v>
          </cell>
          <cell r="N236">
            <v>-12451.428291445598</v>
          </cell>
          <cell r="O236">
            <v>-14102.436761100776</v>
          </cell>
          <cell r="P236">
            <v>-13713.746944165789</v>
          </cell>
          <cell r="Q236">
            <v>-19875.555598038249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7">
          <cell r="F237">
            <v>-7165.6209999999846</v>
          </cell>
          <cell r="G237">
            <v>-7489.3252999999677</v>
          </cell>
          <cell r="H237">
            <v>-2533.0060000000231</v>
          </cell>
          <cell r="I237">
            <v>-2479.9370399999898</v>
          </cell>
          <cell r="J237">
            <v>-2714.4955999999947</v>
          </cell>
          <cell r="K237">
            <v>-6276.9500600000611</v>
          </cell>
          <cell r="L237">
            <v>-10169.916350000072</v>
          </cell>
          <cell r="M237">
            <v>-15174.757049999898</v>
          </cell>
          <cell r="N237">
            <v>-7056.1764299999923</v>
          </cell>
          <cell r="O237">
            <v>-5831.9897599999676</v>
          </cell>
          <cell r="P237">
            <v>-4143.985400000005</v>
          </cell>
          <cell r="Q237">
            <v>-6106.1072000000277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</row>
        <row r="238">
          <cell r="F238">
            <v>-66599.631650000811</v>
          </cell>
          <cell r="G238">
            <v>-49262.833390001208</v>
          </cell>
          <cell r="H238">
            <v>-49376.946700002998</v>
          </cell>
          <cell r="I238">
            <v>-44067.385969996452</v>
          </cell>
          <cell r="J238">
            <v>-29999.796419996768</v>
          </cell>
          <cell r="K238">
            <v>-60432.756770003587</v>
          </cell>
          <cell r="L238">
            <v>-57217.169659998268</v>
          </cell>
          <cell r="M238">
            <v>-73389.639789994806</v>
          </cell>
          <cell r="N238">
            <v>-81249.819060005248</v>
          </cell>
          <cell r="O238">
            <v>-75490.284260001034</v>
          </cell>
          <cell r="P238">
            <v>-63811.577890001237</v>
          </cell>
          <cell r="Q238">
            <v>-69821.222799997777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</row>
        <row r="244">
          <cell r="A244" t="str">
            <v>Total Gas Fuel Burn Expense</v>
          </cell>
          <cell r="F244">
            <v>-66599.631650000811</v>
          </cell>
          <cell r="G244">
            <v>-49262.833390001208</v>
          </cell>
          <cell r="H244">
            <v>-49376.946700002998</v>
          </cell>
          <cell r="I244">
            <v>-44067.385969996452</v>
          </cell>
          <cell r="J244">
            <v>-29999.796419996768</v>
          </cell>
          <cell r="K244">
            <v>-60432.756770003587</v>
          </cell>
          <cell r="L244">
            <v>-57217.169660001993</v>
          </cell>
          <cell r="M244">
            <v>-73389.639789991081</v>
          </cell>
          <cell r="N244">
            <v>-81249.819060005248</v>
          </cell>
          <cell r="O244">
            <v>-75490.284260001034</v>
          </cell>
          <cell r="P244">
            <v>-63811.577890001237</v>
          </cell>
          <cell r="Q244">
            <v>-69821.222799997777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</row>
        <row r="246">
          <cell r="A246" t="str">
            <v>Other Generation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-0.4867922999997063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2">
          <cell r="A272" t="str">
            <v>Total Other Generation</v>
          </cell>
          <cell r="F272">
            <v>0</v>
          </cell>
          <cell r="G272">
            <v>0</v>
          </cell>
          <cell r="H272">
            <v>0</v>
          </cell>
          <cell r="I272">
            <v>-0.4867922999997063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</row>
        <row r="274">
          <cell r="A274" t="str">
            <v>IRP Resources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IRP19Wind_YK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IRP19Wind_wS_PNC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IRP19Wind_wS_ID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IRP19Solar_BC_UT_UTS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IRP19Solar_BDC_UT_UTS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IRP19Solar_BC_UT_UTN_CP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09">
          <cell r="C309" t="str">
            <v>IRP19Solar_BDC_UT_UTN_CP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</row>
        <row r="310">
          <cell r="C310" t="str">
            <v>IRP19Solar_BC_UT_UTN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1">
          <cell r="C311" t="str">
            <v>IRP19Solar_BDC_UT_UTN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</row>
        <row r="312">
          <cell r="C312" t="str">
            <v>IRP19Solar_BC_WY_JB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</row>
        <row r="313">
          <cell r="C313" t="str">
            <v>IRP19Solar_BDC_WY_JB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IRP19Solar_BC_YK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IRP19Solar_BDC_YK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IRP19Solar_BC_OR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IRP19Solar_BDC_OR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IRP19Solar_BC_WYSW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IRP19Solar_BDC_WYSW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0">
          <cell r="C320" t="str">
            <v>IRP19Wind_BC_PNC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</row>
        <row r="321">
          <cell r="C321" t="str">
            <v>IRP19Wind_BDC_PNC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2">
          <cell r="C322" t="str">
            <v>IRP19Wind_BC_ID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</row>
        <row r="323">
          <cell r="C323" t="str">
            <v>IRP19Wind_BDC_ID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</row>
        <row r="324">
          <cell r="C324" t="str">
            <v>IRP19Wind_BC_YK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IRP19Wind_BDC_YK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IRP19Battery_C_UTS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IRP19Battery_DC_UTS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IRP19Battery_C_WYSW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IRP19Battery_DC_WYSW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IRP19Battery_C_ID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IRP19Battery_DC_ID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C332" t="str">
            <v>IRP19Battery_C_OR_SO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3">
          <cell r="C333" t="str">
            <v>IRP19Battery_DC_OR_SO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</row>
        <row r="334">
          <cell r="C334" t="str">
            <v>IRP19Battery_C_OR_WVP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C335" t="str">
            <v>IRP19Battery_DC_OR_WVP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</row>
        <row r="336">
          <cell r="C336" t="str">
            <v>IRP19Battery_C_WA_WW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C337" t="str">
            <v>IRP19Battery_DC_WA_WW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</row>
        <row r="338">
          <cell r="C338" t="str">
            <v>IRP19Battery_C_WA_YK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</row>
        <row r="339">
          <cell r="C339" t="str">
            <v>IRP19Battery_DC_WA_YK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</row>
        <row r="341">
          <cell r="C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8">
          <cell r="A348" t="str">
            <v>Total IRP Resources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50">
          <cell r="A350" t="str">
            <v>Growth Station Resources</v>
          </cell>
        </row>
        <row r="351">
          <cell r="C351" t="str">
            <v>Growth Station - E - Southwest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Growth Station - E - Utah North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Growth Station - E - Utah South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Growth Station - E - Wyoming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Growth Station - W - Jim Bridger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Growth Station - W - Mid Columbia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Growth Station - W - Oregon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9">
          <cell r="A359" t="str">
            <v>Total Growth Station Resources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F360" t="str">
            <v>=</v>
          </cell>
          <cell r="G360" t="str">
            <v>=</v>
          </cell>
          <cell r="H360" t="str">
            <v>=</v>
          </cell>
          <cell r="I360" t="str">
            <v>=</v>
          </cell>
          <cell r="J360" t="str">
            <v>=</v>
          </cell>
          <cell r="K360" t="str">
            <v>=</v>
          </cell>
          <cell r="L360" t="str">
            <v>=</v>
          </cell>
          <cell r="M360" t="str">
            <v>=</v>
          </cell>
          <cell r="N360" t="str">
            <v>=</v>
          </cell>
          <cell r="O360" t="str">
            <v>=</v>
          </cell>
          <cell r="P360" t="str">
            <v>=</v>
          </cell>
          <cell r="Q360" t="str">
            <v>=</v>
          </cell>
          <cell r="R360" t="str">
            <v>=</v>
          </cell>
          <cell r="S360" t="str">
            <v>=</v>
          </cell>
          <cell r="T360" t="str">
            <v>=</v>
          </cell>
          <cell r="U360" t="str">
            <v>=</v>
          </cell>
          <cell r="V360" t="str">
            <v>=</v>
          </cell>
          <cell r="W360" t="str">
            <v>=</v>
          </cell>
          <cell r="X360" t="str">
            <v>=</v>
          </cell>
          <cell r="Y360" t="str">
            <v>=</v>
          </cell>
          <cell r="Z360" t="str">
            <v>=</v>
          </cell>
          <cell r="AA360" t="str">
            <v>=</v>
          </cell>
          <cell r="AB360" t="str">
            <v>=</v>
          </cell>
          <cell r="AC360" t="str">
            <v>=</v>
          </cell>
          <cell r="AD360" t="str">
            <v>=</v>
          </cell>
          <cell r="AE360" t="str">
            <v>=</v>
          </cell>
          <cell r="AF360" t="str">
            <v>=</v>
          </cell>
          <cell r="AG360" t="str">
            <v>=</v>
          </cell>
          <cell r="AH360" t="str">
            <v>=</v>
          </cell>
          <cell r="AI360" t="str">
            <v>=</v>
          </cell>
          <cell r="AJ360" t="str">
            <v>=</v>
          </cell>
          <cell r="AK360" t="str">
            <v>=</v>
          </cell>
          <cell r="AL360" t="str">
            <v>=</v>
          </cell>
          <cell r="AM360" t="str">
            <v>=</v>
          </cell>
          <cell r="AN360" t="str">
            <v>=</v>
          </cell>
          <cell r="AO360" t="str">
            <v>=</v>
          </cell>
          <cell r="AP360" t="str">
            <v>=</v>
          </cell>
          <cell r="AQ360" t="str">
            <v>=</v>
          </cell>
          <cell r="AR360" t="str">
            <v>=</v>
          </cell>
          <cell r="AS360" t="str">
            <v>=</v>
          </cell>
          <cell r="AT360" t="str">
            <v>=</v>
          </cell>
          <cell r="AU360" t="str">
            <v>=</v>
          </cell>
          <cell r="AV360" t="str">
            <v>=</v>
          </cell>
          <cell r="AW360" t="str">
            <v>=</v>
          </cell>
          <cell r="AX360" t="str">
            <v>=</v>
          </cell>
          <cell r="AY360" t="str">
            <v>=</v>
          </cell>
          <cell r="AZ360" t="str">
            <v>=</v>
          </cell>
          <cell r="BA360" t="str">
            <v>=</v>
          </cell>
          <cell r="BB360" t="str">
            <v>=</v>
          </cell>
          <cell r="BC360" t="str">
            <v>=</v>
          </cell>
          <cell r="BD360" t="str">
            <v>=</v>
          </cell>
          <cell r="BE360" t="str">
            <v>=</v>
          </cell>
          <cell r="BF360" t="str">
            <v>=</v>
          </cell>
          <cell r="BG360" t="str">
            <v>=</v>
          </cell>
          <cell r="BH360" t="str">
            <v>=</v>
          </cell>
          <cell r="BI360" t="str">
            <v>=</v>
          </cell>
          <cell r="BJ360" t="str">
            <v>=</v>
          </cell>
          <cell r="BK360" t="str">
            <v>=</v>
          </cell>
          <cell r="BL360" t="str">
            <v>=</v>
          </cell>
          <cell r="BM360" t="str">
            <v>=</v>
          </cell>
          <cell r="BN360" t="str">
            <v>=</v>
          </cell>
          <cell r="BO360" t="str">
            <v>=</v>
          </cell>
          <cell r="BP360" t="str">
            <v>=</v>
          </cell>
          <cell r="BQ360" t="str">
            <v>=</v>
          </cell>
          <cell r="BR360" t="str">
            <v>=</v>
          </cell>
          <cell r="BS360" t="str">
            <v>=</v>
          </cell>
          <cell r="BT360" t="str">
            <v>=</v>
          </cell>
          <cell r="BU360" t="str">
            <v>=</v>
          </cell>
          <cell r="BV360" t="str">
            <v>=</v>
          </cell>
          <cell r="BW360" t="str">
            <v>=</v>
          </cell>
          <cell r="BX360" t="str">
            <v>=</v>
          </cell>
          <cell r="BY360" t="str">
            <v>=</v>
          </cell>
          <cell r="BZ360" t="str">
            <v>=</v>
          </cell>
          <cell r="CA360" t="str">
            <v>=</v>
          </cell>
          <cell r="CB360" t="str">
            <v>=</v>
          </cell>
          <cell r="CC360" t="str">
            <v>=</v>
          </cell>
          <cell r="CD360" t="str">
            <v>=</v>
          </cell>
          <cell r="CE360" t="str">
            <v>=</v>
          </cell>
          <cell r="CF360" t="str">
            <v>=</v>
          </cell>
          <cell r="CG360" t="str">
            <v>=</v>
          </cell>
          <cell r="CH360" t="str">
            <v>=</v>
          </cell>
          <cell r="CI360" t="str">
            <v>=</v>
          </cell>
          <cell r="CJ360" t="str">
            <v>=</v>
          </cell>
          <cell r="CK360" t="str">
            <v>=</v>
          </cell>
          <cell r="CL360" t="str">
            <v>=</v>
          </cell>
          <cell r="CM360" t="str">
            <v>=</v>
          </cell>
          <cell r="CN360" t="str">
            <v>=</v>
          </cell>
          <cell r="CO360" t="str">
            <v>=</v>
          </cell>
          <cell r="CP360" t="str">
            <v>=</v>
          </cell>
          <cell r="CQ360" t="str">
            <v>=</v>
          </cell>
          <cell r="CR360" t="str">
            <v>=</v>
          </cell>
          <cell r="CS360" t="str">
            <v>=</v>
          </cell>
          <cell r="CT360" t="str">
            <v>=</v>
          </cell>
          <cell r="CU360" t="str">
            <v>=</v>
          </cell>
          <cell r="CV360" t="str">
            <v>=</v>
          </cell>
          <cell r="CW360" t="str">
            <v>=</v>
          </cell>
          <cell r="CX360" t="str">
            <v>=</v>
          </cell>
          <cell r="CY360" t="str">
            <v>=</v>
          </cell>
          <cell r="CZ360" t="str">
            <v>=</v>
          </cell>
          <cell r="DA360" t="str">
            <v>=</v>
          </cell>
          <cell r="DB360" t="str">
            <v>=</v>
          </cell>
          <cell r="DC360" t="str">
            <v>=</v>
          </cell>
          <cell r="DD360" t="str">
            <v>=</v>
          </cell>
          <cell r="DE360" t="str">
            <v>=</v>
          </cell>
          <cell r="DF360" t="str">
            <v>=</v>
          </cell>
          <cell r="DG360" t="str">
            <v>=</v>
          </cell>
          <cell r="DH360" t="str">
            <v>=</v>
          </cell>
          <cell r="DI360" t="str">
            <v>=</v>
          </cell>
          <cell r="DJ360" t="str">
            <v>=</v>
          </cell>
          <cell r="DK360" t="str">
            <v>=</v>
          </cell>
          <cell r="DL360" t="str">
            <v>=</v>
          </cell>
          <cell r="DM360" t="str">
            <v>=</v>
          </cell>
          <cell r="DN360" t="str">
            <v>=</v>
          </cell>
          <cell r="DO360" t="str">
            <v>=</v>
          </cell>
          <cell r="DP360" t="str">
            <v>=</v>
          </cell>
          <cell r="DQ360" t="str">
            <v>=</v>
          </cell>
          <cell r="DR360" t="str">
            <v>=</v>
          </cell>
          <cell r="DS360" t="str">
            <v>=</v>
          </cell>
          <cell r="DT360" t="str">
            <v>=</v>
          </cell>
          <cell r="DU360" t="str">
            <v>=</v>
          </cell>
          <cell r="DV360" t="str">
            <v>=</v>
          </cell>
          <cell r="DW360" t="str">
            <v>=</v>
          </cell>
          <cell r="DX360" t="str">
            <v>=</v>
          </cell>
          <cell r="DY360" t="str">
            <v>=</v>
          </cell>
          <cell r="DZ360" t="str">
            <v>=</v>
          </cell>
          <cell r="EA360" t="str">
            <v>=</v>
          </cell>
          <cell r="EB360" t="str">
            <v>=</v>
          </cell>
          <cell r="EC360" t="str">
            <v>=</v>
          </cell>
          <cell r="ED360" t="str">
            <v>=</v>
          </cell>
        </row>
        <row r="361">
          <cell r="A361" t="str">
            <v>Net Power Cost</v>
          </cell>
          <cell r="F361">
            <v>-338920.14516979456</v>
          </cell>
          <cell r="G361">
            <v>-324128.42840078473</v>
          </cell>
          <cell r="H361">
            <v>-302166.88828906417</v>
          </cell>
          <cell r="I361">
            <v>-228774.83305236697</v>
          </cell>
          <cell r="J361">
            <v>-225722.07109323144</v>
          </cell>
          <cell r="K361">
            <v>-284836.13939857483</v>
          </cell>
          <cell r="L361">
            <v>-518680.39195474982</v>
          </cell>
          <cell r="M361">
            <v>-617202.78659440577</v>
          </cell>
          <cell r="N361">
            <v>-389241.5737875998</v>
          </cell>
          <cell r="O361">
            <v>-275582.6378992945</v>
          </cell>
          <cell r="P361">
            <v>-277921.92106075585</v>
          </cell>
          <cell r="Q361">
            <v>-331614.96283353865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  <cell r="W361" t="e">
            <v>#N/A</v>
          </cell>
          <cell r="X361" t="e">
            <v>#N/A</v>
          </cell>
          <cell r="Y361" t="e">
            <v>#N/A</v>
          </cell>
          <cell r="Z361" t="e">
            <v>#N/A</v>
          </cell>
          <cell r="AA361" t="e">
            <v>#N/A</v>
          </cell>
          <cell r="AB361" t="e">
            <v>#N/A</v>
          </cell>
          <cell r="AC361" t="e">
            <v>#N/A</v>
          </cell>
          <cell r="AD361" t="e">
            <v>#N/A</v>
          </cell>
          <cell r="AE361" t="e">
            <v>#N/A</v>
          </cell>
          <cell r="AF361" t="e">
            <v>#N/A</v>
          </cell>
          <cell r="AG361" t="e">
            <v>#N/A</v>
          </cell>
          <cell r="AH361" t="e">
            <v>#N/A</v>
          </cell>
          <cell r="AI361" t="e">
            <v>#N/A</v>
          </cell>
          <cell r="AJ361" t="e">
            <v>#N/A</v>
          </cell>
          <cell r="AK361" t="e">
            <v>#N/A</v>
          </cell>
          <cell r="AL361" t="e">
            <v>#N/A</v>
          </cell>
          <cell r="AM361" t="e">
            <v>#N/A</v>
          </cell>
          <cell r="AN361" t="e">
            <v>#N/A</v>
          </cell>
          <cell r="AO361" t="e">
            <v>#N/A</v>
          </cell>
          <cell r="AP361" t="e">
            <v>#N/A</v>
          </cell>
          <cell r="AQ361" t="e">
            <v>#N/A</v>
          </cell>
          <cell r="AR361" t="e">
            <v>#N/A</v>
          </cell>
          <cell r="AS361" t="e">
            <v>#N/A</v>
          </cell>
          <cell r="AT361" t="e">
            <v>#N/A</v>
          </cell>
          <cell r="AU361" t="e">
            <v>#N/A</v>
          </cell>
          <cell r="AV361" t="e">
            <v>#N/A</v>
          </cell>
          <cell r="AW361" t="e">
            <v>#N/A</v>
          </cell>
          <cell r="AX361" t="e">
            <v>#N/A</v>
          </cell>
          <cell r="AY361" t="e">
            <v>#N/A</v>
          </cell>
          <cell r="AZ361" t="e">
            <v>#N/A</v>
          </cell>
          <cell r="BA361" t="e">
            <v>#N/A</v>
          </cell>
          <cell r="BB361" t="e">
            <v>#N/A</v>
          </cell>
          <cell r="BC361" t="e">
            <v>#N/A</v>
          </cell>
          <cell r="BD361" t="e">
            <v>#N/A</v>
          </cell>
          <cell r="BE361" t="e">
            <v>#N/A</v>
          </cell>
          <cell r="BF361" t="e">
            <v>#N/A</v>
          </cell>
          <cell r="BG361" t="e">
            <v>#N/A</v>
          </cell>
          <cell r="BH361" t="e">
            <v>#N/A</v>
          </cell>
          <cell r="BI361" t="e">
            <v>#N/A</v>
          </cell>
          <cell r="BJ361" t="e">
            <v>#N/A</v>
          </cell>
          <cell r="BK361" t="e">
            <v>#N/A</v>
          </cell>
          <cell r="BL361" t="e">
            <v>#N/A</v>
          </cell>
          <cell r="BM361" t="e">
            <v>#N/A</v>
          </cell>
          <cell r="BN361" t="e">
            <v>#N/A</v>
          </cell>
          <cell r="BO361" t="e">
            <v>#N/A</v>
          </cell>
          <cell r="BP361" t="e">
            <v>#N/A</v>
          </cell>
          <cell r="BQ361" t="e">
            <v>#N/A</v>
          </cell>
          <cell r="BR361" t="e">
            <v>#N/A</v>
          </cell>
          <cell r="BS361" t="e">
            <v>#N/A</v>
          </cell>
          <cell r="BT361" t="e">
            <v>#N/A</v>
          </cell>
          <cell r="BU361" t="e">
            <v>#N/A</v>
          </cell>
          <cell r="BV361" t="e">
            <v>#N/A</v>
          </cell>
          <cell r="BW361" t="e">
            <v>#N/A</v>
          </cell>
          <cell r="BX361" t="e">
            <v>#N/A</v>
          </cell>
          <cell r="BY361" t="e">
            <v>#N/A</v>
          </cell>
          <cell r="BZ361" t="e">
            <v>#N/A</v>
          </cell>
          <cell r="CA361" t="e">
            <v>#N/A</v>
          </cell>
          <cell r="CB361" t="e">
            <v>#N/A</v>
          </cell>
          <cell r="CC361" t="e">
            <v>#N/A</v>
          </cell>
          <cell r="CD361" t="e">
            <v>#N/A</v>
          </cell>
          <cell r="CE361" t="e">
            <v>#N/A</v>
          </cell>
          <cell r="CF361" t="e">
            <v>#N/A</v>
          </cell>
          <cell r="CG361" t="e">
            <v>#N/A</v>
          </cell>
          <cell r="CH361" t="e">
            <v>#N/A</v>
          </cell>
          <cell r="CI361" t="e">
            <v>#N/A</v>
          </cell>
          <cell r="CJ361" t="e">
            <v>#N/A</v>
          </cell>
          <cell r="CK361" t="e">
            <v>#N/A</v>
          </cell>
          <cell r="CL361" t="e">
            <v>#N/A</v>
          </cell>
          <cell r="CM361" t="e">
            <v>#N/A</v>
          </cell>
          <cell r="CN361" t="e">
            <v>#N/A</v>
          </cell>
          <cell r="CO361" t="e">
            <v>#N/A</v>
          </cell>
          <cell r="CP361" t="e">
            <v>#N/A</v>
          </cell>
          <cell r="CQ361" t="e">
            <v>#N/A</v>
          </cell>
          <cell r="CR361" t="e">
            <v>#N/A</v>
          </cell>
          <cell r="CS361" t="e">
            <v>#N/A</v>
          </cell>
          <cell r="CT361" t="e">
            <v>#N/A</v>
          </cell>
          <cell r="CU361" t="e">
            <v>#N/A</v>
          </cell>
          <cell r="CV361" t="e">
            <v>#N/A</v>
          </cell>
          <cell r="CW361" t="e">
            <v>#N/A</v>
          </cell>
          <cell r="CX361" t="e">
            <v>#N/A</v>
          </cell>
          <cell r="CY361" t="e">
            <v>#N/A</v>
          </cell>
          <cell r="CZ361" t="e">
            <v>#N/A</v>
          </cell>
          <cell r="DA361" t="e">
            <v>#N/A</v>
          </cell>
          <cell r="DB361" t="e">
            <v>#N/A</v>
          </cell>
          <cell r="DC361" t="e">
            <v>#N/A</v>
          </cell>
          <cell r="DD361" t="e">
            <v>#N/A</v>
          </cell>
          <cell r="DE361" t="e">
            <v>#N/A</v>
          </cell>
          <cell r="DF361" t="e">
            <v>#N/A</v>
          </cell>
          <cell r="DG361" t="e">
            <v>#N/A</v>
          </cell>
          <cell r="DH361" t="e">
            <v>#N/A</v>
          </cell>
          <cell r="DI361" t="e">
            <v>#N/A</v>
          </cell>
          <cell r="DJ361" t="e">
            <v>#N/A</v>
          </cell>
          <cell r="DK361" t="e">
            <v>#N/A</v>
          </cell>
          <cell r="DL361" t="e">
            <v>#N/A</v>
          </cell>
          <cell r="DM361" t="e">
            <v>#N/A</v>
          </cell>
          <cell r="DN361" t="e">
            <v>#N/A</v>
          </cell>
          <cell r="DO361" t="e">
            <v>#N/A</v>
          </cell>
          <cell r="DP361" t="e">
            <v>#N/A</v>
          </cell>
          <cell r="DQ361" t="e">
            <v>#N/A</v>
          </cell>
          <cell r="DR361" t="e">
            <v>#N/A</v>
          </cell>
          <cell r="DS361" t="e">
            <v>#N/A</v>
          </cell>
          <cell r="DT361" t="e">
            <v>#N/A</v>
          </cell>
          <cell r="DU361" t="e">
            <v>#N/A</v>
          </cell>
          <cell r="DV361" t="e">
            <v>#N/A</v>
          </cell>
          <cell r="DW361" t="e">
            <v>#N/A</v>
          </cell>
          <cell r="DX361" t="e">
            <v>#N/A</v>
          </cell>
          <cell r="DY361" t="e">
            <v>#N/A</v>
          </cell>
          <cell r="DZ361" t="e">
            <v>#N/A</v>
          </cell>
          <cell r="EA361" t="e">
            <v>#N/A</v>
          </cell>
          <cell r="EB361" t="e">
            <v>#N/A</v>
          </cell>
          <cell r="EC361" t="e">
            <v>#N/A</v>
          </cell>
          <cell r="ED361" t="e">
            <v>#N/A</v>
          </cell>
        </row>
        <row r="362">
          <cell r="F362" t="str">
            <v>=</v>
          </cell>
          <cell r="G362" t="str">
            <v>=</v>
          </cell>
          <cell r="H362" t="str">
            <v>=</v>
          </cell>
          <cell r="I362" t="str">
            <v>=</v>
          </cell>
          <cell r="J362" t="str">
            <v>=</v>
          </cell>
          <cell r="K362" t="str">
            <v>=</v>
          </cell>
          <cell r="L362" t="str">
            <v>=</v>
          </cell>
          <cell r="M362" t="str">
            <v>=</v>
          </cell>
          <cell r="N362" t="str">
            <v>=</v>
          </cell>
          <cell r="O362" t="str">
            <v>=</v>
          </cell>
          <cell r="P362" t="str">
            <v>=</v>
          </cell>
          <cell r="Q362" t="str">
            <v>=</v>
          </cell>
          <cell r="R362" t="str">
            <v>=</v>
          </cell>
          <cell r="S362" t="str">
            <v>=</v>
          </cell>
          <cell r="T362" t="str">
            <v>=</v>
          </cell>
          <cell r="U362" t="str">
            <v>=</v>
          </cell>
          <cell r="V362" t="str">
            <v>=</v>
          </cell>
          <cell r="W362" t="str">
            <v>=</v>
          </cell>
          <cell r="X362" t="str">
            <v>=</v>
          </cell>
          <cell r="Y362" t="str">
            <v>=</v>
          </cell>
          <cell r="Z362" t="str">
            <v>=</v>
          </cell>
          <cell r="AA362" t="str">
            <v>=</v>
          </cell>
          <cell r="AB362" t="str">
            <v>=</v>
          </cell>
          <cell r="AC362" t="str">
            <v>=</v>
          </cell>
          <cell r="AD362" t="str">
            <v>=</v>
          </cell>
          <cell r="AE362" t="str">
            <v>=</v>
          </cell>
          <cell r="AF362" t="str">
            <v>=</v>
          </cell>
          <cell r="AG362" t="str">
            <v>=</v>
          </cell>
          <cell r="AH362" t="str">
            <v>=</v>
          </cell>
          <cell r="AI362" t="str">
            <v>=</v>
          </cell>
          <cell r="AJ362" t="str">
            <v>=</v>
          </cell>
          <cell r="AK362" t="str">
            <v>=</v>
          </cell>
          <cell r="AL362" t="str">
            <v>=</v>
          </cell>
          <cell r="AM362" t="str">
            <v>=</v>
          </cell>
          <cell r="AN362" t="str">
            <v>=</v>
          </cell>
          <cell r="AO362" t="str">
            <v>=</v>
          </cell>
          <cell r="AP362" t="str">
            <v>=</v>
          </cell>
          <cell r="AQ362" t="str">
            <v>=</v>
          </cell>
          <cell r="AR362" t="str">
            <v>=</v>
          </cell>
          <cell r="AS362" t="str">
            <v>=</v>
          </cell>
          <cell r="AT362" t="str">
            <v>=</v>
          </cell>
          <cell r="AU362" t="str">
            <v>=</v>
          </cell>
          <cell r="AV362" t="str">
            <v>=</v>
          </cell>
          <cell r="AW362" t="str">
            <v>=</v>
          </cell>
          <cell r="AX362" t="str">
            <v>=</v>
          </cell>
          <cell r="AY362" t="str">
            <v>=</v>
          </cell>
          <cell r="AZ362" t="str">
            <v>=</v>
          </cell>
          <cell r="BA362" t="str">
            <v>=</v>
          </cell>
          <cell r="BB362" t="str">
            <v>=</v>
          </cell>
          <cell r="BC362" t="str">
            <v>=</v>
          </cell>
          <cell r="BD362" t="str">
            <v>=</v>
          </cell>
          <cell r="BE362" t="str">
            <v>=</v>
          </cell>
          <cell r="BF362" t="str">
            <v>=</v>
          </cell>
          <cell r="BG362" t="str">
            <v>=</v>
          </cell>
          <cell r="BH362" t="str">
            <v>=</v>
          </cell>
          <cell r="BI362" t="str">
            <v>=</v>
          </cell>
          <cell r="BJ362" t="str">
            <v>=</v>
          </cell>
          <cell r="BK362" t="str">
            <v>=</v>
          </cell>
          <cell r="BL362" t="str">
            <v>=</v>
          </cell>
          <cell r="BM362" t="str">
            <v>=</v>
          </cell>
          <cell r="BN362" t="str">
            <v>=</v>
          </cell>
          <cell r="BO362" t="str">
            <v>=</v>
          </cell>
          <cell r="BP362" t="str">
            <v>=</v>
          </cell>
          <cell r="BQ362" t="str">
            <v>=</v>
          </cell>
          <cell r="BR362" t="str">
            <v>=</v>
          </cell>
          <cell r="BS362" t="str">
            <v>=</v>
          </cell>
          <cell r="BT362" t="str">
            <v>=</v>
          </cell>
          <cell r="BU362" t="str">
            <v>=</v>
          </cell>
          <cell r="BV362" t="str">
            <v>=</v>
          </cell>
          <cell r="BW362" t="str">
            <v>=</v>
          </cell>
          <cell r="BX362" t="str">
            <v>=</v>
          </cell>
          <cell r="BY362" t="str">
            <v>=</v>
          </cell>
          <cell r="BZ362" t="str">
            <v>=</v>
          </cell>
          <cell r="CA362" t="str">
            <v>=</v>
          </cell>
          <cell r="CB362" t="str">
            <v>=</v>
          </cell>
          <cell r="CC362" t="str">
            <v>=</v>
          </cell>
          <cell r="CD362" t="str">
            <v>=</v>
          </cell>
          <cell r="CE362" t="str">
            <v>=</v>
          </cell>
          <cell r="CF362" t="str">
            <v>=</v>
          </cell>
          <cell r="CG362" t="str">
            <v>=</v>
          </cell>
          <cell r="CH362" t="str">
            <v>=</v>
          </cell>
          <cell r="CI362" t="str">
            <v>=</v>
          </cell>
          <cell r="CJ362" t="str">
            <v>=</v>
          </cell>
          <cell r="CK362" t="str">
            <v>=</v>
          </cell>
          <cell r="CL362" t="str">
            <v>=</v>
          </cell>
          <cell r="CM362" t="str">
            <v>=</v>
          </cell>
          <cell r="CN362" t="str">
            <v>=</v>
          </cell>
          <cell r="CO362" t="str">
            <v>=</v>
          </cell>
          <cell r="CP362" t="str">
            <v>=</v>
          </cell>
          <cell r="CQ362" t="str">
            <v>=</v>
          </cell>
          <cell r="CR362" t="str">
            <v>=</v>
          </cell>
          <cell r="CS362" t="str">
            <v>=</v>
          </cell>
          <cell r="CT362" t="str">
            <v>=</v>
          </cell>
          <cell r="CU362" t="str">
            <v>=</v>
          </cell>
          <cell r="CV362" t="str">
            <v>=</v>
          </cell>
          <cell r="CW362" t="str">
            <v>=</v>
          </cell>
          <cell r="CX362" t="str">
            <v>=</v>
          </cell>
          <cell r="CY362" t="str">
            <v>=</v>
          </cell>
          <cell r="CZ362" t="str">
            <v>=</v>
          </cell>
          <cell r="DA362" t="str">
            <v>=</v>
          </cell>
          <cell r="DB362" t="str">
            <v>=</v>
          </cell>
          <cell r="DC362" t="str">
            <v>=</v>
          </cell>
          <cell r="DD362" t="str">
            <v>=</v>
          </cell>
          <cell r="DE362" t="str">
            <v>=</v>
          </cell>
          <cell r="DF362" t="str">
            <v>=</v>
          </cell>
          <cell r="DG362" t="str">
            <v>=</v>
          </cell>
          <cell r="DH362" t="str">
            <v>=</v>
          </cell>
          <cell r="DI362" t="str">
            <v>=</v>
          </cell>
          <cell r="DJ362" t="str">
            <v>=</v>
          </cell>
          <cell r="DK362" t="str">
            <v>=</v>
          </cell>
          <cell r="DL362" t="str">
            <v>=</v>
          </cell>
          <cell r="DM362" t="str">
            <v>=</v>
          </cell>
          <cell r="DN362" t="str">
            <v>=</v>
          </cell>
          <cell r="DO362" t="str">
            <v>=</v>
          </cell>
          <cell r="DP362" t="str">
            <v>=</v>
          </cell>
          <cell r="DQ362" t="str">
            <v>=</v>
          </cell>
          <cell r="DR362" t="str">
            <v>=</v>
          </cell>
          <cell r="DS362" t="str">
            <v>=</v>
          </cell>
          <cell r="DT362" t="str">
            <v>=</v>
          </cell>
          <cell r="DU362" t="str">
            <v>=</v>
          </cell>
          <cell r="DV362" t="str">
            <v>=</v>
          </cell>
          <cell r="DW362" t="str">
            <v>=</v>
          </cell>
          <cell r="DX362" t="str">
            <v>=</v>
          </cell>
          <cell r="DY362" t="str">
            <v>=</v>
          </cell>
          <cell r="DZ362" t="str">
            <v>=</v>
          </cell>
          <cell r="EA362" t="str">
            <v>=</v>
          </cell>
          <cell r="EB362" t="str">
            <v>=</v>
          </cell>
          <cell r="EC362" t="str">
            <v>=</v>
          </cell>
          <cell r="ED362" t="str">
            <v>=</v>
          </cell>
        </row>
        <row r="363">
          <cell r="A363" t="str">
            <v>Net Power Cost/Net System Load</v>
          </cell>
          <cell r="C363" t="str">
            <v>Net Power Cost/Net System Load</v>
          </cell>
          <cell r="F363">
            <v>-6.3532151714206009E-2</v>
          </cell>
          <cell r="G363">
            <v>-6.8838746815892193E-2</v>
          </cell>
          <cell r="H363">
            <v>-6.1618340135858318E-2</v>
          </cell>
          <cell r="I363">
            <v>-4.9835390076754749E-2</v>
          </cell>
          <cell r="J363">
            <v>-4.7185392941130999E-2</v>
          </cell>
          <cell r="K363">
            <v>-5.5912695290189163E-2</v>
          </cell>
          <cell r="L363">
            <v>-8.8665860313209777E-2</v>
          </cell>
          <cell r="M363">
            <v>-0.11003121990232145</v>
          </cell>
          <cell r="N363">
            <v>-7.9436416420136879E-2</v>
          </cell>
          <cell r="O363">
            <v>-5.7596476566402544E-2</v>
          </cell>
          <cell r="P363">
            <v>-5.6804892085239089E-2</v>
          </cell>
          <cell r="Q363">
            <v>-6.1408511593121773E-2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>
            <v>0</v>
          </cell>
          <cell r="F364">
            <v>24.623666461042905</v>
          </cell>
          <cell r="G364">
            <v>26.072106531594653</v>
          </cell>
          <cell r="H364">
            <v>21.953421119519337</v>
          </cell>
          <cell r="I364">
            <v>17.175287766694218</v>
          </cell>
          <cell r="J364">
            <v>16.399453000089469</v>
          </cell>
          <cell r="K364">
            <v>21.384094549442555</v>
          </cell>
          <cell r="L364">
            <v>37.683841321908588</v>
          </cell>
          <cell r="M364">
            <v>44.841818264632792</v>
          </cell>
          <cell r="N364">
            <v>29.222340374444428</v>
          </cell>
          <cell r="O364">
            <v>20.021987641622676</v>
          </cell>
          <cell r="P364">
            <v>20.865009088645333</v>
          </cell>
          <cell r="Q364">
            <v>24.092920868464013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A366" t="str">
            <v>Adjustments to Load</v>
          </cell>
        </row>
        <row r="367">
          <cell r="C367" t="str">
            <v>Station Service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MagCorp Curtailment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69">
          <cell r="C369" t="str">
            <v>Monsanto Curtailment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</row>
        <row r="370">
          <cell r="C370" t="str">
            <v>Utah Private Generation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 t="str">
            <v>Line Loss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C374" t="str">
            <v>System Load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</row>
        <row r="375">
          <cell r="A375" t="str">
            <v>Net System Load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</row>
        <row r="377">
          <cell r="A377" t="str">
            <v>Special Sales For Resale</v>
          </cell>
        </row>
        <row r="379">
          <cell r="C379" t="str">
            <v>Black Hills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0">
          <cell r="C380" t="str">
            <v>BPA Wind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</row>
        <row r="381">
          <cell r="C381" t="str">
            <v>East Area Sales (WCA Sale)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Hurricane Sale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LADWP (IPP Layoff)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4">
          <cell r="C384" t="str">
            <v>Shell Sale 2013-2014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C385" t="str">
            <v>SMUD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6">
          <cell r="C386" t="str">
            <v>UMPA II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91">
          <cell r="C391" t="str">
            <v>COB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</row>
        <row r="392">
          <cell r="C392" t="str">
            <v>Four Corners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Mid Columbia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Mona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Palo Verde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SP15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C397" t="str">
            <v>STF Index Trades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2">
          <cell r="C402" t="str">
            <v>COB</v>
          </cell>
          <cell r="F402">
            <v>0</v>
          </cell>
          <cell r="G402">
            <v>18.5</v>
          </cell>
          <cell r="H402">
            <v>0</v>
          </cell>
          <cell r="I402">
            <v>0</v>
          </cell>
          <cell r="J402">
            <v>15.164999999993597</v>
          </cell>
          <cell r="K402">
            <v>54.959999999991851</v>
          </cell>
          <cell r="L402">
            <v>0</v>
          </cell>
          <cell r="M402">
            <v>66.923999999999069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>Four Corners</v>
          </cell>
          <cell r="F403">
            <v>898.62400000001071</v>
          </cell>
          <cell r="G403">
            <v>435.53999999999724</v>
          </cell>
          <cell r="H403">
            <v>140.73800000000119</v>
          </cell>
          <cell r="I403">
            <v>-73.565999999998894</v>
          </cell>
          <cell r="J403">
            <v>-67.094999999999345</v>
          </cell>
          <cell r="K403">
            <v>0</v>
          </cell>
          <cell r="L403">
            <v>21.714999999996508</v>
          </cell>
          <cell r="M403">
            <v>18.429000000003725</v>
          </cell>
          <cell r="N403">
            <v>17.953999999997905</v>
          </cell>
          <cell r="O403">
            <v>199.15999999997439</v>
          </cell>
          <cell r="P403">
            <v>652.05999999999767</v>
          </cell>
          <cell r="Q403">
            <v>838.52999999999884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Mid Columbia</v>
          </cell>
          <cell r="F404">
            <v>37.070000000006985</v>
          </cell>
          <cell r="G404">
            <v>8.2430000000022119</v>
          </cell>
          <cell r="H404">
            <v>639.29999999998836</v>
          </cell>
          <cell r="I404">
            <v>479.32499999999709</v>
          </cell>
          <cell r="J404">
            <v>430.50999999999476</v>
          </cell>
          <cell r="K404">
            <v>561.61999999999534</v>
          </cell>
          <cell r="L404">
            <v>1328.9899999999907</v>
          </cell>
          <cell r="M404">
            <v>553.33999999999651</v>
          </cell>
          <cell r="N404">
            <v>529.45999999999185</v>
          </cell>
          <cell r="O404">
            <v>328.59000000002561</v>
          </cell>
          <cell r="P404">
            <v>35.929000000003725</v>
          </cell>
          <cell r="Q404">
            <v>154.66000000000349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Mona</v>
          </cell>
          <cell r="F405">
            <v>345.04999999998836</v>
          </cell>
          <cell r="G405">
            <v>265.15199999998731</v>
          </cell>
          <cell r="H405">
            <v>122.86699999999837</v>
          </cell>
          <cell r="I405">
            <v>259.14999999999418</v>
          </cell>
          <cell r="J405">
            <v>118.90000000000873</v>
          </cell>
          <cell r="K405">
            <v>84.349999999991269</v>
          </cell>
          <cell r="L405">
            <v>51.480999999999767</v>
          </cell>
          <cell r="M405">
            <v>196.27700000000186</v>
          </cell>
          <cell r="N405">
            <v>209.77600000001257</v>
          </cell>
          <cell r="O405">
            <v>79.25</v>
          </cell>
          <cell r="P405">
            <v>466.94299999998475</v>
          </cell>
          <cell r="Q405">
            <v>599.27999999999884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Palo Verde</v>
          </cell>
          <cell r="F406">
            <v>1.1000000000058208</v>
          </cell>
          <cell r="G406">
            <v>0</v>
          </cell>
          <cell r="H406">
            <v>66.029999999998836</v>
          </cell>
          <cell r="I406">
            <v>19.600000000005821</v>
          </cell>
          <cell r="J406">
            <v>1.1000000000058208</v>
          </cell>
          <cell r="K406">
            <v>0</v>
          </cell>
          <cell r="L406">
            <v>0</v>
          </cell>
          <cell r="M406">
            <v>7.8999999999941792</v>
          </cell>
          <cell r="N406">
            <v>0</v>
          </cell>
          <cell r="O406">
            <v>1.0900000000110595</v>
          </cell>
          <cell r="P406">
            <v>5.5599999999685679E-2</v>
          </cell>
          <cell r="Q406">
            <v>6.5996000000004642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SP15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Trapped Energy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F410">
            <v>1281.8439999999246</v>
          </cell>
          <cell r="G410">
            <v>727.43499999993946</v>
          </cell>
          <cell r="H410">
            <v>968.93499999993946</v>
          </cell>
          <cell r="I410">
            <v>684.50900000002002</v>
          </cell>
          <cell r="J410">
            <v>498.58000000007451</v>
          </cell>
          <cell r="K410">
            <v>700.92999999999302</v>
          </cell>
          <cell r="L410">
            <v>1402.1859999998705</v>
          </cell>
          <cell r="M410">
            <v>842.87000000005355</v>
          </cell>
          <cell r="N410">
            <v>757.18999999994412</v>
          </cell>
          <cell r="O410">
            <v>608.09000000008382</v>
          </cell>
          <cell r="P410">
            <v>1154.9875999999349</v>
          </cell>
          <cell r="Q410">
            <v>1599.0696000000462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2">
          <cell r="A412" t="str">
            <v>Total Special Sales For Resale</v>
          </cell>
          <cell r="F412">
            <v>1281.8439999999246</v>
          </cell>
          <cell r="G412">
            <v>727.43499999993946</v>
          </cell>
          <cell r="H412">
            <v>968.93499999993946</v>
          </cell>
          <cell r="I412">
            <v>684.50900000002002</v>
          </cell>
          <cell r="J412">
            <v>498.58000000007451</v>
          </cell>
          <cell r="K412">
            <v>700.93000000005122</v>
          </cell>
          <cell r="L412">
            <v>1402.1859999998705</v>
          </cell>
          <cell r="M412">
            <v>842.86999999999534</v>
          </cell>
          <cell r="N412">
            <v>757.18999999994412</v>
          </cell>
          <cell r="O412">
            <v>608.09000000008382</v>
          </cell>
          <cell r="P412">
            <v>1154.9875999999931</v>
          </cell>
          <cell r="Q412">
            <v>1599.0696000000462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</row>
        <row r="413">
          <cell r="F413" t="str">
            <v>=</v>
          </cell>
          <cell r="G413" t="str">
            <v>=</v>
          </cell>
          <cell r="H413" t="str">
            <v>=</v>
          </cell>
          <cell r="I413" t="str">
            <v>=</v>
          </cell>
          <cell r="J413" t="str">
            <v>=</v>
          </cell>
          <cell r="K413" t="str">
            <v>=</v>
          </cell>
          <cell r="L413" t="str">
            <v>=</v>
          </cell>
          <cell r="M413" t="str">
            <v>=</v>
          </cell>
          <cell r="N413" t="str">
            <v>=</v>
          </cell>
          <cell r="O413" t="str">
            <v>=</v>
          </cell>
          <cell r="P413" t="str">
            <v>=</v>
          </cell>
          <cell r="Q413" t="str">
            <v>=</v>
          </cell>
          <cell r="R413" t="str">
            <v>=</v>
          </cell>
          <cell r="S413" t="str">
            <v>=</v>
          </cell>
          <cell r="T413" t="str">
            <v>=</v>
          </cell>
          <cell r="U413" t="str">
            <v>=</v>
          </cell>
          <cell r="V413" t="str">
            <v>=</v>
          </cell>
          <cell r="W413" t="str">
            <v>=</v>
          </cell>
          <cell r="X413" t="str">
            <v>=</v>
          </cell>
          <cell r="Y413" t="str">
            <v>=</v>
          </cell>
          <cell r="Z413" t="str">
            <v>=</v>
          </cell>
          <cell r="AA413" t="str">
            <v>=</v>
          </cell>
          <cell r="AB413" t="str">
            <v>=</v>
          </cell>
          <cell r="AC413" t="str">
            <v>=</v>
          </cell>
          <cell r="AD413" t="str">
            <v>=</v>
          </cell>
          <cell r="AE413" t="str">
            <v>=</v>
          </cell>
          <cell r="AF413" t="str">
            <v>=</v>
          </cell>
          <cell r="AG413" t="str">
            <v>=</v>
          </cell>
          <cell r="AH413" t="str">
            <v>=</v>
          </cell>
          <cell r="AI413" t="str">
            <v>=</v>
          </cell>
          <cell r="AJ413" t="str">
            <v>=</v>
          </cell>
          <cell r="AK413" t="str">
            <v>=</v>
          </cell>
          <cell r="AL413" t="str">
            <v>=</v>
          </cell>
          <cell r="AM413" t="str">
            <v>=</v>
          </cell>
          <cell r="AN413" t="str">
            <v>=</v>
          </cell>
          <cell r="AO413" t="str">
            <v>=</v>
          </cell>
          <cell r="AP413" t="str">
            <v>=</v>
          </cell>
          <cell r="AQ413" t="str">
            <v>=</v>
          </cell>
          <cell r="AR413" t="str">
            <v>=</v>
          </cell>
          <cell r="AS413" t="str">
            <v>=</v>
          </cell>
          <cell r="AT413" t="str">
            <v>=</v>
          </cell>
          <cell r="AU413" t="str">
            <v>=</v>
          </cell>
          <cell r="AV413" t="str">
            <v>=</v>
          </cell>
          <cell r="AW413" t="str">
            <v>=</v>
          </cell>
          <cell r="AX413" t="str">
            <v>=</v>
          </cell>
          <cell r="AY413" t="str">
            <v>=</v>
          </cell>
          <cell r="AZ413" t="str">
            <v>=</v>
          </cell>
          <cell r="BA413" t="str">
            <v>=</v>
          </cell>
          <cell r="BB413" t="str">
            <v>=</v>
          </cell>
          <cell r="BC413" t="str">
            <v>=</v>
          </cell>
          <cell r="BD413" t="str">
            <v>=</v>
          </cell>
          <cell r="BE413" t="str">
            <v>=</v>
          </cell>
          <cell r="BF413" t="str">
            <v>=</v>
          </cell>
          <cell r="BG413" t="str">
            <v>=</v>
          </cell>
          <cell r="BH413" t="str">
            <v>=</v>
          </cell>
          <cell r="BI413" t="str">
            <v>=</v>
          </cell>
          <cell r="BJ413" t="str">
            <v>=</v>
          </cell>
          <cell r="BK413" t="str">
            <v>=</v>
          </cell>
          <cell r="BL413" t="str">
            <v>=</v>
          </cell>
          <cell r="BM413" t="str">
            <v>=</v>
          </cell>
          <cell r="BN413" t="str">
            <v>=</v>
          </cell>
          <cell r="BO413" t="str">
            <v>=</v>
          </cell>
          <cell r="BP413" t="str">
            <v>=</v>
          </cell>
          <cell r="BQ413" t="str">
            <v>=</v>
          </cell>
          <cell r="BR413" t="str">
            <v>=</v>
          </cell>
          <cell r="BS413" t="str">
            <v>=</v>
          </cell>
          <cell r="BT413" t="str">
            <v>=</v>
          </cell>
          <cell r="BU413" t="str">
            <v>=</v>
          </cell>
          <cell r="BV413" t="str">
            <v>=</v>
          </cell>
          <cell r="BW413" t="str">
            <v>=</v>
          </cell>
          <cell r="BX413" t="str">
            <v>=</v>
          </cell>
          <cell r="BY413" t="str">
            <v>=</v>
          </cell>
          <cell r="BZ413" t="str">
            <v>=</v>
          </cell>
          <cell r="CA413" t="str">
            <v>=</v>
          </cell>
          <cell r="CB413" t="str">
            <v>=</v>
          </cell>
          <cell r="CC413" t="str">
            <v>=</v>
          </cell>
          <cell r="CD413" t="str">
            <v>=</v>
          </cell>
          <cell r="CE413" t="str">
            <v>=</v>
          </cell>
          <cell r="CF413" t="str">
            <v>=</v>
          </cell>
          <cell r="CG413" t="str">
            <v>=</v>
          </cell>
          <cell r="CH413" t="str">
            <v>=</v>
          </cell>
          <cell r="CI413" t="str">
            <v>=</v>
          </cell>
          <cell r="CJ413" t="str">
            <v>=</v>
          </cell>
          <cell r="CK413" t="str">
            <v>=</v>
          </cell>
          <cell r="CL413" t="str">
            <v>=</v>
          </cell>
          <cell r="CM413" t="str">
            <v>=</v>
          </cell>
          <cell r="CN413" t="str">
            <v>=</v>
          </cell>
          <cell r="CO413" t="str">
            <v>=</v>
          </cell>
          <cell r="CP413" t="str">
            <v>=</v>
          </cell>
          <cell r="CQ413" t="str">
            <v>=</v>
          </cell>
          <cell r="CR413" t="str">
            <v>=</v>
          </cell>
          <cell r="CS413" t="str">
            <v>=</v>
          </cell>
          <cell r="CT413" t="str">
            <v>=</v>
          </cell>
          <cell r="CU413" t="str">
            <v>=</v>
          </cell>
          <cell r="CV413" t="str">
            <v>=</v>
          </cell>
          <cell r="CW413" t="str">
            <v>=</v>
          </cell>
          <cell r="CX413" t="str">
            <v>=</v>
          </cell>
          <cell r="CY413" t="str">
            <v>=</v>
          </cell>
          <cell r="CZ413" t="str">
            <v>=</v>
          </cell>
          <cell r="DA413" t="str">
            <v>=</v>
          </cell>
          <cell r="DB413" t="str">
            <v>=</v>
          </cell>
          <cell r="DC413" t="str">
            <v>=</v>
          </cell>
          <cell r="DD413" t="str">
            <v>=</v>
          </cell>
          <cell r="DE413" t="str">
            <v>=</v>
          </cell>
          <cell r="DF413" t="str">
            <v>=</v>
          </cell>
          <cell r="DG413" t="str">
            <v>=</v>
          </cell>
          <cell r="DH413" t="str">
            <v>=</v>
          </cell>
          <cell r="DI413" t="str">
            <v>=</v>
          </cell>
          <cell r="DJ413" t="str">
            <v>=</v>
          </cell>
          <cell r="DK413" t="str">
            <v>=</v>
          </cell>
          <cell r="DL413" t="str">
            <v>=</v>
          </cell>
          <cell r="DM413" t="str">
            <v>=</v>
          </cell>
          <cell r="DN413" t="str">
            <v>=</v>
          </cell>
          <cell r="DO413" t="str">
            <v>=</v>
          </cell>
          <cell r="DP413" t="str">
            <v>=</v>
          </cell>
          <cell r="DQ413" t="str">
            <v>=</v>
          </cell>
          <cell r="DR413" t="str">
            <v>=</v>
          </cell>
          <cell r="DS413" t="str">
            <v>=</v>
          </cell>
          <cell r="DT413" t="str">
            <v>=</v>
          </cell>
          <cell r="DU413" t="str">
            <v>=</v>
          </cell>
          <cell r="DV413" t="str">
            <v>=</v>
          </cell>
          <cell r="DW413" t="str">
            <v>=</v>
          </cell>
          <cell r="DX413" t="str">
            <v>=</v>
          </cell>
          <cell r="DY413" t="str">
            <v>=</v>
          </cell>
          <cell r="DZ413" t="str">
            <v>=</v>
          </cell>
          <cell r="EA413" t="str">
            <v>=</v>
          </cell>
          <cell r="EB413" t="str">
            <v>=</v>
          </cell>
          <cell r="EC413" t="str">
            <v>=</v>
          </cell>
          <cell r="ED413" t="str">
            <v>=</v>
          </cell>
        </row>
        <row r="414">
          <cell r="A414" t="str">
            <v>Total Requirements</v>
          </cell>
          <cell r="F414">
            <v>1281.8439999995753</v>
          </cell>
          <cell r="G414">
            <v>727.43500000052154</v>
          </cell>
          <cell r="H414">
            <v>968.93499999959022</v>
          </cell>
          <cell r="I414">
            <v>684.50900000054389</v>
          </cell>
          <cell r="J414">
            <v>498.58000000007451</v>
          </cell>
          <cell r="K414">
            <v>700.92999999970198</v>
          </cell>
          <cell r="L414">
            <v>1402.1859999997541</v>
          </cell>
          <cell r="M414">
            <v>842.87000000011176</v>
          </cell>
          <cell r="N414">
            <v>757.19000000040978</v>
          </cell>
          <cell r="O414">
            <v>608.08999999985099</v>
          </cell>
          <cell r="P414">
            <v>1154.9875999996439</v>
          </cell>
          <cell r="Q414">
            <v>1599.0696000000462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</row>
        <row r="415">
          <cell r="F415" t="str">
            <v>=</v>
          </cell>
          <cell r="G415" t="str">
            <v>=</v>
          </cell>
          <cell r="H415" t="str">
            <v>=</v>
          </cell>
          <cell r="I415" t="str">
            <v>=</v>
          </cell>
          <cell r="J415" t="str">
            <v>=</v>
          </cell>
          <cell r="K415" t="str">
            <v>=</v>
          </cell>
          <cell r="L415" t="str">
            <v>=</v>
          </cell>
          <cell r="M415" t="str">
            <v>=</v>
          </cell>
          <cell r="N415" t="str">
            <v>=</v>
          </cell>
          <cell r="O415" t="str">
            <v>=</v>
          </cell>
          <cell r="P415" t="str">
            <v>=</v>
          </cell>
          <cell r="Q415" t="str">
            <v>=</v>
          </cell>
          <cell r="R415" t="str">
            <v>=</v>
          </cell>
          <cell r="S415" t="str">
            <v>=</v>
          </cell>
          <cell r="T415" t="str">
            <v>=</v>
          </cell>
          <cell r="U415" t="str">
            <v>=</v>
          </cell>
          <cell r="V415" t="str">
            <v>=</v>
          </cell>
          <cell r="W415" t="str">
            <v>=</v>
          </cell>
          <cell r="X415" t="str">
            <v>=</v>
          </cell>
          <cell r="Y415" t="str">
            <v>=</v>
          </cell>
          <cell r="Z415" t="str">
            <v>=</v>
          </cell>
          <cell r="AA415" t="str">
            <v>=</v>
          </cell>
          <cell r="AB415" t="str">
            <v>=</v>
          </cell>
          <cell r="AC415" t="str">
            <v>=</v>
          </cell>
          <cell r="AD415" t="str">
            <v>=</v>
          </cell>
          <cell r="AE415" t="str">
            <v>=</v>
          </cell>
          <cell r="AF415" t="str">
            <v>=</v>
          </cell>
          <cell r="AG415" t="str">
            <v>=</v>
          </cell>
          <cell r="AH415" t="str">
            <v>=</v>
          </cell>
          <cell r="AI415" t="str">
            <v>=</v>
          </cell>
          <cell r="AJ415" t="str">
            <v>=</v>
          </cell>
          <cell r="AK415" t="str">
            <v>=</v>
          </cell>
          <cell r="AL415" t="str">
            <v>=</v>
          </cell>
          <cell r="AM415" t="str">
            <v>=</v>
          </cell>
          <cell r="AN415" t="str">
            <v>=</v>
          </cell>
          <cell r="AO415" t="str">
            <v>=</v>
          </cell>
          <cell r="AP415" t="str">
            <v>=</v>
          </cell>
          <cell r="AQ415" t="str">
            <v>=</v>
          </cell>
          <cell r="AR415" t="str">
            <v>=</v>
          </cell>
          <cell r="AS415" t="str">
            <v>=</v>
          </cell>
          <cell r="AT415" t="str">
            <v>=</v>
          </cell>
          <cell r="AU415" t="str">
            <v>=</v>
          </cell>
          <cell r="AV415" t="str">
            <v>=</v>
          </cell>
          <cell r="AW415" t="str">
            <v>=</v>
          </cell>
          <cell r="AX415" t="str">
            <v>=</v>
          </cell>
          <cell r="AY415" t="str">
            <v>=</v>
          </cell>
          <cell r="AZ415" t="str">
            <v>=</v>
          </cell>
          <cell r="BA415" t="str">
            <v>=</v>
          </cell>
          <cell r="BB415" t="str">
            <v>=</v>
          </cell>
          <cell r="BC415" t="str">
            <v>=</v>
          </cell>
          <cell r="BD415" t="str">
            <v>=</v>
          </cell>
          <cell r="BE415" t="str">
            <v>=</v>
          </cell>
          <cell r="BF415" t="str">
            <v>=</v>
          </cell>
          <cell r="BG415" t="str">
            <v>=</v>
          </cell>
          <cell r="BH415" t="str">
            <v>=</v>
          </cell>
          <cell r="BI415" t="str">
            <v>=</v>
          </cell>
          <cell r="BJ415" t="str">
            <v>=</v>
          </cell>
          <cell r="BK415" t="str">
            <v>=</v>
          </cell>
          <cell r="BL415" t="str">
            <v>=</v>
          </cell>
          <cell r="BM415" t="str">
            <v>=</v>
          </cell>
          <cell r="BN415" t="str">
            <v>=</v>
          </cell>
          <cell r="BO415" t="str">
            <v>=</v>
          </cell>
          <cell r="BP415" t="str">
            <v>=</v>
          </cell>
          <cell r="BQ415" t="str">
            <v>=</v>
          </cell>
          <cell r="BR415" t="str">
            <v>=</v>
          </cell>
          <cell r="BS415" t="str">
            <v>=</v>
          </cell>
          <cell r="BT415" t="str">
            <v>=</v>
          </cell>
          <cell r="BU415" t="str">
            <v>=</v>
          </cell>
          <cell r="BV415" t="str">
            <v>=</v>
          </cell>
          <cell r="BW415" t="str">
            <v>=</v>
          </cell>
          <cell r="BX415" t="str">
            <v>=</v>
          </cell>
          <cell r="BY415" t="str">
            <v>=</v>
          </cell>
          <cell r="BZ415" t="str">
            <v>=</v>
          </cell>
          <cell r="CA415" t="str">
            <v>=</v>
          </cell>
          <cell r="CB415" t="str">
            <v>=</v>
          </cell>
          <cell r="CC415" t="str">
            <v>=</v>
          </cell>
          <cell r="CD415" t="str">
            <v>=</v>
          </cell>
          <cell r="CE415" t="str">
            <v>=</v>
          </cell>
          <cell r="CF415" t="str">
            <v>=</v>
          </cell>
          <cell r="CG415" t="str">
            <v>=</v>
          </cell>
          <cell r="CH415" t="str">
            <v>=</v>
          </cell>
          <cell r="CI415" t="str">
            <v>=</v>
          </cell>
          <cell r="CJ415" t="str">
            <v>=</v>
          </cell>
          <cell r="CK415" t="str">
            <v>=</v>
          </cell>
          <cell r="CL415" t="str">
            <v>=</v>
          </cell>
          <cell r="CM415" t="str">
            <v>=</v>
          </cell>
          <cell r="CN415" t="str">
            <v>=</v>
          </cell>
          <cell r="CO415" t="str">
            <v>=</v>
          </cell>
          <cell r="CP415" t="str">
            <v>=</v>
          </cell>
          <cell r="CQ415" t="str">
            <v>=</v>
          </cell>
          <cell r="CR415" t="str">
            <v>=</v>
          </cell>
          <cell r="CS415" t="str">
            <v>=</v>
          </cell>
          <cell r="CT415" t="str">
            <v>=</v>
          </cell>
          <cell r="CU415" t="str">
            <v>=</v>
          </cell>
          <cell r="CV415" t="str">
            <v>=</v>
          </cell>
          <cell r="CW415" t="str">
            <v>=</v>
          </cell>
          <cell r="CX415" t="str">
            <v>=</v>
          </cell>
          <cell r="CY415" t="str">
            <v>=</v>
          </cell>
          <cell r="CZ415" t="str">
            <v>=</v>
          </cell>
          <cell r="DA415" t="str">
            <v>=</v>
          </cell>
          <cell r="DB415" t="str">
            <v>=</v>
          </cell>
          <cell r="DC415" t="str">
            <v>=</v>
          </cell>
          <cell r="DD415" t="str">
            <v>=</v>
          </cell>
          <cell r="DE415" t="str">
            <v>=</v>
          </cell>
          <cell r="DF415" t="str">
            <v>=</v>
          </cell>
          <cell r="DG415" t="str">
            <v>=</v>
          </cell>
          <cell r="DH415" t="str">
            <v>=</v>
          </cell>
          <cell r="DI415" t="str">
            <v>=</v>
          </cell>
          <cell r="DJ415" t="str">
            <v>=</v>
          </cell>
          <cell r="DK415" t="str">
            <v>=</v>
          </cell>
          <cell r="DL415" t="str">
            <v>=</v>
          </cell>
          <cell r="DM415" t="str">
            <v>=</v>
          </cell>
          <cell r="DN415" t="str">
            <v>=</v>
          </cell>
          <cell r="DO415" t="str">
            <v>=</v>
          </cell>
          <cell r="DP415" t="str">
            <v>=</v>
          </cell>
          <cell r="DQ415" t="str">
            <v>=</v>
          </cell>
          <cell r="DR415" t="str">
            <v>=</v>
          </cell>
          <cell r="DS415" t="str">
            <v>=</v>
          </cell>
          <cell r="DT415" t="str">
            <v>=</v>
          </cell>
          <cell r="DU415" t="str">
            <v>=</v>
          </cell>
          <cell r="DV415" t="str">
            <v>=</v>
          </cell>
          <cell r="DW415" t="str">
            <v>=</v>
          </cell>
          <cell r="DX415" t="str">
            <v>=</v>
          </cell>
          <cell r="DY415" t="str">
            <v>=</v>
          </cell>
          <cell r="DZ415" t="str">
            <v>=</v>
          </cell>
          <cell r="EA415" t="str">
            <v>=</v>
          </cell>
          <cell r="EB415" t="str">
            <v>=</v>
          </cell>
          <cell r="EC415" t="str">
            <v>=</v>
          </cell>
          <cell r="ED415" t="str">
            <v>=</v>
          </cell>
        </row>
        <row r="417">
          <cell r="A417" t="str">
            <v>Purchased Power &amp; Net Interchange</v>
          </cell>
        </row>
        <row r="419">
          <cell r="C419" t="str">
            <v>APS Supplemental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 xml:space="preserve">Combine Hills Wind 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Cedar Springs Wind I and III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Cove Mountain Solar I and II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Horseshoe Solar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Hunter Solar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Milican Solar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Milford Solar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Prineville Solar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Rocket Solar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Sigurd Solar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Deseret Purchase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Graphite Solar I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Elektron Solar 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Elektron Solar 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Castle Solar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Soda Lake Geothermal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Gemstate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Hermiston Purchase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Hurricane Purchase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IPP Purchase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0">
          <cell r="C440" t="str">
            <v>MagCorp Reserves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</row>
        <row r="441">
          <cell r="C441" t="str">
            <v>Nucor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2">
          <cell r="C442" t="str">
            <v>Old Mill Solar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</row>
        <row r="443">
          <cell r="C443" t="str">
            <v>P4 Production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</row>
        <row r="444">
          <cell r="C444" t="str">
            <v>Pavant III Solar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PGE Cove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 t="str">
            <v>Rock River Wind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 t="str">
            <v>Small Purchases east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8">
          <cell r="C448" t="str">
            <v>Small Purchases west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</row>
        <row r="449">
          <cell r="C449" t="str">
            <v>Three Buttes Wind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0">
          <cell r="C450" t="str">
            <v xml:space="preserve">Top of the World Wind 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</row>
        <row r="451">
          <cell r="C451" t="str">
            <v>Tri-State Purchase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2">
          <cell r="C452" t="str">
            <v>Appaloosa Solar I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</row>
        <row r="453">
          <cell r="C453" t="str">
            <v>UAMPS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</row>
        <row r="454">
          <cell r="C454" t="str">
            <v>UMPA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Wolverine Creek Wind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60">
          <cell r="C460" t="str">
            <v>QF - 433 - UT - Gas</v>
          </cell>
          <cell r="F460">
            <v>13764</v>
          </cell>
          <cell r="G460">
            <v>12432</v>
          </cell>
          <cell r="H460">
            <v>13764</v>
          </cell>
          <cell r="I460">
            <v>13320</v>
          </cell>
          <cell r="J460">
            <v>13764</v>
          </cell>
          <cell r="K460">
            <v>13320</v>
          </cell>
          <cell r="L460">
            <v>13764</v>
          </cell>
          <cell r="M460">
            <v>13764</v>
          </cell>
          <cell r="N460">
            <v>13320</v>
          </cell>
          <cell r="O460">
            <v>13764</v>
          </cell>
          <cell r="P460">
            <v>13320</v>
          </cell>
          <cell r="Q460">
            <v>13764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Curtailment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Net Generation</v>
          </cell>
          <cell r="F462">
            <v>13764</v>
          </cell>
          <cell r="G462">
            <v>12432</v>
          </cell>
          <cell r="H462">
            <v>13764</v>
          </cell>
          <cell r="I462">
            <v>13320</v>
          </cell>
          <cell r="J462">
            <v>13764</v>
          </cell>
          <cell r="K462">
            <v>13320</v>
          </cell>
          <cell r="L462">
            <v>13764</v>
          </cell>
          <cell r="M462">
            <v>13764</v>
          </cell>
          <cell r="N462">
            <v>13320</v>
          </cell>
          <cell r="O462">
            <v>13764</v>
          </cell>
          <cell r="P462">
            <v>13320</v>
          </cell>
          <cell r="Q462">
            <v>13764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4">
          <cell r="C464" t="str">
            <v>Potential QFs  -  Central Oregon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5">
          <cell r="C465" t="str">
            <v>Potential QFs  -  West Main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</row>
        <row r="466">
          <cell r="C466" t="str">
            <v>Potential QFs  -  Walla Walla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7">
          <cell r="C467" t="str">
            <v>Potential QFs  -  Yakima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</row>
        <row r="468">
          <cell r="C468" t="str">
            <v>Potential QFs  -  Clover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</row>
        <row r="469">
          <cell r="C469" t="str">
            <v>Potential QFs  -  Goshen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 t="str">
            <v>Potential QFs  -  Utah North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 t="str">
            <v>Potential QFs  -  Utah North 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Potential QFs  -  Utah South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Potential QFs  -  Trona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Potential QFs  -  Wyoming Central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7">
          <cell r="C477" t="str">
            <v>QF California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78">
          <cell r="C478" t="str">
            <v>QF Idaho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</row>
        <row r="479">
          <cell r="C479" t="str">
            <v>QF Oregon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</row>
        <row r="480">
          <cell r="C480" t="str">
            <v>QF Oregon 2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QF Utah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QF Washington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>QF Wyoming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5">
          <cell r="C485" t="str">
            <v>Biomass QF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Black Cap II Solar QF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7">
          <cell r="C487" t="str">
            <v>Champlin Blue Mtn Wind QF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</row>
        <row r="488">
          <cell r="C488" t="str">
            <v>Chevron Wind QF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89">
          <cell r="C489" t="str">
            <v xml:space="preserve">Douglas County Forest Products QF   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</row>
        <row r="490">
          <cell r="C490" t="str">
            <v>Evergreen BioPower QF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1">
          <cell r="C491" t="str">
            <v>Everpower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</row>
        <row r="492">
          <cell r="C492" t="str">
            <v>First Wind QF Projects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</row>
        <row r="493">
          <cell r="C493" t="str">
            <v>Five Pine Wind QF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Foote Creek II &amp; III Wind QF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Kennecott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Latigo Wind Park QF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Sage I &amp; II Solar QF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Sage III Solar QF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Boswell Wind QF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Monticello Wind QF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Mountain Wind 1 QF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Mountain Wind 2 QF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North Point Wind QF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4">
          <cell r="C504" t="str">
            <v>Ochoco Solar QF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</row>
        <row r="505">
          <cell r="C505" t="str">
            <v>Orchard Wind Farm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6">
          <cell r="C506" t="str">
            <v>Oregon Sch 37 QFs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</row>
        <row r="507">
          <cell r="C507" t="str">
            <v>Oregon Wind Farm QF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</row>
        <row r="527">
          <cell r="F527">
            <v>13764</v>
          </cell>
          <cell r="G527">
            <v>12432</v>
          </cell>
          <cell r="H527">
            <v>13764</v>
          </cell>
          <cell r="I527">
            <v>13320.000000000116</v>
          </cell>
          <cell r="J527">
            <v>13764</v>
          </cell>
          <cell r="K527">
            <v>13320</v>
          </cell>
          <cell r="L527">
            <v>13764</v>
          </cell>
          <cell r="M527">
            <v>13764</v>
          </cell>
          <cell r="N527">
            <v>13320</v>
          </cell>
          <cell r="O527">
            <v>13764</v>
          </cell>
          <cell r="P527">
            <v>13320</v>
          </cell>
          <cell r="Q527">
            <v>13764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7">
          <cell r="F537">
            <v>13764</v>
          </cell>
          <cell r="G537">
            <v>12432</v>
          </cell>
          <cell r="H537">
            <v>13764</v>
          </cell>
          <cell r="I537">
            <v>13320.000000000116</v>
          </cell>
          <cell r="J537">
            <v>13764</v>
          </cell>
          <cell r="K537">
            <v>13320</v>
          </cell>
          <cell r="L537">
            <v>13764</v>
          </cell>
          <cell r="M537">
            <v>13764</v>
          </cell>
          <cell r="N537">
            <v>13320</v>
          </cell>
          <cell r="O537">
            <v>13764</v>
          </cell>
          <cell r="P537">
            <v>13320</v>
          </cell>
          <cell r="Q537">
            <v>13764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T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6">
          <cell r="F566">
            <v>0</v>
          </cell>
          <cell r="G566">
            <v>-37</v>
          </cell>
          <cell r="H566">
            <v>0</v>
          </cell>
          <cell r="I566">
            <v>0</v>
          </cell>
          <cell r="J566">
            <v>-18.5</v>
          </cell>
          <cell r="K566">
            <v>-23.17171570000005</v>
          </cell>
          <cell r="L566">
            <v>-56.28579000000002</v>
          </cell>
          <cell r="M566">
            <v>-194.1289399999996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-1052.6600000000035</v>
          </cell>
          <cell r="G567">
            <v>-1188.7999999999884</v>
          </cell>
          <cell r="H567">
            <v>-1180.3299999999872</v>
          </cell>
          <cell r="I567">
            <v>-1230.6900000000023</v>
          </cell>
          <cell r="J567">
            <v>-1135.9199999999983</v>
          </cell>
          <cell r="K567">
            <v>0</v>
          </cell>
          <cell r="L567">
            <v>-50.132260000000031</v>
          </cell>
          <cell r="M567">
            <v>0</v>
          </cell>
          <cell r="N567">
            <v>0</v>
          </cell>
          <cell r="O567">
            <v>-327.61700000000019</v>
          </cell>
          <cell r="P567">
            <v>-841.96399999999994</v>
          </cell>
          <cell r="Q567">
            <v>-1468.1080000000002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-113.76929999999993</v>
          </cell>
          <cell r="G568">
            <v>-624.79300000000512</v>
          </cell>
          <cell r="H568">
            <v>-1748.5999999999985</v>
          </cell>
          <cell r="I568">
            <v>-2069.7339999999967</v>
          </cell>
          <cell r="J568">
            <v>-2153.3800000000047</v>
          </cell>
          <cell r="K568">
            <v>-1495.6140000000014</v>
          </cell>
          <cell r="L568">
            <v>-2339.0400000000081</v>
          </cell>
          <cell r="M568">
            <v>-2200.1199999999953</v>
          </cell>
          <cell r="N568">
            <v>-1027.5939999999973</v>
          </cell>
          <cell r="O568">
            <v>-350.55699999999979</v>
          </cell>
          <cell r="P568">
            <v>-35.923309999999958</v>
          </cell>
          <cell r="Q568">
            <v>-329.31099999999788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69">
          <cell r="F569">
            <v>0</v>
          </cell>
          <cell r="G569">
            <v>0</v>
          </cell>
          <cell r="H569">
            <v>-57.668600000000879</v>
          </cell>
          <cell r="I569">
            <v>-37.087559999999939</v>
          </cell>
          <cell r="J569">
            <v>-21.589899999999943</v>
          </cell>
          <cell r="K569">
            <v>71.599800000000187</v>
          </cell>
          <cell r="L569">
            <v>0</v>
          </cell>
          <cell r="M569">
            <v>0</v>
          </cell>
          <cell r="N569">
            <v>0</v>
          </cell>
          <cell r="O569">
            <v>-247.75390000000061</v>
          </cell>
          <cell r="P569">
            <v>-11.574999999999818</v>
          </cell>
          <cell r="Q569">
            <v>-48.423999999999978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</row>
        <row r="574">
          <cell r="F574">
            <v>-1166.4293000000034</v>
          </cell>
          <cell r="G574">
            <v>-1850.5929999999935</v>
          </cell>
          <cell r="H574">
            <v>-2986.5985999999975</v>
          </cell>
          <cell r="I574">
            <v>-3337.5115600000136</v>
          </cell>
          <cell r="J574">
            <v>-3329.3899000000674</v>
          </cell>
          <cell r="K574">
            <v>-1447.1859157000072</v>
          </cell>
          <cell r="L574">
            <v>-2445.4580500000156</v>
          </cell>
          <cell r="M574">
            <v>-2394.2489399999904</v>
          </cell>
          <cell r="N574">
            <v>-1027.5939999999973</v>
          </cell>
          <cell r="O574">
            <v>-925.92790000000241</v>
          </cell>
          <cell r="P574">
            <v>-889.46230999999534</v>
          </cell>
          <cell r="Q574">
            <v>-1845.8429999999935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</row>
        <row r="576">
          <cell r="A576" t="str">
            <v xml:space="preserve">Total Purchased Power &amp; Net Interchange </v>
          </cell>
          <cell r="F576">
            <v>12597.57070000004</v>
          </cell>
          <cell r="G576">
            <v>10581.40699999989</v>
          </cell>
          <cell r="H576">
            <v>10777.40140000009</v>
          </cell>
          <cell r="I576">
            <v>9982.4884400002193</v>
          </cell>
          <cell r="J576">
            <v>10434.610099999933</v>
          </cell>
          <cell r="K576">
            <v>11872.81408429984</v>
          </cell>
          <cell r="L576">
            <v>11318.541949999984</v>
          </cell>
          <cell r="M576">
            <v>11369.751059999922</v>
          </cell>
          <cell r="N576">
            <v>12292.405999999959</v>
          </cell>
          <cell r="O576">
            <v>12838.07209999999</v>
          </cell>
          <cell r="P576">
            <v>12430.537690000026</v>
          </cell>
          <cell r="Q576">
            <v>11918.157000000007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8">
          <cell r="A578" t="str">
            <v>Coal Generation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-55.499994999991031</v>
          </cell>
          <cell r="G580">
            <v>-87.689096999994945</v>
          </cell>
          <cell r="H580">
            <v>-96.436482000004617</v>
          </cell>
          <cell r="I580">
            <v>-173.32241700000304</v>
          </cell>
          <cell r="J580">
            <v>-18.155585000000428</v>
          </cell>
          <cell r="K580">
            <v>-64.602171999998973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-36.999991999997292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-269.79468799999449</v>
          </cell>
          <cell r="G581">
            <v>-133.1118320000096</v>
          </cell>
          <cell r="H581">
            <v>-160.16033199999947</v>
          </cell>
          <cell r="I581">
            <v>-132.85105899999326</v>
          </cell>
          <cell r="J581">
            <v>-46.438595000014175</v>
          </cell>
          <cell r="K581">
            <v>-239.17138699999487</v>
          </cell>
          <cell r="L581">
            <v>-30.882681000002776</v>
          </cell>
          <cell r="M581">
            <v>-112.80542000000423</v>
          </cell>
          <cell r="N581">
            <v>-84.993763999984367</v>
          </cell>
          <cell r="O581">
            <v>-202.43037200000254</v>
          </cell>
          <cell r="P581">
            <v>-116.67582799999946</v>
          </cell>
          <cell r="Q581">
            <v>-220.18434200000047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-129.50000800006092</v>
          </cell>
          <cell r="G582">
            <v>-33.496515000006184</v>
          </cell>
          <cell r="H582">
            <v>-103.12558000005083</v>
          </cell>
          <cell r="I582">
            <v>-136.49114599998575</v>
          </cell>
          <cell r="J582">
            <v>-137.88602299999911</v>
          </cell>
          <cell r="K582">
            <v>-18.499997999984771</v>
          </cell>
          <cell r="L582">
            <v>-18.500004000030458</v>
          </cell>
          <cell r="M582">
            <v>0</v>
          </cell>
          <cell r="N582">
            <v>0</v>
          </cell>
          <cell r="O582">
            <v>0</v>
          </cell>
          <cell r="P582">
            <v>-17.255054999957792</v>
          </cell>
          <cell r="Q582">
            <v>-7.9734200000530109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3">
          <cell r="F583">
            <v>-206.01403600000049</v>
          </cell>
          <cell r="G583">
            <v>-150.61656800000492</v>
          </cell>
          <cell r="H583">
            <v>-39.301948000000266</v>
          </cell>
          <cell r="I583">
            <v>-17.33717500000057</v>
          </cell>
          <cell r="J583">
            <v>-21.646767999998701</v>
          </cell>
          <cell r="K583">
            <v>-38.103672999997798</v>
          </cell>
          <cell r="L583">
            <v>-92.636312000002363</v>
          </cell>
          <cell r="M583">
            <v>-95.304441000000224</v>
          </cell>
          <cell r="N583">
            <v>-72.631909999996424</v>
          </cell>
          <cell r="O583">
            <v>-61.85138999999981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</row>
        <row r="584">
          <cell r="F584">
            <v>-1932.6993380000349</v>
          </cell>
          <cell r="G584">
            <v>-2029.8440600000322</v>
          </cell>
          <cell r="H584">
            <v>-2018.9933839999139</v>
          </cell>
          <cell r="I584">
            <v>-2308.7715810000664</v>
          </cell>
          <cell r="J584">
            <v>-3544.3057450000197</v>
          </cell>
          <cell r="K584">
            <v>-2312.6820979999611</v>
          </cell>
          <cell r="L584">
            <v>-692.09239599993452</v>
          </cell>
          <cell r="M584">
            <v>-492.85362600011285</v>
          </cell>
          <cell r="N584">
            <v>-1609.5879399999976</v>
          </cell>
          <cell r="O584">
            <v>-2398.6625850000419</v>
          </cell>
          <cell r="P584">
            <v>-2859.1985859998967</v>
          </cell>
          <cell r="Q584">
            <v>-2106.4873219999718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>
            <v>-561.65736500010826</v>
          </cell>
          <cell r="G585">
            <v>-828.06882000004407</v>
          </cell>
          <cell r="H585">
            <v>-1314.7056490000105</v>
          </cell>
          <cell r="I585">
            <v>-1630.5578700000187</v>
          </cell>
          <cell r="J585">
            <v>-2193.6679909999366</v>
          </cell>
          <cell r="K585">
            <v>-696.87004499998875</v>
          </cell>
          <cell r="L585">
            <v>-489.74762100004591</v>
          </cell>
          <cell r="M585">
            <v>-218.46822999999858</v>
          </cell>
          <cell r="N585">
            <v>-113.12598000001162</v>
          </cell>
          <cell r="O585">
            <v>-845.22513999999501</v>
          </cell>
          <cell r="P585">
            <v>-784.75209999998333</v>
          </cell>
          <cell r="Q585">
            <v>-644.27375999989454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</row>
        <row r="586">
          <cell r="F586">
            <v>-4274.2800680001383</v>
          </cell>
          <cell r="G586">
            <v>-3024.3879229999729</v>
          </cell>
          <cell r="H586">
            <v>-3375.2603860000381</v>
          </cell>
          <cell r="I586">
            <v>-1920.9070499999798</v>
          </cell>
          <cell r="J586">
            <v>-1834.8674000000174</v>
          </cell>
          <cell r="K586">
            <v>-3904.1301049999311</v>
          </cell>
          <cell r="L586">
            <v>-4645.8066859998507</v>
          </cell>
          <cell r="M586">
            <v>-5148.8029750001151</v>
          </cell>
          <cell r="N586">
            <v>-4575.3724950000178</v>
          </cell>
          <cell r="O586">
            <v>-3998.4442590000108</v>
          </cell>
          <cell r="P586">
            <v>-3764.6576979999663</v>
          </cell>
          <cell r="Q586">
            <v>-3138.1939009999624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>
            <v>-1553.7150339999935</v>
          </cell>
          <cell r="G587">
            <v>-1741.1774390000064</v>
          </cell>
          <cell r="H587">
            <v>-393.23181900000054</v>
          </cell>
          <cell r="I587">
            <v>-311.64313100000436</v>
          </cell>
          <cell r="J587">
            <v>-185.15513900000224</v>
          </cell>
          <cell r="K587">
            <v>-335.95697299999301</v>
          </cell>
          <cell r="L587">
            <v>-1050.528151999999</v>
          </cell>
          <cell r="M587">
            <v>-876.27529399999185</v>
          </cell>
          <cell r="N587">
            <v>-811.51060200000938</v>
          </cell>
          <cell r="O587">
            <v>-592.16329400000541</v>
          </cell>
          <cell r="P587">
            <v>-623.75615300000209</v>
          </cell>
          <cell r="Q587">
            <v>-1103.4517329999944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</row>
        <row r="588">
          <cell r="F588">
            <v>0</v>
          </cell>
          <cell r="G588">
            <v>-63.518074000006891</v>
          </cell>
          <cell r="H588">
            <v>-18.5</v>
          </cell>
          <cell r="I588">
            <v>-111</v>
          </cell>
          <cell r="J588">
            <v>-118.75746999998228</v>
          </cell>
          <cell r="K588">
            <v>-98.95339999999851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-10.526590000008582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</row>
        <row r="591">
          <cell r="A591" t="str">
            <v>Total Coal Generation</v>
          </cell>
          <cell r="F591">
            <v>-8983.1605320004746</v>
          </cell>
          <cell r="G591">
            <v>-8091.9103279993869</v>
          </cell>
          <cell r="H591">
            <v>-7519.7155800000764</v>
          </cell>
          <cell r="I591">
            <v>-6742.8814290000591</v>
          </cell>
          <cell r="J591">
            <v>-8100.8807159999851</v>
          </cell>
          <cell r="K591">
            <v>-7708.9698509997688</v>
          </cell>
          <cell r="L591">
            <v>-7020.1938519990072</v>
          </cell>
          <cell r="M591">
            <v>-6944.5099860010669</v>
          </cell>
          <cell r="N591">
            <v>-7267.2226909995079</v>
          </cell>
          <cell r="O591">
            <v>-8098.7770400000736</v>
          </cell>
          <cell r="P591">
            <v>-8203.295411999803</v>
          </cell>
          <cell r="Q591">
            <v>-7231.0910679996014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</row>
        <row r="593">
          <cell r="A593" t="str">
            <v>Gas Generation</v>
          </cell>
        </row>
        <row r="594">
          <cell r="F594">
            <v>-57.056010000000242</v>
          </cell>
          <cell r="G594">
            <v>-120.25894999998854</v>
          </cell>
          <cell r="H594">
            <v>-178.93571999997948</v>
          </cell>
          <cell r="I594">
            <v>-432.12330000000657</v>
          </cell>
          <cell r="J594">
            <v>-330.80553999998665</v>
          </cell>
          <cell r="K594">
            <v>-269.13834000000497</v>
          </cell>
          <cell r="L594">
            <v>-726.58694999996806</v>
          </cell>
          <cell r="M594">
            <v>-956.37974000000395</v>
          </cell>
          <cell r="N594">
            <v>-1259.8560299999954</v>
          </cell>
          <cell r="O594">
            <v>-1035.1234399999958</v>
          </cell>
          <cell r="P594">
            <v>-143.40578000000096</v>
          </cell>
          <cell r="Q594">
            <v>-77.362619999999879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-667.10945499999798</v>
          </cell>
          <cell r="G596">
            <v>-369.41123399997014</v>
          </cell>
          <cell r="H596">
            <v>-534.75305999998818</v>
          </cell>
          <cell r="I596">
            <v>-525.02032000001054</v>
          </cell>
          <cell r="J596">
            <v>-308.05913999999757</v>
          </cell>
          <cell r="K596">
            <v>-805.69705800001975</v>
          </cell>
          <cell r="L596">
            <v>-372.69364399998449</v>
          </cell>
          <cell r="M596">
            <v>-418.4208520000102</v>
          </cell>
          <cell r="N596">
            <v>-941.30487000005087</v>
          </cell>
          <cell r="O596">
            <v>-568.72695999999996</v>
          </cell>
          <cell r="P596">
            <v>-670.51282000000356</v>
          </cell>
          <cell r="Q596">
            <v>-529.76551599998493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</row>
        <row r="598">
          <cell r="F598">
            <v>-57.502732499997364</v>
          </cell>
          <cell r="G598">
            <v>-79.921982000001663</v>
          </cell>
          <cell r="H598">
            <v>-38.301369000000705</v>
          </cell>
          <cell r="I598">
            <v>-82.020119000000705</v>
          </cell>
          <cell r="J598">
            <v>-95.191786999999749</v>
          </cell>
          <cell r="K598">
            <v>-98.729849500003183</v>
          </cell>
          <cell r="L598">
            <v>-57.540502999996534</v>
          </cell>
          <cell r="M598">
            <v>-170.39668300000631</v>
          </cell>
          <cell r="N598">
            <v>-257.77174799999921</v>
          </cell>
          <cell r="O598">
            <v>-86.258772000001045</v>
          </cell>
          <cell r="P598">
            <v>-166.69328800000221</v>
          </cell>
          <cell r="Q598">
            <v>-79.619029000001319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-175.05821000000287</v>
          </cell>
          <cell r="J599">
            <v>0</v>
          </cell>
          <cell r="K599">
            <v>-74.000260000000708</v>
          </cell>
          <cell r="L599">
            <v>0</v>
          </cell>
          <cell r="M599">
            <v>0</v>
          </cell>
          <cell r="N599">
            <v>0</v>
          </cell>
          <cell r="O599">
            <v>-453.9286200000206</v>
          </cell>
          <cell r="P599">
            <v>-275.24226999998791</v>
          </cell>
          <cell r="Q599">
            <v>-456.71736999999848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-959.59878000000026</v>
          </cell>
          <cell r="G600">
            <v>-703.26819000000251</v>
          </cell>
          <cell r="H600">
            <v>-1134.5631100000464</v>
          </cell>
          <cell r="I600">
            <v>-634.30757999996422</v>
          </cell>
          <cell r="J600">
            <v>-542.71166000002995</v>
          </cell>
          <cell r="K600">
            <v>-763.91521000000648</v>
          </cell>
          <cell r="L600">
            <v>-327.6520400000154</v>
          </cell>
          <cell r="M600">
            <v>-377.7185799999861</v>
          </cell>
          <cell r="N600">
            <v>-926.44928000000073</v>
          </cell>
          <cell r="O600">
            <v>-1029.231139999989</v>
          </cell>
          <cell r="P600">
            <v>-1061.1952800000436</v>
          </cell>
          <cell r="Q600">
            <v>-917.65441999997711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-411.80952800001251</v>
          </cell>
          <cell r="G601">
            <v>-294.79514600001858</v>
          </cell>
          <cell r="H601">
            <v>-322.80477099996642</v>
          </cell>
          <cell r="I601">
            <v>-603.20933800001512</v>
          </cell>
          <cell r="J601">
            <v>-442.28438399999868</v>
          </cell>
          <cell r="K601">
            <v>-1192.9690130000236</v>
          </cell>
          <cell r="L601">
            <v>-1027.3273710000212</v>
          </cell>
          <cell r="M601">
            <v>-1095.2388370000408</v>
          </cell>
          <cell r="N601">
            <v>-614.20491400000174</v>
          </cell>
          <cell r="O601">
            <v>-731.5666210000054</v>
          </cell>
          <cell r="P601">
            <v>-612.70067200000631</v>
          </cell>
          <cell r="Q601">
            <v>-836.4500419999822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-179.46103589999984</v>
          </cell>
          <cell r="G602">
            <v>-194.4326030000002</v>
          </cell>
          <cell r="H602">
            <v>-79.383450999999695</v>
          </cell>
          <cell r="I602">
            <v>-102.84557730000006</v>
          </cell>
          <cell r="J602">
            <v>-116.07230500000014</v>
          </cell>
          <cell r="K602">
            <v>-258.46231600000101</v>
          </cell>
          <cell r="L602">
            <v>-384.43589149999752</v>
          </cell>
          <cell r="M602">
            <v>-564.17096099999981</v>
          </cell>
          <cell r="N602">
            <v>-268.42267670000001</v>
          </cell>
          <cell r="O602">
            <v>-226.31921409999995</v>
          </cell>
          <cell r="P602">
            <v>-142.47371000000021</v>
          </cell>
          <cell r="Q602">
            <v>-190.41376889999992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A604" t="str">
            <v>Total Gas Generation</v>
          </cell>
          <cell r="F604">
            <v>-2332.5375414000591</v>
          </cell>
          <cell r="G604">
            <v>-1762.0881050000899</v>
          </cell>
          <cell r="H604">
            <v>-2288.741480999859</v>
          </cell>
          <cell r="I604">
            <v>-2554.5844443001552</v>
          </cell>
          <cell r="J604">
            <v>-1835.1248159998795</v>
          </cell>
          <cell r="K604">
            <v>-3462.9120465002488</v>
          </cell>
          <cell r="L604">
            <v>-2896.2363994996995</v>
          </cell>
          <cell r="M604">
            <v>-3582.3256530002691</v>
          </cell>
          <cell r="N604">
            <v>-4268.0095186999533</v>
          </cell>
          <cell r="O604">
            <v>-4131.1547671000008</v>
          </cell>
          <cell r="P604">
            <v>-3072.2238200001884</v>
          </cell>
          <cell r="Q604">
            <v>-3087.9827658997383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6">
          <cell r="A606" t="str">
            <v>Hydro Generation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</row>
        <row r="610">
          <cell r="A610" t="str">
            <v>Total Hydro Generation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2">
          <cell r="A612" t="str">
            <v>Other Generation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-0.48679230000198004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-0.48679230000198004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</row>
        <row r="638">
          <cell r="A638" t="str">
            <v>Total Other Generation</v>
          </cell>
          <cell r="F638">
            <v>0</v>
          </cell>
          <cell r="G638">
            <v>0</v>
          </cell>
          <cell r="H638">
            <v>0</v>
          </cell>
          <cell r="I638">
            <v>-0.48679230001289397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</row>
        <row r="640">
          <cell r="A640" t="str">
            <v>IRP Resources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T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</row>
        <row r="713">
          <cell r="A713" t="str">
            <v>Total IRP Resources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</row>
        <row r="715">
          <cell r="A715" t="str">
            <v>Growth Station Resources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4">
          <cell r="A724" t="str">
            <v>Total Growth Station Resources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5">
          <cell r="F725" t="str">
            <v>=</v>
          </cell>
          <cell r="G725" t="str">
            <v>=</v>
          </cell>
          <cell r="H725" t="str">
            <v>=</v>
          </cell>
          <cell r="I725" t="str">
            <v>=</v>
          </cell>
          <cell r="J725" t="str">
            <v>=</v>
          </cell>
          <cell r="K725" t="str">
            <v>=</v>
          </cell>
          <cell r="L725" t="str">
            <v>=</v>
          </cell>
          <cell r="M725" t="str">
            <v>=</v>
          </cell>
          <cell r="N725" t="str">
            <v>=</v>
          </cell>
          <cell r="O725" t="str">
            <v>=</v>
          </cell>
          <cell r="P725" t="str">
            <v>=</v>
          </cell>
          <cell r="Q725" t="str">
            <v>=</v>
          </cell>
          <cell r="R725" t="str">
            <v>=</v>
          </cell>
          <cell r="S725" t="str">
            <v>=</v>
          </cell>
          <cell r="T725" t="str">
            <v>=</v>
          </cell>
          <cell r="U725" t="str">
            <v>=</v>
          </cell>
          <cell r="V725" t="str">
            <v>=</v>
          </cell>
          <cell r="W725" t="str">
            <v>=</v>
          </cell>
          <cell r="X725" t="str">
            <v>=</v>
          </cell>
          <cell r="Y725" t="str">
            <v>=</v>
          </cell>
          <cell r="Z725" t="str">
            <v>=</v>
          </cell>
          <cell r="AA725" t="str">
            <v>=</v>
          </cell>
          <cell r="AB725" t="str">
            <v>=</v>
          </cell>
          <cell r="AC725" t="str">
            <v>=</v>
          </cell>
          <cell r="AD725" t="str">
            <v>=</v>
          </cell>
          <cell r="AE725" t="str">
            <v>=</v>
          </cell>
          <cell r="AF725" t="str">
            <v>=</v>
          </cell>
          <cell r="AG725" t="str">
            <v>=</v>
          </cell>
          <cell r="AH725" t="str">
            <v>=</v>
          </cell>
          <cell r="AI725" t="str">
            <v>=</v>
          </cell>
          <cell r="AJ725" t="str">
            <v>=</v>
          </cell>
          <cell r="AK725" t="str">
            <v>=</v>
          </cell>
          <cell r="AL725" t="str">
            <v>=</v>
          </cell>
          <cell r="AM725" t="str">
            <v>=</v>
          </cell>
          <cell r="AN725" t="str">
            <v>=</v>
          </cell>
          <cell r="AO725" t="str">
            <v>=</v>
          </cell>
          <cell r="AP725" t="str">
            <v>=</v>
          </cell>
          <cell r="AQ725" t="str">
            <v>=</v>
          </cell>
          <cell r="AR725" t="str">
            <v>=</v>
          </cell>
          <cell r="AS725" t="str">
            <v>=</v>
          </cell>
          <cell r="AT725" t="str">
            <v>=</v>
          </cell>
          <cell r="AU725" t="str">
            <v>=</v>
          </cell>
          <cell r="AV725" t="str">
            <v>=</v>
          </cell>
          <cell r="AW725" t="str">
            <v>=</v>
          </cell>
          <cell r="AX725" t="str">
            <v>=</v>
          </cell>
          <cell r="AY725" t="str">
            <v>=</v>
          </cell>
          <cell r="AZ725" t="str">
            <v>=</v>
          </cell>
          <cell r="BA725" t="str">
            <v>=</v>
          </cell>
          <cell r="BB725" t="str">
            <v>=</v>
          </cell>
          <cell r="BC725" t="str">
            <v>=</v>
          </cell>
          <cell r="BD725" t="str">
            <v>=</v>
          </cell>
          <cell r="BE725" t="str">
            <v>=</v>
          </cell>
          <cell r="BF725" t="str">
            <v>=</v>
          </cell>
          <cell r="BG725" t="str">
            <v>=</v>
          </cell>
          <cell r="BH725" t="str">
            <v>=</v>
          </cell>
          <cell r="BI725" t="str">
            <v>=</v>
          </cell>
          <cell r="BJ725" t="str">
            <v>=</v>
          </cell>
          <cell r="BK725" t="str">
            <v>=</v>
          </cell>
          <cell r="BL725" t="str">
            <v>=</v>
          </cell>
          <cell r="BM725" t="str">
            <v>=</v>
          </cell>
          <cell r="BN725" t="str">
            <v>=</v>
          </cell>
          <cell r="BO725" t="str">
            <v>=</v>
          </cell>
          <cell r="BP725" t="str">
            <v>=</v>
          </cell>
          <cell r="BQ725" t="str">
            <v>=</v>
          </cell>
          <cell r="BR725" t="str">
            <v>=</v>
          </cell>
          <cell r="BS725" t="str">
            <v>=</v>
          </cell>
          <cell r="BT725" t="str">
            <v>=</v>
          </cell>
          <cell r="BU725" t="str">
            <v>=</v>
          </cell>
          <cell r="BV725" t="str">
            <v>=</v>
          </cell>
          <cell r="BW725" t="str">
            <v>=</v>
          </cell>
          <cell r="BX725" t="str">
            <v>=</v>
          </cell>
          <cell r="BY725" t="str">
            <v>=</v>
          </cell>
          <cell r="BZ725" t="str">
            <v>=</v>
          </cell>
          <cell r="CA725" t="str">
            <v>=</v>
          </cell>
          <cell r="CB725" t="str">
            <v>=</v>
          </cell>
          <cell r="CC725" t="str">
            <v>=</v>
          </cell>
          <cell r="CD725" t="str">
            <v>=</v>
          </cell>
          <cell r="CE725" t="str">
            <v>=</v>
          </cell>
          <cell r="CF725" t="str">
            <v>=</v>
          </cell>
          <cell r="CG725" t="str">
            <v>=</v>
          </cell>
          <cell r="CH725" t="str">
            <v>=</v>
          </cell>
          <cell r="CI725" t="str">
            <v>=</v>
          </cell>
          <cell r="CJ725" t="str">
            <v>=</v>
          </cell>
          <cell r="CK725" t="str">
            <v>=</v>
          </cell>
          <cell r="CL725" t="str">
            <v>=</v>
          </cell>
          <cell r="CM725" t="str">
            <v>=</v>
          </cell>
          <cell r="CN725" t="str">
            <v>=</v>
          </cell>
          <cell r="CO725" t="str">
            <v>=</v>
          </cell>
          <cell r="CP725" t="str">
            <v>=</v>
          </cell>
          <cell r="CQ725" t="str">
            <v>=</v>
          </cell>
          <cell r="CR725" t="str">
            <v>=</v>
          </cell>
          <cell r="CS725" t="str">
            <v>=</v>
          </cell>
          <cell r="CT725" t="str">
            <v>=</v>
          </cell>
          <cell r="CU725" t="str">
            <v>=</v>
          </cell>
          <cell r="CV725" t="str">
            <v>=</v>
          </cell>
          <cell r="CW725" t="str">
            <v>=</v>
          </cell>
          <cell r="CX725" t="str">
            <v>=</v>
          </cell>
          <cell r="CY725" t="str">
            <v>=</v>
          </cell>
          <cell r="CZ725" t="str">
            <v>=</v>
          </cell>
          <cell r="DA725" t="str">
            <v>=</v>
          </cell>
          <cell r="DB725" t="str">
            <v>=</v>
          </cell>
          <cell r="DC725" t="str">
            <v>=</v>
          </cell>
          <cell r="DD725" t="str">
            <v>=</v>
          </cell>
          <cell r="DE725" t="str">
            <v>=</v>
          </cell>
          <cell r="DF725" t="str">
            <v>=</v>
          </cell>
          <cell r="DG725" t="str">
            <v>=</v>
          </cell>
          <cell r="DH725" t="str">
            <v>=</v>
          </cell>
          <cell r="DI725" t="str">
            <v>=</v>
          </cell>
          <cell r="DJ725" t="str">
            <v>=</v>
          </cell>
          <cell r="DK725" t="str">
            <v>=</v>
          </cell>
          <cell r="DL725" t="str">
            <v>=</v>
          </cell>
          <cell r="DM725" t="str">
            <v>=</v>
          </cell>
          <cell r="DN725" t="str">
            <v>=</v>
          </cell>
          <cell r="DO725" t="str">
            <v>=</v>
          </cell>
          <cell r="DP725" t="str">
            <v>=</v>
          </cell>
          <cell r="DQ725" t="str">
            <v>=</v>
          </cell>
          <cell r="DR725" t="str">
            <v>=</v>
          </cell>
          <cell r="DS725" t="str">
            <v>=</v>
          </cell>
          <cell r="DT725" t="str">
            <v>=</v>
          </cell>
          <cell r="DU725" t="str">
            <v>=</v>
          </cell>
          <cell r="DV725" t="str">
            <v>=</v>
          </cell>
          <cell r="DW725" t="str">
            <v>=</v>
          </cell>
          <cell r="DX725" t="str">
            <v>=</v>
          </cell>
          <cell r="DY725" t="str">
            <v>=</v>
          </cell>
          <cell r="DZ725" t="str">
            <v>=</v>
          </cell>
          <cell r="EA725" t="str">
            <v>=</v>
          </cell>
          <cell r="EB725" t="str">
            <v>=</v>
          </cell>
          <cell r="EC725" t="str">
            <v>=</v>
          </cell>
          <cell r="ED725" t="str">
            <v>=</v>
          </cell>
        </row>
        <row r="726">
          <cell r="A726" t="str">
            <v>Total Resources</v>
          </cell>
          <cell r="F726">
            <v>1281.8726265998557</v>
          </cell>
          <cell r="G726">
            <v>727.40856700111181</v>
          </cell>
          <cell r="H726">
            <v>968.94433900061995</v>
          </cell>
          <cell r="I726">
            <v>684.53577440045774</v>
          </cell>
          <cell r="J726">
            <v>498.60456799995154</v>
          </cell>
          <cell r="K726">
            <v>700.93218680005521</v>
          </cell>
          <cell r="L726">
            <v>1402.1116985017434</v>
          </cell>
          <cell r="M726">
            <v>842.91542099788785</v>
          </cell>
          <cell r="N726">
            <v>757.17379030026495</v>
          </cell>
          <cell r="O726">
            <v>608.14029290061444</v>
          </cell>
          <cell r="P726">
            <v>1155.0184579994529</v>
          </cell>
          <cell r="Q726">
            <v>1599.0831661010161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0</v>
          </cell>
          <cell r="CU726">
            <v>0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</row>
        <row r="727">
          <cell r="F727" t="str">
            <v>=</v>
          </cell>
          <cell r="G727" t="str">
            <v>=</v>
          </cell>
          <cell r="H727" t="str">
            <v>=</v>
          </cell>
          <cell r="I727" t="str">
            <v>=</v>
          </cell>
          <cell r="J727" t="str">
            <v>=</v>
          </cell>
          <cell r="K727" t="str">
            <v>=</v>
          </cell>
          <cell r="L727" t="str">
            <v>=</v>
          </cell>
          <cell r="M727" t="str">
            <v>=</v>
          </cell>
          <cell r="N727" t="str">
            <v>=</v>
          </cell>
          <cell r="O727" t="str">
            <v>=</v>
          </cell>
          <cell r="P727" t="str">
            <v>=</v>
          </cell>
          <cell r="Q727" t="str">
            <v>=</v>
          </cell>
          <cell r="R727" t="str">
            <v>=</v>
          </cell>
          <cell r="S727" t="str">
            <v>=</v>
          </cell>
          <cell r="T727" t="str">
            <v>=</v>
          </cell>
          <cell r="U727" t="str">
            <v>=</v>
          </cell>
          <cell r="V727" t="str">
            <v>=</v>
          </cell>
          <cell r="W727" t="str">
            <v>=</v>
          </cell>
          <cell r="X727" t="str">
            <v>=</v>
          </cell>
          <cell r="Y727" t="str">
            <v>=</v>
          </cell>
          <cell r="Z727" t="str">
            <v>=</v>
          </cell>
          <cell r="AA727" t="str">
            <v>=</v>
          </cell>
          <cell r="AB727" t="str">
            <v>=</v>
          </cell>
          <cell r="AC727" t="str">
            <v>=</v>
          </cell>
          <cell r="AD727" t="str">
            <v>=</v>
          </cell>
          <cell r="AE727" t="str">
            <v>=</v>
          </cell>
          <cell r="AF727" t="str">
            <v>=</v>
          </cell>
          <cell r="AG727" t="str">
            <v>=</v>
          </cell>
          <cell r="AH727" t="str">
            <v>=</v>
          </cell>
          <cell r="AI727" t="str">
            <v>=</v>
          </cell>
          <cell r="AJ727" t="str">
            <v>=</v>
          </cell>
          <cell r="AK727" t="str">
            <v>=</v>
          </cell>
          <cell r="AL727" t="str">
            <v>=</v>
          </cell>
          <cell r="AM727" t="str">
            <v>=</v>
          </cell>
          <cell r="AN727" t="str">
            <v>=</v>
          </cell>
          <cell r="AO727" t="str">
            <v>=</v>
          </cell>
          <cell r="AP727" t="str">
            <v>=</v>
          </cell>
          <cell r="AQ727" t="str">
            <v>=</v>
          </cell>
          <cell r="AR727" t="str">
            <v>=</v>
          </cell>
          <cell r="AS727" t="str">
            <v>=</v>
          </cell>
          <cell r="AT727" t="str">
            <v>=</v>
          </cell>
          <cell r="AU727" t="str">
            <v>=</v>
          </cell>
          <cell r="AV727" t="str">
            <v>=</v>
          </cell>
          <cell r="AW727" t="str">
            <v>=</v>
          </cell>
          <cell r="AX727" t="str">
            <v>=</v>
          </cell>
          <cell r="AY727" t="str">
            <v>=</v>
          </cell>
          <cell r="AZ727" t="str">
            <v>=</v>
          </cell>
          <cell r="BA727" t="str">
            <v>=</v>
          </cell>
          <cell r="BB727" t="str">
            <v>=</v>
          </cell>
          <cell r="BC727" t="str">
            <v>=</v>
          </cell>
          <cell r="BD727" t="str">
            <v>=</v>
          </cell>
          <cell r="BE727" t="str">
            <v>=</v>
          </cell>
          <cell r="BF727" t="str">
            <v>=</v>
          </cell>
          <cell r="BG727" t="str">
            <v>=</v>
          </cell>
          <cell r="BH727" t="str">
            <v>=</v>
          </cell>
          <cell r="BI727" t="str">
            <v>=</v>
          </cell>
          <cell r="BJ727" t="str">
            <v>=</v>
          </cell>
          <cell r="BK727" t="str">
            <v>=</v>
          </cell>
          <cell r="BL727" t="str">
            <v>=</v>
          </cell>
          <cell r="BM727" t="str">
            <v>=</v>
          </cell>
          <cell r="BN727" t="str">
            <v>=</v>
          </cell>
          <cell r="BO727" t="str">
            <v>=</v>
          </cell>
          <cell r="BP727" t="str">
            <v>=</v>
          </cell>
          <cell r="BQ727" t="str">
            <v>=</v>
          </cell>
          <cell r="BR727" t="str">
            <v>=</v>
          </cell>
          <cell r="BS727" t="str">
            <v>=</v>
          </cell>
          <cell r="BT727" t="str">
            <v>=</v>
          </cell>
          <cell r="BU727" t="str">
            <v>=</v>
          </cell>
          <cell r="BV727" t="str">
            <v>=</v>
          </cell>
          <cell r="BW727" t="str">
            <v>=</v>
          </cell>
          <cell r="BX727" t="str">
            <v>=</v>
          </cell>
          <cell r="BY727" t="str">
            <v>=</v>
          </cell>
          <cell r="BZ727" t="str">
            <v>=</v>
          </cell>
          <cell r="CA727" t="str">
            <v>=</v>
          </cell>
          <cell r="CB727" t="str">
            <v>=</v>
          </cell>
          <cell r="CC727" t="str">
            <v>=</v>
          </cell>
          <cell r="CD727" t="str">
            <v>=</v>
          </cell>
          <cell r="CE727" t="str">
            <v>=</v>
          </cell>
          <cell r="CF727" t="str">
            <v>=</v>
          </cell>
          <cell r="CG727" t="str">
            <v>=</v>
          </cell>
          <cell r="CH727" t="str">
            <v>=</v>
          </cell>
          <cell r="CI727" t="str">
            <v>=</v>
          </cell>
          <cell r="CJ727" t="str">
            <v>=</v>
          </cell>
          <cell r="CK727" t="str">
            <v>=</v>
          </cell>
          <cell r="CL727" t="str">
            <v>=</v>
          </cell>
          <cell r="CM727" t="str">
            <v>=</v>
          </cell>
          <cell r="CN727" t="str">
            <v>=</v>
          </cell>
          <cell r="CO727" t="str">
            <v>=</v>
          </cell>
          <cell r="CP727" t="str">
            <v>=</v>
          </cell>
          <cell r="CQ727" t="str">
            <v>=</v>
          </cell>
          <cell r="CR727" t="str">
            <v>=</v>
          </cell>
          <cell r="CS727" t="str">
            <v>=</v>
          </cell>
          <cell r="CT727" t="str">
            <v>=</v>
          </cell>
          <cell r="CU727" t="str">
            <v>=</v>
          </cell>
          <cell r="CV727" t="str">
            <v>=</v>
          </cell>
          <cell r="CW727" t="str">
            <v>=</v>
          </cell>
          <cell r="CX727" t="str">
            <v>=</v>
          </cell>
          <cell r="CY727" t="str">
            <v>=</v>
          </cell>
          <cell r="CZ727" t="str">
            <v>=</v>
          </cell>
          <cell r="DA727" t="str">
            <v>=</v>
          </cell>
          <cell r="DB727" t="str">
            <v>=</v>
          </cell>
          <cell r="DC727" t="str">
            <v>=</v>
          </cell>
          <cell r="DD727" t="str">
            <v>=</v>
          </cell>
          <cell r="DE727" t="str">
            <v>=</v>
          </cell>
          <cell r="DF727" t="str">
            <v>=</v>
          </cell>
          <cell r="DG727" t="str">
            <v>=</v>
          </cell>
          <cell r="DH727" t="str">
            <v>=</v>
          </cell>
          <cell r="DI727" t="str">
            <v>=</v>
          </cell>
          <cell r="DJ727" t="str">
            <v>=</v>
          </cell>
          <cell r="DK727" t="str">
            <v>=</v>
          </cell>
          <cell r="DL727" t="str">
            <v>=</v>
          </cell>
          <cell r="DM727" t="str">
            <v>=</v>
          </cell>
          <cell r="DN727" t="str">
            <v>=</v>
          </cell>
          <cell r="DO727" t="str">
            <v>=</v>
          </cell>
          <cell r="DP727" t="str">
            <v>=</v>
          </cell>
          <cell r="DQ727" t="str">
            <v>=</v>
          </cell>
          <cell r="DR727" t="str">
            <v>=</v>
          </cell>
          <cell r="DS727" t="str">
            <v>=</v>
          </cell>
          <cell r="DT727" t="str">
            <v>=</v>
          </cell>
          <cell r="DU727" t="str">
            <v>=</v>
          </cell>
          <cell r="DV727" t="str">
            <v>=</v>
          </cell>
          <cell r="DW727" t="str">
            <v>=</v>
          </cell>
          <cell r="DX727" t="str">
            <v>=</v>
          </cell>
          <cell r="DY727" t="str">
            <v>=</v>
          </cell>
          <cell r="DZ727" t="str">
            <v>=</v>
          </cell>
          <cell r="EA727" t="str">
            <v>=</v>
          </cell>
          <cell r="EB727" t="str">
            <v>=</v>
          </cell>
          <cell r="EC727" t="str">
            <v>=</v>
          </cell>
          <cell r="ED727" t="str">
            <v>=</v>
          </cell>
        </row>
        <row r="728"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 t="str">
            <v/>
          </cell>
          <cell r="BU728" t="str">
            <v/>
          </cell>
          <cell r="BV728" t="str">
            <v/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 t="str">
            <v/>
          </cell>
          <cell r="CC728" t="str">
            <v/>
          </cell>
          <cell r="CD728" t="str">
            <v/>
          </cell>
          <cell r="CE728" t="str">
            <v/>
          </cell>
          <cell r="CF728" t="str">
            <v/>
          </cell>
          <cell r="CG728" t="str">
            <v/>
          </cell>
          <cell r="CH728" t="str">
            <v/>
          </cell>
          <cell r="CI728" t="str">
            <v/>
          </cell>
          <cell r="CJ728" t="str">
            <v/>
          </cell>
          <cell r="CK728" t="str">
            <v/>
          </cell>
          <cell r="CL728" t="str">
            <v/>
          </cell>
          <cell r="CM728" t="str">
            <v/>
          </cell>
          <cell r="CN728" t="str">
            <v/>
          </cell>
          <cell r="CO728" t="str">
            <v/>
          </cell>
          <cell r="CP728" t="str">
            <v/>
          </cell>
          <cell r="CQ728" t="str">
            <v/>
          </cell>
          <cell r="CR728" t="str">
            <v/>
          </cell>
          <cell r="CS728" t="str">
            <v/>
          </cell>
          <cell r="CT728" t="str">
            <v/>
          </cell>
          <cell r="CU728" t="str">
            <v/>
          </cell>
          <cell r="CV728" t="str">
            <v/>
          </cell>
          <cell r="CW728" t="str">
            <v/>
          </cell>
          <cell r="CX728" t="str">
            <v/>
          </cell>
          <cell r="CY728" t="str">
            <v/>
          </cell>
          <cell r="CZ728" t="str">
            <v/>
          </cell>
          <cell r="DA728" t="str">
            <v/>
          </cell>
          <cell r="DB728" t="str">
            <v/>
          </cell>
          <cell r="DC728" t="str">
            <v/>
          </cell>
          <cell r="DD728" t="str">
            <v/>
          </cell>
          <cell r="DE728" t="str">
            <v/>
          </cell>
          <cell r="DF728" t="str">
            <v/>
          </cell>
          <cell r="DG728" t="str">
            <v/>
          </cell>
          <cell r="DH728" t="str">
            <v/>
          </cell>
          <cell r="DI728" t="str">
            <v/>
          </cell>
          <cell r="DJ728" t="str">
            <v/>
          </cell>
          <cell r="DK728" t="str">
            <v/>
          </cell>
          <cell r="DL728" t="str">
            <v/>
          </cell>
          <cell r="DM728" t="str">
            <v/>
          </cell>
          <cell r="DN728" t="str">
            <v/>
          </cell>
          <cell r="DO728" t="str">
            <v/>
          </cell>
          <cell r="DP728" t="str">
            <v/>
          </cell>
          <cell r="DQ728" t="str">
            <v/>
          </cell>
          <cell r="DR728" t="str">
            <v/>
          </cell>
          <cell r="DS728" t="str">
            <v/>
          </cell>
          <cell r="DT728" t="str">
            <v/>
          </cell>
          <cell r="DU728" t="str">
            <v/>
          </cell>
          <cell r="DV728" t="str">
            <v/>
          </cell>
          <cell r="DW728" t="str">
            <v/>
          </cell>
          <cell r="DX728" t="str">
            <v/>
          </cell>
          <cell r="DY728" t="str">
            <v/>
          </cell>
          <cell r="DZ728" t="str">
            <v/>
          </cell>
          <cell r="EA728" t="str">
            <v/>
          </cell>
          <cell r="EB728" t="str">
            <v/>
          </cell>
          <cell r="EC728" t="str">
            <v/>
          </cell>
          <cell r="ED728" t="str">
            <v/>
          </cell>
        </row>
        <row r="729"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/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  <cell r="BI729" t="str">
            <v/>
          </cell>
          <cell r="BJ729" t="str">
            <v/>
          </cell>
          <cell r="BK729" t="str">
            <v/>
          </cell>
          <cell r="BL729" t="str">
            <v/>
          </cell>
          <cell r="BM729" t="str">
            <v/>
          </cell>
          <cell r="BN729" t="str">
            <v/>
          </cell>
          <cell r="BO729" t="str">
            <v/>
          </cell>
          <cell r="BP729" t="str">
            <v/>
          </cell>
          <cell r="BQ729" t="str">
            <v/>
          </cell>
          <cell r="BR729" t="str">
            <v/>
          </cell>
          <cell r="BS729" t="str">
            <v/>
          </cell>
          <cell r="BT729" t="str">
            <v/>
          </cell>
          <cell r="BU729" t="str">
            <v/>
          </cell>
          <cell r="BV729" t="str">
            <v/>
          </cell>
          <cell r="BW729" t="str">
            <v/>
          </cell>
          <cell r="BX729" t="str">
            <v/>
          </cell>
          <cell r="BY729" t="str">
            <v/>
          </cell>
          <cell r="BZ729" t="str">
            <v/>
          </cell>
          <cell r="CA729" t="str">
            <v/>
          </cell>
          <cell r="CB729" t="str">
            <v/>
          </cell>
          <cell r="CC729" t="str">
            <v/>
          </cell>
          <cell r="CD729" t="str">
            <v/>
          </cell>
          <cell r="CE729" t="str">
            <v/>
          </cell>
          <cell r="CF729" t="str">
            <v/>
          </cell>
          <cell r="CG729" t="str">
            <v/>
          </cell>
          <cell r="CH729" t="str">
            <v/>
          </cell>
          <cell r="CI729" t="str">
            <v/>
          </cell>
          <cell r="CJ729" t="str">
            <v/>
          </cell>
          <cell r="CK729" t="str">
            <v/>
          </cell>
          <cell r="CL729" t="str">
            <v/>
          </cell>
          <cell r="CM729" t="str">
            <v/>
          </cell>
          <cell r="CN729" t="str">
            <v/>
          </cell>
          <cell r="CO729" t="str">
            <v/>
          </cell>
          <cell r="CP729" t="str">
            <v/>
          </cell>
          <cell r="CQ729" t="str">
            <v/>
          </cell>
          <cell r="CR729" t="str">
            <v/>
          </cell>
          <cell r="CS729" t="str">
            <v/>
          </cell>
          <cell r="CT729" t="str">
            <v/>
          </cell>
          <cell r="CU729" t="str">
            <v/>
          </cell>
          <cell r="CV729" t="str">
            <v/>
          </cell>
          <cell r="CW729" t="str">
            <v/>
          </cell>
          <cell r="CX729" t="str">
            <v/>
          </cell>
          <cell r="CY729" t="str">
            <v/>
          </cell>
          <cell r="CZ729" t="str">
            <v/>
          </cell>
          <cell r="DA729" t="str">
            <v/>
          </cell>
          <cell r="DB729" t="str">
            <v/>
          </cell>
          <cell r="DC729" t="str">
            <v/>
          </cell>
          <cell r="DD729" t="str">
            <v/>
          </cell>
          <cell r="DE729" t="str">
            <v/>
          </cell>
          <cell r="DF729" t="str">
            <v/>
          </cell>
          <cell r="DG729" t="str">
            <v/>
          </cell>
          <cell r="DH729" t="str">
            <v/>
          </cell>
          <cell r="DI729" t="str">
            <v/>
          </cell>
          <cell r="DJ729" t="str">
            <v/>
          </cell>
          <cell r="DK729" t="str">
            <v/>
          </cell>
          <cell r="DL729" t="str">
            <v/>
          </cell>
          <cell r="DM729" t="str">
            <v/>
          </cell>
          <cell r="DN729" t="str">
            <v/>
          </cell>
          <cell r="DO729" t="str">
            <v/>
          </cell>
          <cell r="DP729" t="str">
            <v/>
          </cell>
          <cell r="DQ729" t="str">
            <v/>
          </cell>
          <cell r="DR729" t="str">
            <v/>
          </cell>
          <cell r="DS729" t="str">
            <v/>
          </cell>
          <cell r="DT729" t="str">
            <v/>
          </cell>
          <cell r="DU729" t="str">
            <v/>
          </cell>
          <cell r="DV729" t="str">
            <v/>
          </cell>
          <cell r="DW729" t="str">
            <v/>
          </cell>
          <cell r="DX729" t="str">
            <v/>
          </cell>
          <cell r="DY729" t="str">
            <v/>
          </cell>
          <cell r="DZ729" t="str">
            <v/>
          </cell>
          <cell r="EA729" t="str">
            <v/>
          </cell>
          <cell r="EB729" t="str">
            <v/>
          </cell>
          <cell r="EC729" t="str">
            <v/>
          </cell>
          <cell r="ED729" t="str">
            <v/>
          </cell>
        </row>
        <row r="730">
          <cell r="J730" t="str">
            <v>"The Rack"</v>
          </cell>
          <cell r="W730" t="str">
            <v>"The Rack"</v>
          </cell>
          <cell r="AJ730" t="str">
            <v>"The Rack"</v>
          </cell>
          <cell r="AW730" t="str">
            <v>"The Rack"</v>
          </cell>
          <cell r="BJ730" t="str">
            <v>"The Rack"</v>
          </cell>
          <cell r="BW730" t="str">
            <v>"The Rack"</v>
          </cell>
          <cell r="CJ730" t="str">
            <v>"The Rack"</v>
          </cell>
          <cell r="CW730" t="str">
            <v>"The Rack"</v>
          </cell>
          <cell r="DJ730" t="str">
            <v>"The Rack"</v>
          </cell>
          <cell r="DW730" t="str">
            <v>"The Rack"</v>
          </cell>
        </row>
        <row r="732">
          <cell r="A732" t="str">
            <v>Fuel Burned  (MMBtu)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-514.86000000010245</v>
          </cell>
          <cell r="G734">
            <v>-808.03000000002794</v>
          </cell>
          <cell r="H734">
            <v>-883.28999999980442</v>
          </cell>
          <cell r="I734">
            <v>-1598.3800000000047</v>
          </cell>
          <cell r="J734">
            <v>-166.37999999988824</v>
          </cell>
          <cell r="K734">
            <v>-601.21999999997206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-343.07999999984168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-2616.2199999999721</v>
          </cell>
          <cell r="G735">
            <v>-1292.8100000000559</v>
          </cell>
          <cell r="H735">
            <v>-1556.2799999999115</v>
          </cell>
          <cell r="I735">
            <v>-1301.8800000000047</v>
          </cell>
          <cell r="J735">
            <v>-457.94999999995343</v>
          </cell>
          <cell r="K735">
            <v>-2321.5600000000559</v>
          </cell>
          <cell r="L735">
            <v>-303.1500000001397</v>
          </cell>
          <cell r="M735">
            <v>-1100.6499999999069</v>
          </cell>
          <cell r="N735">
            <v>-815.09000000008382</v>
          </cell>
          <cell r="O735">
            <v>-1970.7199999999721</v>
          </cell>
          <cell r="P735">
            <v>-1107.9699999999721</v>
          </cell>
          <cell r="Q735">
            <v>-2089.8999999999069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-1381.8000000007451</v>
          </cell>
          <cell r="G736">
            <v>-367.99999999906868</v>
          </cell>
          <cell r="H736">
            <v>-1088.6400000001304</v>
          </cell>
          <cell r="I736">
            <v>-1525.6999999992549</v>
          </cell>
          <cell r="J736">
            <v>-1505.7599999997765</v>
          </cell>
          <cell r="K736">
            <v>-194.24000000022352</v>
          </cell>
          <cell r="L736">
            <v>-207.26000000070781</v>
          </cell>
          <cell r="M736">
            <v>0</v>
          </cell>
          <cell r="N736">
            <v>0</v>
          </cell>
          <cell r="O736">
            <v>0</v>
          </cell>
          <cell r="P736">
            <v>-191.45999999996275</v>
          </cell>
          <cell r="Q736">
            <v>-98.400000000372529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-2044.8800000000047</v>
          </cell>
          <cell r="G737">
            <v>-1521.8699999999953</v>
          </cell>
          <cell r="H737">
            <v>-395.52999999996973</v>
          </cell>
          <cell r="I737">
            <v>-169.09999999997672</v>
          </cell>
          <cell r="J737">
            <v>-226.90999999997439</v>
          </cell>
          <cell r="K737">
            <v>-390.23999999999069</v>
          </cell>
          <cell r="L737">
            <v>-919.26999999996042</v>
          </cell>
          <cell r="M737">
            <v>-965.76999999996042</v>
          </cell>
          <cell r="N737">
            <v>-735.94000000000233</v>
          </cell>
          <cell r="O737">
            <v>-620.27000000001863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-18758</v>
          </cell>
          <cell r="G738">
            <v>-19526.199999999255</v>
          </cell>
          <cell r="H738">
            <v>-19130.600000000559</v>
          </cell>
          <cell r="I738">
            <v>-22028.860000000335</v>
          </cell>
          <cell r="J738">
            <v>-33468.700000000186</v>
          </cell>
          <cell r="K738">
            <v>-22175.899999999441</v>
          </cell>
          <cell r="L738">
            <v>-6657.2000000001863</v>
          </cell>
          <cell r="M738">
            <v>-4767.5999999996275</v>
          </cell>
          <cell r="N738">
            <v>-15661.400000000373</v>
          </cell>
          <cell r="O738">
            <v>-23236.900000000373</v>
          </cell>
          <cell r="P738">
            <v>-27594.399999999441</v>
          </cell>
          <cell r="Q738">
            <v>-20282.200000000186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39">
          <cell r="F739">
            <v>-5334.7000000001863</v>
          </cell>
          <cell r="G739">
            <v>-7743.2999999998137</v>
          </cell>
          <cell r="H739">
            <v>-12401.5</v>
          </cell>
          <cell r="I739">
            <v>-15450.799999999814</v>
          </cell>
          <cell r="J739">
            <v>-20831.5</v>
          </cell>
          <cell r="K739">
            <v>-6712.7000000001863</v>
          </cell>
          <cell r="L739">
            <v>-4559.4000000003725</v>
          </cell>
          <cell r="M739">
            <v>-2097.2999999998137</v>
          </cell>
          <cell r="N739">
            <v>-1109.7999999998137</v>
          </cell>
          <cell r="O739">
            <v>-8099.5999999996275</v>
          </cell>
          <cell r="P739">
            <v>-7347.5</v>
          </cell>
          <cell r="Q739">
            <v>-6208.2999999998137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</row>
        <row r="740">
          <cell r="F740">
            <v>-40221.360000000335</v>
          </cell>
          <cell r="G740">
            <v>-28445.719999999739</v>
          </cell>
          <cell r="H740">
            <v>-32870.599999999627</v>
          </cell>
          <cell r="I740">
            <v>-18282.560000000056</v>
          </cell>
          <cell r="J740">
            <v>-17391.840000000317</v>
          </cell>
          <cell r="K740">
            <v>-37023.560000000056</v>
          </cell>
          <cell r="L740">
            <v>-44825.200000000186</v>
          </cell>
          <cell r="M740">
            <v>-49441</v>
          </cell>
          <cell r="N740">
            <v>-42973.349999999627</v>
          </cell>
          <cell r="O740">
            <v>-38500.009999999776</v>
          </cell>
          <cell r="P740">
            <v>-35902.100000000559</v>
          </cell>
          <cell r="Q740">
            <v>-29818.200000001118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-14806.700000000186</v>
          </cell>
          <cell r="G741">
            <v>-16705.820000000065</v>
          </cell>
          <cell r="H741">
            <v>-3654.25</v>
          </cell>
          <cell r="I741">
            <v>-2850.9800000000978</v>
          </cell>
          <cell r="J741">
            <v>-1696.6900000000605</v>
          </cell>
          <cell r="K741">
            <v>-3074.1199999999953</v>
          </cell>
          <cell r="L741">
            <v>-9771.6000000000931</v>
          </cell>
          <cell r="M741">
            <v>-8258.0399999998044</v>
          </cell>
          <cell r="N741">
            <v>-7716.2800000000279</v>
          </cell>
          <cell r="O741">
            <v>-5617.0899999999674</v>
          </cell>
          <cell r="P741">
            <v>-5814.2800000000279</v>
          </cell>
          <cell r="Q741">
            <v>-10266.010000000009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0</v>
          </cell>
          <cell r="G742">
            <v>-706</v>
          </cell>
          <cell r="H742">
            <v>-215.70000000018626</v>
          </cell>
          <cell r="I742">
            <v>-1252.3999999999069</v>
          </cell>
          <cell r="J742">
            <v>-1335.7999999998137</v>
          </cell>
          <cell r="K742">
            <v>-1107.3999999999069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-114.79999999981374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4">
          <cell r="F744">
            <v>-332.29999999981374</v>
          </cell>
          <cell r="G744">
            <v>-718.5</v>
          </cell>
          <cell r="H744">
            <v>-1062.3999999999069</v>
          </cell>
          <cell r="I744">
            <v>-2590.5999999999767</v>
          </cell>
          <cell r="J744">
            <v>-1967.8000000000466</v>
          </cell>
          <cell r="K744">
            <v>-1618</v>
          </cell>
          <cell r="L744">
            <v>-4322.8000000000466</v>
          </cell>
          <cell r="M744">
            <v>-5689</v>
          </cell>
          <cell r="N744">
            <v>-7492.1999999999534</v>
          </cell>
          <cell r="O744">
            <v>-6210.5</v>
          </cell>
          <cell r="P744">
            <v>-842.5</v>
          </cell>
          <cell r="Q744">
            <v>-446.5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-4189.0200000002515</v>
          </cell>
          <cell r="G746">
            <v>-2192.3699999998789</v>
          </cell>
          <cell r="H746">
            <v>-3100.5300000000279</v>
          </cell>
          <cell r="I746">
            <v>-3078.1000000000931</v>
          </cell>
          <cell r="J746">
            <v>-1779.9010000000708</v>
          </cell>
          <cell r="K746">
            <v>-4728.910000000149</v>
          </cell>
          <cell r="L746">
            <v>-2264.9799999995157</v>
          </cell>
          <cell r="M746">
            <v>-2500.2740000002086</v>
          </cell>
          <cell r="N746">
            <v>-5493.7199999997392</v>
          </cell>
          <cell r="O746">
            <v>-3291.1200000001118</v>
          </cell>
          <cell r="P746">
            <v>-4054.3199999998324</v>
          </cell>
          <cell r="Q746">
            <v>-3159.5300000000279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-480.17200000002049</v>
          </cell>
          <cell r="G748">
            <v>-658.4210000000021</v>
          </cell>
          <cell r="H748">
            <v>-317.07499999998254</v>
          </cell>
          <cell r="I748">
            <v>-670.96000000002095</v>
          </cell>
          <cell r="J748">
            <v>-784.12200000000303</v>
          </cell>
          <cell r="K748">
            <v>-801.59499999997206</v>
          </cell>
          <cell r="L748">
            <v>-466.29999999998836</v>
          </cell>
          <cell r="M748">
            <v>-1398.9400000000605</v>
          </cell>
          <cell r="N748">
            <v>-2106.859999999986</v>
          </cell>
          <cell r="O748">
            <v>-710.74999999994179</v>
          </cell>
          <cell r="P748">
            <v>-1372.4349999999977</v>
          </cell>
          <cell r="Q748">
            <v>-656.1590000000142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-505.5</v>
          </cell>
          <cell r="J749">
            <v>0</v>
          </cell>
          <cell r="K749">
            <v>-215.89999999996508</v>
          </cell>
          <cell r="L749">
            <v>0</v>
          </cell>
          <cell r="M749">
            <v>0</v>
          </cell>
          <cell r="N749">
            <v>0</v>
          </cell>
          <cell r="O749">
            <v>-1317.1499999999069</v>
          </cell>
          <cell r="P749">
            <v>-796.40000000002328</v>
          </cell>
          <cell r="Q749">
            <v>-1321.9499999999534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</row>
        <row r="750">
          <cell r="F750">
            <v>-5509.5999999998603</v>
          </cell>
          <cell r="G750">
            <v>-4049.3999999999069</v>
          </cell>
          <cell r="H750">
            <v>-6462.7999999998137</v>
          </cell>
          <cell r="I750">
            <v>-3604.3999999999069</v>
          </cell>
          <cell r="J750">
            <v>-3030</v>
          </cell>
          <cell r="K750">
            <v>-4375</v>
          </cell>
          <cell r="L750">
            <v>-1868.2000000001863</v>
          </cell>
          <cell r="M750">
            <v>-2153.2999999998137</v>
          </cell>
          <cell r="N750">
            <v>-5323.2999999998137</v>
          </cell>
          <cell r="O750">
            <v>-5899.3999999999069</v>
          </cell>
          <cell r="P750">
            <v>-6089.3999999999069</v>
          </cell>
          <cell r="Q750">
            <v>-5241.8000000000466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-2609.0369999997783</v>
          </cell>
          <cell r="G751">
            <v>-1988.7929999998305</v>
          </cell>
          <cell r="H751">
            <v>-2126.8669999998529</v>
          </cell>
          <cell r="I751">
            <v>-4041.3870000001043</v>
          </cell>
          <cell r="J751">
            <v>-2880.589999999851</v>
          </cell>
          <cell r="K751">
            <v>-7818.0800000000745</v>
          </cell>
          <cell r="L751">
            <v>-6772.2200000002049</v>
          </cell>
          <cell r="M751">
            <v>-7279.8400000003166</v>
          </cell>
          <cell r="N751">
            <v>-4171.7139999999199</v>
          </cell>
          <cell r="O751">
            <v>-4879.7500000004657</v>
          </cell>
          <cell r="P751">
            <v>-4207.1940000001341</v>
          </cell>
          <cell r="Q751">
            <v>-5524.0459999998566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3">
          <cell r="A763" t="str">
            <v>Burn Rate (MMBtu/MWh)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</row>
        <row r="765">
          <cell r="F765">
            <v>1E-3</v>
          </cell>
          <cell r="G765">
            <v>1E-3</v>
          </cell>
          <cell r="H765">
            <v>1E-3</v>
          </cell>
          <cell r="I765">
            <v>2E-3</v>
          </cell>
          <cell r="J765">
            <v>0</v>
          </cell>
          <cell r="K765">
            <v>1E-3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1E-3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</row>
        <row r="766">
          <cell r="F766">
            <v>1E-3</v>
          </cell>
          <cell r="G766">
            <v>1E-3</v>
          </cell>
          <cell r="H766">
            <v>1E-3</v>
          </cell>
          <cell r="I766">
            <v>1E-3</v>
          </cell>
          <cell r="J766">
            <v>0</v>
          </cell>
          <cell r="K766">
            <v>1E-3</v>
          </cell>
          <cell r="L766">
            <v>0</v>
          </cell>
          <cell r="M766">
            <v>0</v>
          </cell>
          <cell r="N766">
            <v>0</v>
          </cell>
          <cell r="O766">
            <v>1E-3</v>
          </cell>
          <cell r="P766">
            <v>3.0000000000000001E-3</v>
          </cell>
          <cell r="Q766">
            <v>4.0000000000000001E-3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</row>
        <row r="768">
          <cell r="F768">
            <v>6.0000000000000001E-3</v>
          </cell>
          <cell r="G768">
            <v>4.0000000000000001E-3</v>
          </cell>
          <cell r="H768">
            <v>2E-3</v>
          </cell>
          <cell r="I768">
            <v>1E-3</v>
          </cell>
          <cell r="J768">
            <v>0</v>
          </cell>
          <cell r="K768">
            <v>1E-3</v>
          </cell>
          <cell r="L768">
            <v>3.0000000000000001E-3</v>
          </cell>
          <cell r="M768">
            <v>2E-3</v>
          </cell>
          <cell r="N768">
            <v>2E-3</v>
          </cell>
          <cell r="O768">
            <v>2E-3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</row>
        <row r="769">
          <cell r="F769">
            <v>1E-3</v>
          </cell>
          <cell r="G769">
            <v>2E-3</v>
          </cell>
          <cell r="H769">
            <v>3.0000000000000001E-3</v>
          </cell>
          <cell r="I769">
            <v>5.0000000000000001E-3</v>
          </cell>
          <cell r="J769">
            <v>8.0000000000000002E-3</v>
          </cell>
          <cell r="K769">
            <v>2E-3</v>
          </cell>
          <cell r="L769">
            <v>1E-3</v>
          </cell>
          <cell r="M769">
            <v>0</v>
          </cell>
          <cell r="N769">
            <v>1E-3</v>
          </cell>
          <cell r="O769">
            <v>2E-3</v>
          </cell>
          <cell r="P769">
            <v>3.0000000000000001E-3</v>
          </cell>
          <cell r="Q769">
            <v>2E-3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</row>
        <row r="770">
          <cell r="F770">
            <v>1E-3</v>
          </cell>
          <cell r="G770">
            <v>1E-3</v>
          </cell>
          <cell r="H770">
            <v>2E-3</v>
          </cell>
          <cell r="I770">
            <v>3.0000000000000001E-3</v>
          </cell>
          <cell r="J770">
            <v>4.0000000000000001E-3</v>
          </cell>
          <cell r="K770">
            <v>1E-3</v>
          </cell>
          <cell r="L770">
            <v>1E-3</v>
          </cell>
          <cell r="M770">
            <v>0</v>
          </cell>
          <cell r="N770">
            <v>0</v>
          </cell>
          <cell r="O770">
            <v>1E-3</v>
          </cell>
          <cell r="P770">
            <v>1E-3</v>
          </cell>
          <cell r="Q770">
            <v>1E-3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</row>
        <row r="771">
          <cell r="F771">
            <v>1.2999999999999999E-2</v>
          </cell>
          <cell r="G771">
            <v>8.9999999999999993E-3</v>
          </cell>
          <cell r="H771">
            <v>7.0000000000000001E-3</v>
          </cell>
          <cell r="I771">
            <v>1.4999999999999999E-2</v>
          </cell>
          <cell r="J771">
            <v>2.5000000000000001E-2</v>
          </cell>
          <cell r="K771">
            <v>1.7999999999999999E-2</v>
          </cell>
          <cell r="L771">
            <v>7.0000000000000001E-3</v>
          </cell>
          <cell r="M771">
            <v>8.0000000000000002E-3</v>
          </cell>
          <cell r="N771">
            <v>1.7000000000000001E-2</v>
          </cell>
          <cell r="O771">
            <v>1.7000000000000001E-2</v>
          </cell>
          <cell r="P771">
            <v>1.2E-2</v>
          </cell>
          <cell r="Q771">
            <v>8.0000000000000002E-3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</row>
        <row r="772">
          <cell r="F772">
            <v>3.6999999999999998E-2</v>
          </cell>
          <cell r="G772">
            <v>0.04</v>
          </cell>
          <cell r="H772">
            <v>3.5999999999999997E-2</v>
          </cell>
          <cell r="I772">
            <v>4.3999999999999997E-2</v>
          </cell>
          <cell r="J772">
            <v>0.04</v>
          </cell>
          <cell r="K772">
            <v>3.2000000000000001E-2</v>
          </cell>
          <cell r="L772">
            <v>3.2000000000000001E-2</v>
          </cell>
          <cell r="M772">
            <v>2.5000000000000001E-2</v>
          </cell>
          <cell r="N772">
            <v>4.1000000000000002E-2</v>
          </cell>
          <cell r="O772">
            <v>0.06</v>
          </cell>
          <cell r="P772">
            <v>5.8000000000000003E-2</v>
          </cell>
          <cell r="Q772">
            <v>5.6000000000000001E-2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</row>
        <row r="773">
          <cell r="F773">
            <v>0</v>
          </cell>
          <cell r="G773">
            <v>1E-3</v>
          </cell>
          <cell r="H773">
            <v>0</v>
          </cell>
          <cell r="I773">
            <v>1E-3</v>
          </cell>
          <cell r="J773">
            <v>1E-3</v>
          </cell>
          <cell r="K773">
            <v>1E-3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</row>
        <row r="775">
          <cell r="F775">
            <v>0</v>
          </cell>
          <cell r="G775">
            <v>2E-3</v>
          </cell>
          <cell r="H775">
            <v>2E-3</v>
          </cell>
          <cell r="I775">
            <v>6.0000000000000001E-3</v>
          </cell>
          <cell r="J775">
            <v>3.0000000000000001E-3</v>
          </cell>
          <cell r="K775">
            <v>1E-3</v>
          </cell>
          <cell r="L775">
            <v>3.0000000000000001E-3</v>
          </cell>
          <cell r="M775">
            <v>5.0000000000000001E-3</v>
          </cell>
          <cell r="N775">
            <v>7.0000000000000001E-3</v>
          </cell>
          <cell r="O775">
            <v>6.0000000000000001E-3</v>
          </cell>
          <cell r="P775">
            <v>1E-3</v>
          </cell>
          <cell r="Q775">
            <v>1E-3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</row>
        <row r="777">
          <cell r="F777">
            <v>4.0000000000000001E-3</v>
          </cell>
          <cell r="G777">
            <v>4.0000000000000001E-3</v>
          </cell>
          <cell r="H777">
            <v>5.0000000000000001E-3</v>
          </cell>
          <cell r="I777">
            <v>6.0000000000000001E-3</v>
          </cell>
          <cell r="J777">
            <v>3.0000000000000001E-3</v>
          </cell>
          <cell r="K777">
            <v>4.0000000000000001E-3</v>
          </cell>
          <cell r="L777">
            <v>1E-3</v>
          </cell>
          <cell r="M777">
            <v>2E-3</v>
          </cell>
          <cell r="N777">
            <v>5.0000000000000001E-3</v>
          </cell>
          <cell r="O777">
            <v>4.0000000000000001E-3</v>
          </cell>
          <cell r="P777">
            <v>4.0000000000000001E-3</v>
          </cell>
          <cell r="Q777">
            <v>4.0000000000000001E-3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</row>
        <row r="779">
          <cell r="F779">
            <v>2.5999999999999999E-2</v>
          </cell>
          <cell r="G779">
            <v>3.3000000000000002E-2</v>
          </cell>
          <cell r="H779">
            <v>2.3E-2</v>
          </cell>
          <cell r="I779">
            <v>0.05</v>
          </cell>
          <cell r="J779">
            <v>6.0999999999999999E-2</v>
          </cell>
          <cell r="K779">
            <v>2.8000000000000001E-2</v>
          </cell>
          <cell r="L779">
            <v>1.2E-2</v>
          </cell>
          <cell r="M779">
            <v>2.5999999999999999E-2</v>
          </cell>
          <cell r="N779">
            <v>6.0999999999999999E-2</v>
          </cell>
          <cell r="O779">
            <v>2.8000000000000001E-2</v>
          </cell>
          <cell r="P779">
            <v>6.0999999999999999E-2</v>
          </cell>
          <cell r="Q779">
            <v>3.2000000000000001E-2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3.0000000000000001E-3</v>
          </cell>
          <cell r="J780">
            <v>0</v>
          </cell>
          <cell r="K780">
            <v>1E-3</v>
          </cell>
          <cell r="L780">
            <v>0</v>
          </cell>
          <cell r="M780">
            <v>0</v>
          </cell>
          <cell r="N780">
            <v>0</v>
          </cell>
          <cell r="O780">
            <v>4.0000000000000001E-3</v>
          </cell>
          <cell r="P780">
            <v>3.0000000000000001E-3</v>
          </cell>
          <cell r="Q780">
            <v>4.0000000000000001E-3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</row>
        <row r="781">
          <cell r="F781">
            <v>5.0000000000000001E-3</v>
          </cell>
          <cell r="G781">
            <v>4.0000000000000001E-3</v>
          </cell>
          <cell r="H781">
            <v>5.0000000000000001E-3</v>
          </cell>
          <cell r="I781">
            <v>3.0000000000000001E-3</v>
          </cell>
          <cell r="J781">
            <v>2E-3</v>
          </cell>
          <cell r="K781">
            <v>3.0000000000000001E-3</v>
          </cell>
          <cell r="L781">
            <v>1E-3</v>
          </cell>
          <cell r="M781">
            <v>1E-3</v>
          </cell>
          <cell r="N781">
            <v>3.0000000000000001E-3</v>
          </cell>
          <cell r="O781">
            <v>4.0000000000000001E-3</v>
          </cell>
          <cell r="P781">
            <v>5.0000000000000001E-3</v>
          </cell>
          <cell r="Q781">
            <v>5.0000000000000001E-3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</row>
        <row r="782">
          <cell r="F782">
            <v>2E-3</v>
          </cell>
          <cell r="G782">
            <v>1E-3</v>
          </cell>
          <cell r="H782">
            <v>1E-3</v>
          </cell>
          <cell r="I782">
            <v>1E-3</v>
          </cell>
          <cell r="J782">
            <v>1E-3</v>
          </cell>
          <cell r="K782">
            <v>2E-3</v>
          </cell>
          <cell r="L782">
            <v>2E-3</v>
          </cell>
          <cell r="M782">
            <v>2E-3</v>
          </cell>
          <cell r="N782">
            <v>1E-3</v>
          </cell>
          <cell r="O782">
            <v>1E-3</v>
          </cell>
          <cell r="P782">
            <v>1E-3</v>
          </cell>
          <cell r="Q782">
            <v>2E-3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</row>
        <row r="794">
          <cell r="A794" t="str">
            <v>Average Fuel Cost ($/MMBtu)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5">
          <cell r="A825" t="str">
            <v>Peak Capacity (Nameplate)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0</v>
          </cell>
          <cell r="CW862">
            <v>0</v>
          </cell>
          <cell r="CX862">
            <v>0</v>
          </cell>
          <cell r="CY862">
            <v>0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T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</row>
        <row r="867">
          <cell r="A867" t="str">
            <v>Capacity Factor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1">
          <cell r="F871">
            <v>-1E-3</v>
          </cell>
          <cell r="G871">
            <v>-1E-3</v>
          </cell>
          <cell r="H871">
            <v>-1E-3</v>
          </cell>
          <cell r="I871">
            <v>-2E-3</v>
          </cell>
          <cell r="J871">
            <v>0</v>
          </cell>
          <cell r="K871">
            <v>-1E-3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</row>
        <row r="872">
          <cell r="F872">
            <v>-2E-3</v>
          </cell>
          <cell r="G872">
            <v>-1E-3</v>
          </cell>
          <cell r="H872">
            <v>-1E-3</v>
          </cell>
          <cell r="I872">
            <v>-1E-3</v>
          </cell>
          <cell r="J872">
            <v>0</v>
          </cell>
          <cell r="K872">
            <v>-2E-3</v>
          </cell>
          <cell r="L872">
            <v>0</v>
          </cell>
          <cell r="M872">
            <v>-1E-3</v>
          </cell>
          <cell r="N872">
            <v>-1E-3</v>
          </cell>
          <cell r="O872">
            <v>-2E-3</v>
          </cell>
          <cell r="P872">
            <v>-1E-3</v>
          </cell>
          <cell r="Q872">
            <v>-2E-3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</row>
        <row r="874">
          <cell r="F874">
            <v>-4.0000000000000001E-3</v>
          </cell>
          <cell r="G874">
            <v>-3.0000000000000001E-3</v>
          </cell>
          <cell r="H874">
            <v>-1E-3</v>
          </cell>
          <cell r="I874">
            <v>0</v>
          </cell>
          <cell r="J874">
            <v>0</v>
          </cell>
          <cell r="K874">
            <v>-1E-3</v>
          </cell>
          <cell r="L874">
            <v>-2E-3</v>
          </cell>
          <cell r="M874">
            <v>-2E-3</v>
          </cell>
          <cell r="N874">
            <v>-1E-3</v>
          </cell>
          <cell r="O874">
            <v>-1E-3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-2E-3</v>
          </cell>
          <cell r="G875">
            <v>-3.0000000000000001E-3</v>
          </cell>
          <cell r="H875">
            <v>-2E-3</v>
          </cell>
          <cell r="I875">
            <v>-3.0000000000000001E-3</v>
          </cell>
          <cell r="J875">
            <v>-4.0000000000000001E-3</v>
          </cell>
          <cell r="K875">
            <v>-3.0000000000000001E-3</v>
          </cell>
          <cell r="L875">
            <v>-1E-3</v>
          </cell>
          <cell r="M875">
            <v>-1E-3</v>
          </cell>
          <cell r="N875">
            <v>-2E-3</v>
          </cell>
          <cell r="O875">
            <v>-3.0000000000000001E-3</v>
          </cell>
          <cell r="P875">
            <v>-3.0000000000000001E-3</v>
          </cell>
          <cell r="Q875">
            <v>-2E-3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6">
          <cell r="F876">
            <v>-1E-3</v>
          </cell>
          <cell r="G876">
            <v>-1E-3</v>
          </cell>
          <cell r="H876">
            <v>-2E-3</v>
          </cell>
          <cell r="I876">
            <v>-2E-3</v>
          </cell>
          <cell r="J876">
            <v>-3.0000000000000001E-3</v>
          </cell>
          <cell r="K876">
            <v>-1E-3</v>
          </cell>
          <cell r="L876">
            <v>-1E-3</v>
          </cell>
          <cell r="M876">
            <v>0</v>
          </cell>
          <cell r="N876">
            <v>0</v>
          </cell>
          <cell r="O876">
            <v>-1E-3</v>
          </cell>
          <cell r="P876">
            <v>-1E-3</v>
          </cell>
          <cell r="Q876">
            <v>-1E-3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</row>
        <row r="877">
          <cell r="F877">
            <v>-4.0000000000000001E-3</v>
          </cell>
          <cell r="G877">
            <v>-3.0000000000000001E-3</v>
          </cell>
          <cell r="H877">
            <v>-3.0000000000000001E-3</v>
          </cell>
          <cell r="I877">
            <v>-2E-3</v>
          </cell>
          <cell r="J877">
            <v>-2E-3</v>
          </cell>
          <cell r="K877">
            <v>-4.0000000000000001E-3</v>
          </cell>
          <cell r="L877">
            <v>-4.0000000000000001E-3</v>
          </cell>
          <cell r="M877">
            <v>-5.0000000000000001E-3</v>
          </cell>
          <cell r="N877">
            <v>-5.0000000000000001E-3</v>
          </cell>
          <cell r="O877">
            <v>-4.0000000000000001E-3</v>
          </cell>
          <cell r="P877">
            <v>-4.0000000000000001E-3</v>
          </cell>
          <cell r="Q877">
            <v>-3.0000000000000001E-3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8">
          <cell r="F878">
            <v>-6.0000000000000001E-3</v>
          </cell>
          <cell r="G878">
            <v>-7.0000000000000001E-3</v>
          </cell>
          <cell r="H878">
            <v>-1E-3</v>
          </cell>
          <cell r="I878">
            <v>-1E-3</v>
          </cell>
          <cell r="J878">
            <v>-1E-3</v>
          </cell>
          <cell r="K878">
            <v>-1E-3</v>
          </cell>
          <cell r="L878">
            <v>-4.0000000000000001E-3</v>
          </cell>
          <cell r="M878">
            <v>-3.0000000000000001E-3</v>
          </cell>
          <cell r="N878">
            <v>-3.0000000000000001E-3</v>
          </cell>
          <cell r="O878">
            <v>-2E-3</v>
          </cell>
          <cell r="P878">
            <v>-2E-3</v>
          </cell>
          <cell r="Q878">
            <v>-4.0000000000000001E-3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0</v>
          </cell>
          <cell r="CW878">
            <v>0</v>
          </cell>
          <cell r="CX878">
            <v>0</v>
          </cell>
          <cell r="CY878">
            <v>0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  <cell r="DF878">
            <v>0</v>
          </cell>
          <cell r="DG878">
            <v>0</v>
          </cell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T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-1E-3</v>
          </cell>
          <cell r="J879">
            <v>-1E-3</v>
          </cell>
          <cell r="K879">
            <v>-1E-3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-1E-3</v>
          </cell>
          <cell r="J881">
            <v>-1E-3</v>
          </cell>
          <cell r="K881">
            <v>-1E-3</v>
          </cell>
          <cell r="L881">
            <v>-2E-3</v>
          </cell>
          <cell r="M881">
            <v>-3.0000000000000001E-3</v>
          </cell>
          <cell r="N881">
            <v>-4.0000000000000001E-3</v>
          </cell>
          <cell r="O881">
            <v>-3.0000000000000001E-3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3">
          <cell r="F883">
            <v>-2E-3</v>
          </cell>
          <cell r="G883">
            <v>-1E-3</v>
          </cell>
          <cell r="H883">
            <v>-1E-3</v>
          </cell>
          <cell r="I883">
            <v>-1E-3</v>
          </cell>
          <cell r="J883">
            <v>-1E-3</v>
          </cell>
          <cell r="K883">
            <v>-2E-3</v>
          </cell>
          <cell r="L883">
            <v>-1E-3</v>
          </cell>
          <cell r="M883">
            <v>-1E-3</v>
          </cell>
          <cell r="N883">
            <v>-2E-3</v>
          </cell>
          <cell r="O883">
            <v>-1E-3</v>
          </cell>
          <cell r="P883">
            <v>-2E-3</v>
          </cell>
          <cell r="Q883">
            <v>-1E-3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5">
          <cell r="F885">
            <v>-1E-3</v>
          </cell>
          <cell r="G885">
            <v>-1E-3</v>
          </cell>
          <cell r="H885">
            <v>0</v>
          </cell>
          <cell r="I885">
            <v>-1E-3</v>
          </cell>
          <cell r="J885">
            <v>-1E-3</v>
          </cell>
          <cell r="K885">
            <v>-1E-3</v>
          </cell>
          <cell r="L885">
            <v>-1E-3</v>
          </cell>
          <cell r="M885">
            <v>-2E-3</v>
          </cell>
          <cell r="N885">
            <v>-3.0000000000000001E-3</v>
          </cell>
          <cell r="O885">
            <v>-1E-3</v>
          </cell>
          <cell r="P885">
            <v>-2E-3</v>
          </cell>
          <cell r="Q885">
            <v>-1E-3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  <cell r="DD885">
            <v>0</v>
          </cell>
          <cell r="DE885">
            <v>0</v>
          </cell>
          <cell r="DF885">
            <v>0</v>
          </cell>
          <cell r="DG885">
            <v>0</v>
          </cell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T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-1E-3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-3.0000000000000001E-3</v>
          </cell>
          <cell r="P886">
            <v>-2E-3</v>
          </cell>
          <cell r="Q886">
            <v>-3.0000000000000001E-3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</row>
        <row r="887">
          <cell r="F887">
            <v>-2E-3</v>
          </cell>
          <cell r="G887">
            <v>-2E-3</v>
          </cell>
          <cell r="H887">
            <v>-3.0000000000000001E-3</v>
          </cell>
          <cell r="I887">
            <v>-2E-3</v>
          </cell>
          <cell r="J887">
            <v>-1E-3</v>
          </cell>
          <cell r="K887">
            <v>-2E-3</v>
          </cell>
          <cell r="L887">
            <v>-1E-3</v>
          </cell>
          <cell r="M887">
            <v>-1E-3</v>
          </cell>
          <cell r="N887">
            <v>-2E-3</v>
          </cell>
          <cell r="O887">
            <v>-3.0000000000000001E-3</v>
          </cell>
          <cell r="P887">
            <v>-3.0000000000000001E-3</v>
          </cell>
          <cell r="Q887">
            <v>-2E-3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</row>
        <row r="888">
          <cell r="F888">
            <v>-1E-3</v>
          </cell>
          <cell r="G888">
            <v>-1E-3</v>
          </cell>
          <cell r="H888">
            <v>-1E-3</v>
          </cell>
          <cell r="I888">
            <v>-1E-3</v>
          </cell>
          <cell r="J888">
            <v>-1E-3</v>
          </cell>
          <cell r="K888">
            <v>-3.0000000000000001E-3</v>
          </cell>
          <cell r="L888">
            <v>-2E-3</v>
          </cell>
          <cell r="M888">
            <v>-2E-3</v>
          </cell>
          <cell r="N888">
            <v>-1E-3</v>
          </cell>
          <cell r="O888">
            <v>-2E-3</v>
          </cell>
          <cell r="P888">
            <v>-1E-3</v>
          </cell>
          <cell r="Q888">
            <v>-2E-3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</row>
        <row r="889">
          <cell r="F889">
            <v>-1E-3</v>
          </cell>
          <cell r="G889">
            <v>-1E-3</v>
          </cell>
          <cell r="H889">
            <v>0</v>
          </cell>
          <cell r="I889">
            <v>-1E-3</v>
          </cell>
          <cell r="J889">
            <v>-1E-3</v>
          </cell>
          <cell r="K889">
            <v>-1E-3</v>
          </cell>
          <cell r="L889">
            <v>-2E-3</v>
          </cell>
          <cell r="M889">
            <v>-3.0000000000000001E-3</v>
          </cell>
          <cell r="N889">
            <v>-2E-3</v>
          </cell>
          <cell r="O889">
            <v>-1E-3</v>
          </cell>
          <cell r="P889">
            <v>-1E-3</v>
          </cell>
          <cell r="Q889">
            <v>-1E-3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  <cell r="CF901">
            <v>0</v>
          </cell>
          <cell r="CG901">
            <v>0</v>
          </cell>
          <cell r="CH901">
            <v>0</v>
          </cell>
          <cell r="CI901">
            <v>0</v>
          </cell>
          <cell r="CJ901">
            <v>0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0</v>
          </cell>
          <cell r="CU901">
            <v>0</v>
          </cell>
          <cell r="CV901">
            <v>0</v>
          </cell>
          <cell r="CW901">
            <v>0</v>
          </cell>
          <cell r="CX901">
            <v>0</v>
          </cell>
          <cell r="CY901">
            <v>0</v>
          </cell>
          <cell r="CZ901">
            <v>0</v>
          </cell>
          <cell r="DA901">
            <v>0</v>
          </cell>
          <cell r="DB901">
            <v>0</v>
          </cell>
          <cell r="DC901">
            <v>0</v>
          </cell>
          <cell r="DD901">
            <v>0</v>
          </cell>
          <cell r="DE901">
            <v>0</v>
          </cell>
          <cell r="DF901">
            <v>0</v>
          </cell>
          <cell r="DG901">
            <v>0</v>
          </cell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T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-6.8292971380778944E-6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  <cell r="CJ912">
            <v>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0</v>
          </cell>
          <cell r="DA912">
            <v>0</v>
          </cell>
          <cell r="DB912">
            <v>0</v>
          </cell>
          <cell r="DC912">
            <v>0</v>
          </cell>
          <cell r="DD912">
            <v>0</v>
          </cell>
          <cell r="DE912">
            <v>0</v>
          </cell>
          <cell r="DF912">
            <v>0</v>
          </cell>
          <cell r="DG912">
            <v>0</v>
          </cell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T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0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  <cell r="DF913">
            <v>0</v>
          </cell>
          <cell r="DG913">
            <v>0</v>
          </cell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T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  <cell r="DF914">
            <v>0</v>
          </cell>
          <cell r="DG914">
            <v>0</v>
          </cell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T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20">
          <cell r="A920" t="str">
            <v>Integration Charge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  <cell r="DD923">
            <v>0</v>
          </cell>
          <cell r="DE923">
            <v>0</v>
          </cell>
          <cell r="DF923">
            <v>0</v>
          </cell>
          <cell r="DG923">
            <v>0</v>
          </cell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T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  <cell r="DF924">
            <v>0</v>
          </cell>
          <cell r="DG924">
            <v>0</v>
          </cell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T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0</v>
          </cell>
          <cell r="CH936">
            <v>0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M936">
            <v>0</v>
          </cell>
          <cell r="CN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0</v>
          </cell>
          <cell r="CU936">
            <v>0</v>
          </cell>
          <cell r="CV936">
            <v>0</v>
          </cell>
          <cell r="CW936">
            <v>0</v>
          </cell>
          <cell r="CX936">
            <v>0</v>
          </cell>
          <cell r="CY936">
            <v>0</v>
          </cell>
          <cell r="CZ936">
            <v>0</v>
          </cell>
          <cell r="DA936">
            <v>0</v>
          </cell>
          <cell r="DB936">
            <v>0</v>
          </cell>
          <cell r="DC936">
            <v>0</v>
          </cell>
          <cell r="DD936">
            <v>0</v>
          </cell>
          <cell r="DE936">
            <v>0</v>
          </cell>
          <cell r="DF936">
            <v>0</v>
          </cell>
          <cell r="DG936">
            <v>0</v>
          </cell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T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0</v>
          </cell>
          <cell r="BQ938">
            <v>0</v>
          </cell>
          <cell r="BR938">
            <v>0</v>
          </cell>
          <cell r="BS938">
            <v>0</v>
          </cell>
          <cell r="BT938">
            <v>0</v>
          </cell>
          <cell r="BU938">
            <v>0</v>
          </cell>
          <cell r="BV938">
            <v>0</v>
          </cell>
          <cell r="BW938">
            <v>0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0</v>
          </cell>
          <cell r="CH938">
            <v>0</v>
          </cell>
          <cell r="CI938">
            <v>0</v>
          </cell>
          <cell r="CJ938">
            <v>0</v>
          </cell>
          <cell r="CK938">
            <v>0</v>
          </cell>
          <cell r="CL938">
            <v>0</v>
          </cell>
          <cell r="CM938">
            <v>0</v>
          </cell>
          <cell r="CN938">
            <v>0</v>
          </cell>
          <cell r="CO938">
            <v>0</v>
          </cell>
          <cell r="CP938">
            <v>0</v>
          </cell>
          <cell r="CQ938">
            <v>0</v>
          </cell>
          <cell r="CR938">
            <v>0</v>
          </cell>
          <cell r="CS938">
            <v>0</v>
          </cell>
          <cell r="CT938">
            <v>0</v>
          </cell>
          <cell r="CU938">
            <v>0</v>
          </cell>
          <cell r="CV938">
            <v>0</v>
          </cell>
          <cell r="CW938">
            <v>0</v>
          </cell>
          <cell r="CX938">
            <v>0</v>
          </cell>
          <cell r="CY938">
            <v>0</v>
          </cell>
          <cell r="CZ938">
            <v>0</v>
          </cell>
          <cell r="DA938">
            <v>0</v>
          </cell>
          <cell r="DB938">
            <v>0</v>
          </cell>
          <cell r="DC938">
            <v>0</v>
          </cell>
          <cell r="DD938">
            <v>0</v>
          </cell>
          <cell r="DE938">
            <v>0</v>
          </cell>
          <cell r="DF938">
            <v>0</v>
          </cell>
          <cell r="DG938">
            <v>0</v>
          </cell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T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  <cell r="DF939">
            <v>0</v>
          </cell>
          <cell r="DG939">
            <v>0</v>
          </cell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T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0.77321284105704535</v>
          </cell>
          <cell r="L951">
            <v>-0.82061565948055204</v>
          </cell>
          <cell r="M951">
            <v>-1.8681447330948231E-3</v>
          </cell>
          <cell r="N951">
            <v>-1.0725110077203226E-3</v>
          </cell>
          <cell r="O951">
            <v>-0.17732886781322676</v>
          </cell>
          <cell r="P951">
            <v>0</v>
          </cell>
          <cell r="Q951">
            <v>-0.22491050180147099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-0.41075458663830489</v>
          </cell>
          <cell r="G955">
            <v>0</v>
          </cell>
          <cell r="H955">
            <v>1.5578891207081114E-2</v>
          </cell>
          <cell r="I955">
            <v>0</v>
          </cell>
          <cell r="J955">
            <v>0</v>
          </cell>
          <cell r="K955">
            <v>-0.4231139923140006</v>
          </cell>
          <cell r="L955">
            <v>-0.38402119010177671</v>
          </cell>
          <cell r="M955">
            <v>-0.143863142847934</v>
          </cell>
          <cell r="N955">
            <v>0.11157327674010276</v>
          </cell>
          <cell r="O955">
            <v>0.12176016648279386</v>
          </cell>
          <cell r="P955">
            <v>0.18965723607240292</v>
          </cell>
          <cell r="Q955">
            <v>2.169631208199263E-2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8">
          <cell r="A968" t="str">
            <v>Additional Fixed Costs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  <cell r="BO973">
            <v>0</v>
          </cell>
          <cell r="BP973">
            <v>0</v>
          </cell>
          <cell r="BQ973">
            <v>0</v>
          </cell>
          <cell r="BR973">
            <v>0</v>
          </cell>
          <cell r="BS973">
            <v>0</v>
          </cell>
          <cell r="BT973">
            <v>0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0</v>
          </cell>
          <cell r="CH973">
            <v>0</v>
          </cell>
          <cell r="CI973">
            <v>0</v>
          </cell>
          <cell r="CJ973">
            <v>0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  <cell r="DD973">
            <v>0</v>
          </cell>
          <cell r="DE973">
            <v>0</v>
          </cell>
          <cell r="DF973">
            <v>0</v>
          </cell>
          <cell r="DG973">
            <v>0</v>
          </cell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T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  <cell r="DD975">
            <v>0</v>
          </cell>
          <cell r="DE975">
            <v>0</v>
          </cell>
          <cell r="DF975">
            <v>0</v>
          </cell>
          <cell r="DG975">
            <v>0</v>
          </cell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T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1">
          <cell r="J981" t="str">
            <v>Mills / kWh</v>
          </cell>
          <cell r="W981" t="str">
            <v>Mills / kWh</v>
          </cell>
          <cell r="AJ981" t="str">
            <v>Mills / kWh</v>
          </cell>
          <cell r="AW981" t="str">
            <v>Mills / kWh</v>
          </cell>
          <cell r="BJ981" t="str">
            <v>Mills / kWh</v>
          </cell>
          <cell r="BW981" t="str">
            <v>Mills / kWh</v>
          </cell>
          <cell r="CJ981" t="str">
            <v>Mills / kWh</v>
          </cell>
          <cell r="CW981" t="str">
            <v>Mills / kWh</v>
          </cell>
          <cell r="DJ981" t="str">
            <v>Mills / kWh</v>
          </cell>
          <cell r="DW981" t="str">
            <v>Mills / kWh</v>
          </cell>
        </row>
        <row r="982">
          <cell r="A982" t="str">
            <v>Special Sales For Resale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8">
        <row r="3">
          <cell r="F3">
            <v>44562</v>
          </cell>
        </row>
        <row r="89">
          <cell r="EI89" t="str">
            <v>QF - 433 - UT - Gas</v>
          </cell>
          <cell r="EK89" t="str">
            <v>Not Used</v>
          </cell>
          <cell r="EM89" t="str">
            <v>Not Used</v>
          </cell>
          <cell r="EO89" t="str">
            <v>Not Used</v>
          </cell>
          <cell r="EQ89">
            <v>1</v>
          </cell>
        </row>
      </sheetData>
      <sheetData sheetId="9"/>
      <sheetData sheetId="10"/>
      <sheetData sheetId="11"/>
      <sheetData sheetId="12">
        <row r="1">
          <cell r="D1">
            <v>2022</v>
          </cell>
          <cell r="E1">
            <v>2022</v>
          </cell>
          <cell r="F1">
            <v>2022</v>
          </cell>
          <cell r="G1">
            <v>2022</v>
          </cell>
          <cell r="H1">
            <v>2022</v>
          </cell>
          <cell r="I1">
            <v>2022</v>
          </cell>
          <cell r="J1">
            <v>2022</v>
          </cell>
          <cell r="K1">
            <v>2022</v>
          </cell>
          <cell r="L1">
            <v>2022</v>
          </cell>
          <cell r="M1">
            <v>2022</v>
          </cell>
          <cell r="N1">
            <v>2022</v>
          </cell>
          <cell r="O1">
            <v>2022</v>
          </cell>
          <cell r="P1">
            <v>2023</v>
          </cell>
          <cell r="Q1">
            <v>2023</v>
          </cell>
          <cell r="R1">
            <v>2023</v>
          </cell>
          <cell r="S1">
            <v>2023</v>
          </cell>
          <cell r="T1">
            <v>2023</v>
          </cell>
          <cell r="U1">
            <v>2023</v>
          </cell>
          <cell r="V1">
            <v>2023</v>
          </cell>
          <cell r="W1">
            <v>2023</v>
          </cell>
          <cell r="X1">
            <v>2023</v>
          </cell>
          <cell r="Y1">
            <v>2023</v>
          </cell>
          <cell r="Z1">
            <v>2023</v>
          </cell>
          <cell r="AA1">
            <v>2023</v>
          </cell>
          <cell r="AB1">
            <v>2024</v>
          </cell>
          <cell r="AC1">
            <v>2024</v>
          </cell>
          <cell r="AD1">
            <v>2024</v>
          </cell>
          <cell r="AE1">
            <v>2024</v>
          </cell>
          <cell r="AF1">
            <v>2024</v>
          </cell>
          <cell r="AG1">
            <v>2024</v>
          </cell>
          <cell r="AH1">
            <v>2024</v>
          </cell>
          <cell r="AI1">
            <v>2024</v>
          </cell>
          <cell r="AJ1">
            <v>2024</v>
          </cell>
          <cell r="AK1">
            <v>2024</v>
          </cell>
          <cell r="AL1">
            <v>2024</v>
          </cell>
          <cell r="AM1">
            <v>2024</v>
          </cell>
          <cell r="AN1">
            <v>2025</v>
          </cell>
          <cell r="AO1">
            <v>2025</v>
          </cell>
          <cell r="AP1">
            <v>2025</v>
          </cell>
          <cell r="AQ1">
            <v>2025</v>
          </cell>
          <cell r="AR1">
            <v>2025</v>
          </cell>
          <cell r="AS1">
            <v>2025</v>
          </cell>
          <cell r="AT1">
            <v>2025</v>
          </cell>
          <cell r="AU1">
            <v>2025</v>
          </cell>
          <cell r="AV1">
            <v>2025</v>
          </cell>
          <cell r="AW1">
            <v>2025</v>
          </cell>
          <cell r="AX1">
            <v>2025</v>
          </cell>
          <cell r="AY1">
            <v>2025</v>
          </cell>
          <cell r="AZ1">
            <v>2026</v>
          </cell>
          <cell r="BA1">
            <v>2026</v>
          </cell>
          <cell r="BB1">
            <v>2026</v>
          </cell>
          <cell r="BC1">
            <v>2026</v>
          </cell>
          <cell r="BD1">
            <v>2026</v>
          </cell>
          <cell r="BE1">
            <v>2026</v>
          </cell>
          <cell r="BF1">
            <v>2026</v>
          </cell>
          <cell r="BG1">
            <v>2026</v>
          </cell>
          <cell r="BH1">
            <v>2026</v>
          </cell>
          <cell r="BI1">
            <v>2026</v>
          </cell>
          <cell r="BJ1">
            <v>2026</v>
          </cell>
          <cell r="BK1">
            <v>2026</v>
          </cell>
          <cell r="BL1">
            <v>2027</v>
          </cell>
          <cell r="BM1">
            <v>2027</v>
          </cell>
          <cell r="BN1">
            <v>2027</v>
          </cell>
          <cell r="BO1">
            <v>2027</v>
          </cell>
          <cell r="BP1">
            <v>2027</v>
          </cell>
          <cell r="BQ1">
            <v>2027</v>
          </cell>
          <cell r="BR1">
            <v>2027</v>
          </cell>
          <cell r="BS1">
            <v>2027</v>
          </cell>
          <cell r="BT1">
            <v>2027</v>
          </cell>
          <cell r="BU1">
            <v>2027</v>
          </cell>
          <cell r="BV1">
            <v>2027</v>
          </cell>
          <cell r="BW1">
            <v>2027</v>
          </cell>
          <cell r="BX1">
            <v>2028</v>
          </cell>
          <cell r="BY1">
            <v>2028</v>
          </cell>
          <cell r="BZ1">
            <v>2028</v>
          </cell>
          <cell r="CA1">
            <v>2028</v>
          </cell>
          <cell r="CB1">
            <v>2028</v>
          </cell>
          <cell r="CC1">
            <v>2028</v>
          </cell>
          <cell r="CD1">
            <v>2028</v>
          </cell>
          <cell r="CE1">
            <v>2028</v>
          </cell>
          <cell r="CF1">
            <v>2028</v>
          </cell>
          <cell r="CG1">
            <v>2028</v>
          </cell>
          <cell r="CH1">
            <v>2028</v>
          </cell>
          <cell r="CI1">
            <v>2028</v>
          </cell>
          <cell r="CJ1">
            <v>2029</v>
          </cell>
          <cell r="CK1">
            <v>2029</v>
          </cell>
          <cell r="CL1">
            <v>2029</v>
          </cell>
          <cell r="CM1">
            <v>2029</v>
          </cell>
          <cell r="CN1">
            <v>2029</v>
          </cell>
          <cell r="CO1">
            <v>2029</v>
          </cell>
          <cell r="CP1">
            <v>2029</v>
          </cell>
          <cell r="CQ1">
            <v>2029</v>
          </cell>
          <cell r="CR1">
            <v>2029</v>
          </cell>
          <cell r="CS1">
            <v>2029</v>
          </cell>
          <cell r="CT1">
            <v>2029</v>
          </cell>
          <cell r="CU1">
            <v>2029</v>
          </cell>
          <cell r="CV1">
            <v>2030</v>
          </cell>
          <cell r="CW1">
            <v>2030</v>
          </cell>
          <cell r="CX1">
            <v>2030</v>
          </cell>
          <cell r="CY1">
            <v>2030</v>
          </cell>
          <cell r="CZ1">
            <v>2030</v>
          </cell>
          <cell r="DA1">
            <v>2030</v>
          </cell>
          <cell r="DB1">
            <v>2030</v>
          </cell>
          <cell r="DC1">
            <v>2030</v>
          </cell>
          <cell r="DD1">
            <v>2030</v>
          </cell>
          <cell r="DE1">
            <v>2030</v>
          </cell>
          <cell r="DF1">
            <v>2030</v>
          </cell>
          <cell r="DG1">
            <v>2030</v>
          </cell>
          <cell r="DH1">
            <v>2031</v>
          </cell>
          <cell r="DI1">
            <v>2031</v>
          </cell>
          <cell r="DJ1">
            <v>2031</v>
          </cell>
          <cell r="DK1">
            <v>2031</v>
          </cell>
          <cell r="DL1">
            <v>2031</v>
          </cell>
          <cell r="DM1">
            <v>2031</v>
          </cell>
          <cell r="DN1">
            <v>2031</v>
          </cell>
          <cell r="DO1">
            <v>2031</v>
          </cell>
          <cell r="DP1">
            <v>2031</v>
          </cell>
          <cell r="DQ1">
            <v>2031</v>
          </cell>
          <cell r="DR1">
            <v>2031</v>
          </cell>
          <cell r="DS1">
            <v>2031</v>
          </cell>
        </row>
        <row r="57">
          <cell r="C57" t="str">
            <v>Hunter Solar_T</v>
          </cell>
          <cell r="D57">
            <v>-1.313824337750704E-2</v>
          </cell>
          <cell r="E57">
            <v>7.8430268349620851E-3</v>
          </cell>
          <cell r="F57">
            <v>2.8461442745610875E-2</v>
          </cell>
          <cell r="G57">
            <v>-3.7011509875374077E-2</v>
          </cell>
          <cell r="H57">
            <v>-4.5535256054427065E-3</v>
          </cell>
          <cell r="I57">
            <v>-4.706325799488701E-2</v>
          </cell>
          <cell r="J57">
            <v>1.3863079601651424E-2</v>
          </cell>
          <cell r="K57">
            <v>7.5845515595574496E-4</v>
          </cell>
          <cell r="L57">
            <v>-3.1377182595315425E-2</v>
          </cell>
          <cell r="M57">
            <v>-2.5647392298997179E-2</v>
          </cell>
          <cell r="N57">
            <v>5.4106728230181103E-3</v>
          </cell>
          <cell r="O57">
            <v>5.1803792804639738E-3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</row>
        <row r="58">
          <cell r="C58" t="str">
            <v>Milford Solar_T</v>
          </cell>
          <cell r="D58">
            <v>2.1183957602024708E-2</v>
          </cell>
          <cell r="E58">
            <v>-2.3532274081971945E-2</v>
          </cell>
          <cell r="F58">
            <v>7.6171456495940079E-2</v>
          </cell>
          <cell r="G58">
            <v>0.12240298613512982</v>
          </cell>
          <cell r="H58">
            <v>-0.34350113910982988</v>
          </cell>
          <cell r="I58">
            <v>-4.2648477892944278E-2</v>
          </cell>
          <cell r="J58">
            <v>-0.18187675688215643</v>
          </cell>
          <cell r="K58">
            <v>8.6401482303808577E-2</v>
          </cell>
          <cell r="L58">
            <v>-3.8310858299409958E-2</v>
          </cell>
          <cell r="M58">
            <v>-7.1997879036498347E-2</v>
          </cell>
          <cell r="N58">
            <v>5.1704416167922219E-3</v>
          </cell>
          <cell r="O58">
            <v>4.1700758396655069E-3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</row>
        <row r="59">
          <cell r="C59" t="str">
            <v>Rocket Solar_T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5.4272450051939657E-3</v>
          </cell>
          <cell r="O59">
            <v>7.6511450015459342E-3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</row>
        <row r="60">
          <cell r="C60" t="str">
            <v>Appaloosa Solar I-A_T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</row>
        <row r="61">
          <cell r="C61" t="str">
            <v>Appaloosa Solar I-B_T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</row>
        <row r="62">
          <cell r="C62" t="str">
            <v>Elektron Solar 1_T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</row>
        <row r="63">
          <cell r="C63" t="str">
            <v>Elektron Solar 2_T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</row>
        <row r="64">
          <cell r="C64" t="str">
            <v>Castle Solar_T</v>
          </cell>
          <cell r="D64">
            <v>4.0185000216297224E-5</v>
          </cell>
          <cell r="E64">
            <v>1.972500285773998E-5</v>
          </cell>
          <cell r="F64">
            <v>231.83793187000381</v>
          </cell>
          <cell r="G64">
            <v>-354.74858475999906</v>
          </cell>
          <cell r="H64">
            <v>544.27856745499707</v>
          </cell>
          <cell r="I64">
            <v>50.429385050010609</v>
          </cell>
          <cell r="J64">
            <v>-398.76834480999037</v>
          </cell>
          <cell r="K64">
            <v>-12.106814534995431</v>
          </cell>
          <cell r="L64">
            <v>35.391737240010926</v>
          </cell>
          <cell r="M64">
            <v>-533.60017247499252</v>
          </cell>
          <cell r="N64">
            <v>172.79818881499702</v>
          </cell>
          <cell r="O64">
            <v>-112.93138492999982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</row>
        <row r="65">
          <cell r="C65" t="str">
            <v>Sigurd Solar_T</v>
          </cell>
          <cell r="D65">
            <v>-1.1621791269862999E-3</v>
          </cell>
          <cell r="E65">
            <v>-8.4725649016399798E-3</v>
          </cell>
          <cell r="F65">
            <v>2.7627386509775476E-2</v>
          </cell>
          <cell r="G65">
            <v>-1.9399102798706692E-2</v>
          </cell>
          <cell r="H65">
            <v>6.4708121951843941E-3</v>
          </cell>
          <cell r="I65">
            <v>9.482760002210832E-3</v>
          </cell>
          <cell r="J65">
            <v>-8.4493265936180072E-3</v>
          </cell>
          <cell r="K65">
            <v>-2.2149414176601521E-2</v>
          </cell>
          <cell r="L65">
            <v>-4.5302969978365483E-4</v>
          </cell>
          <cell r="M65">
            <v>2.8049526960457965E-2</v>
          </cell>
          <cell r="N65">
            <v>-2.907330721427564E-3</v>
          </cell>
          <cell r="O65">
            <v>4.3877957434960892E-3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</row>
        <row r="66">
          <cell r="C66" t="str">
            <v>Milican Solar_T</v>
          </cell>
          <cell r="D66">
            <v>-4.0181544850747757E-2</v>
          </cell>
          <cell r="E66">
            <v>-2.6152002804192314E-2</v>
          </cell>
          <cell r="F66">
            <v>-2.9970239008416694E-2</v>
          </cell>
          <cell r="G66">
            <v>-0.17222493378982112</v>
          </cell>
          <cell r="H66">
            <v>0.10093998899856163</v>
          </cell>
          <cell r="I66">
            <v>2.6928150904823277E-2</v>
          </cell>
          <cell r="J66">
            <v>-0.25898001110823321</v>
          </cell>
          <cell r="K66">
            <v>-9.2398159001313651E-2</v>
          </cell>
          <cell r="L66">
            <v>-5.573193999533034E-2</v>
          </cell>
          <cell r="M66">
            <v>4.0284084998875203E-2</v>
          </cell>
          <cell r="N66">
            <v>2.3158415962370787E-3</v>
          </cell>
          <cell r="O66">
            <v>-1.9701839100462172E-2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</row>
        <row r="67">
          <cell r="C67" t="str">
            <v>Prineville Solar_T</v>
          </cell>
          <cell r="D67">
            <v>-5.8671933501873372E-2</v>
          </cell>
          <cell r="E67">
            <v>-4.2080288037323055E-3</v>
          </cell>
          <cell r="F67">
            <v>-3.4003102988972397E-2</v>
          </cell>
          <cell r="G67">
            <v>-6.0234540986712111E-2</v>
          </cell>
          <cell r="H67">
            <v>-0.18073417498437272</v>
          </cell>
          <cell r="I67">
            <v>6.3517098782795101E-2</v>
          </cell>
          <cell r="J67">
            <v>0.15783837891180161</v>
          </cell>
          <cell r="K67">
            <v>-0.38897533400002443</v>
          </cell>
          <cell r="L67">
            <v>9.6652525001281936E-2</v>
          </cell>
          <cell r="M67">
            <v>-9.9809310384425809E-2</v>
          </cell>
          <cell r="N67">
            <v>-5.9261587106520908E-2</v>
          </cell>
          <cell r="O67">
            <v>-1.6876670201068013E-2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</row>
        <row r="69">
          <cell r="C69" t="str">
            <v>Inputs to non-zero GRID dispatch adjustment :</v>
          </cell>
        </row>
        <row r="70">
          <cell r="D70" t="str">
            <v>Min:</v>
          </cell>
          <cell r="E70">
            <v>-99.99</v>
          </cell>
          <cell r="F70" t="str">
            <v>Max:</v>
          </cell>
          <cell r="G70">
            <v>0.01</v>
          </cell>
        </row>
        <row r="71">
          <cell r="C71" t="str">
            <v>Curtailment Cost ($/MWh)</v>
          </cell>
        </row>
        <row r="72">
          <cell r="C72" t="str">
            <v>Pryor Mountain Wind_T</v>
          </cell>
          <cell r="D72">
            <v>-35.47999999999999</v>
          </cell>
          <cell r="E72">
            <v>-35.47999999999999</v>
          </cell>
          <cell r="F72">
            <v>-35.47999999999999</v>
          </cell>
          <cell r="G72">
            <v>-35.47999999999999</v>
          </cell>
          <cell r="H72">
            <v>-35.47999999999999</v>
          </cell>
          <cell r="I72">
            <v>-35.47999999999999</v>
          </cell>
          <cell r="J72">
            <v>-35.47999999999999</v>
          </cell>
          <cell r="K72">
            <v>-35.47999999999999</v>
          </cell>
          <cell r="L72">
            <v>-35.47999999999999</v>
          </cell>
          <cell r="M72">
            <v>-35.47999999999999</v>
          </cell>
          <cell r="N72">
            <v>-35.47999999999999</v>
          </cell>
          <cell r="O72">
            <v>-35.47999999999999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</row>
        <row r="73">
          <cell r="C73" t="str">
            <v>Ekola Flats Wind_T</v>
          </cell>
          <cell r="D73">
            <v>-33.480000000000004</v>
          </cell>
          <cell r="E73">
            <v>-33.480000000000004</v>
          </cell>
          <cell r="F73">
            <v>-33.480000000000004</v>
          </cell>
          <cell r="G73">
            <v>-33.480000000000004</v>
          </cell>
          <cell r="H73">
            <v>-33.480000000000004</v>
          </cell>
          <cell r="I73">
            <v>-33.480000000000004</v>
          </cell>
          <cell r="J73">
            <v>-33.480000000000004</v>
          </cell>
          <cell r="K73">
            <v>-33.480000000000004</v>
          </cell>
          <cell r="L73">
            <v>-33.480000000000004</v>
          </cell>
          <cell r="M73">
            <v>-33.480000000000004</v>
          </cell>
          <cell r="N73">
            <v>-33.480000000000004</v>
          </cell>
          <cell r="O73">
            <v>-33.480000000000004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</row>
        <row r="74">
          <cell r="C74" t="str">
            <v>TB Flats Wind_T</v>
          </cell>
          <cell r="D74">
            <v>-33.480000000000004</v>
          </cell>
          <cell r="E74">
            <v>-33.480000000000004</v>
          </cell>
          <cell r="F74">
            <v>-33.480000000000004</v>
          </cell>
          <cell r="G74">
            <v>-33.480000000000004</v>
          </cell>
          <cell r="H74">
            <v>-33.480000000000004</v>
          </cell>
          <cell r="I74">
            <v>-33.480000000000004</v>
          </cell>
          <cell r="J74">
            <v>-33.480000000000004</v>
          </cell>
          <cell r="K74">
            <v>-33.480000000000004</v>
          </cell>
          <cell r="L74">
            <v>-33.480000000000004</v>
          </cell>
          <cell r="M74">
            <v>-33.480000000000004</v>
          </cell>
          <cell r="N74">
            <v>-33.480000000000004</v>
          </cell>
          <cell r="O74">
            <v>-33.480000000000004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</row>
        <row r="75">
          <cell r="C75" t="str">
            <v>TB Flats Wind II_T</v>
          </cell>
          <cell r="D75">
            <v>-33.480000000000004</v>
          </cell>
          <cell r="E75">
            <v>-33.480000000000004</v>
          </cell>
          <cell r="F75">
            <v>-33.480000000000004</v>
          </cell>
          <cell r="G75">
            <v>-33.480000000000004</v>
          </cell>
          <cell r="H75">
            <v>-33.480000000000004</v>
          </cell>
          <cell r="I75">
            <v>-33.480000000000004</v>
          </cell>
          <cell r="J75">
            <v>-33.480000000000004</v>
          </cell>
          <cell r="K75">
            <v>-33.480000000000004</v>
          </cell>
          <cell r="L75">
            <v>-33.480000000000004</v>
          </cell>
          <cell r="M75">
            <v>-33.480000000000004</v>
          </cell>
          <cell r="N75">
            <v>-33.480000000000004</v>
          </cell>
          <cell r="O75">
            <v>-33.480000000000004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</row>
        <row r="76">
          <cell r="C76" t="str">
            <v>Dunlap I Wind_T</v>
          </cell>
          <cell r="D76">
            <v>-33.480000000000004</v>
          </cell>
          <cell r="E76">
            <v>-33.480000000000004</v>
          </cell>
          <cell r="F76">
            <v>-33.480000000000004</v>
          </cell>
          <cell r="G76">
            <v>-33.480000000000004</v>
          </cell>
          <cell r="H76">
            <v>-33.480000000000004</v>
          </cell>
          <cell r="I76">
            <v>-33.480000000000004</v>
          </cell>
          <cell r="J76">
            <v>-33.480000000000004</v>
          </cell>
          <cell r="K76">
            <v>-33.480000000000004</v>
          </cell>
          <cell r="L76">
            <v>-33.480000000000004</v>
          </cell>
          <cell r="M76">
            <v>-33.480000000000004</v>
          </cell>
          <cell r="N76">
            <v>-33.480000000000004</v>
          </cell>
          <cell r="O76">
            <v>-33.480000000000004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</row>
        <row r="77">
          <cell r="C77" t="str">
            <v>Foote Creek I Wind_T</v>
          </cell>
          <cell r="D77">
            <v>-33.480000000000004</v>
          </cell>
          <cell r="E77">
            <v>-33.480000000000004</v>
          </cell>
          <cell r="F77">
            <v>-33.480000000000004</v>
          </cell>
          <cell r="G77">
            <v>-33.480000000000004</v>
          </cell>
          <cell r="H77">
            <v>-33.480000000000004</v>
          </cell>
          <cell r="I77">
            <v>-33.480000000000004</v>
          </cell>
          <cell r="J77">
            <v>-33.480000000000004</v>
          </cell>
          <cell r="K77">
            <v>-33.480000000000004</v>
          </cell>
          <cell r="L77">
            <v>-33.480000000000004</v>
          </cell>
          <cell r="M77">
            <v>-33.480000000000004</v>
          </cell>
          <cell r="N77">
            <v>-33.480000000000004</v>
          </cell>
          <cell r="O77">
            <v>-33.480000000000004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</row>
        <row r="78">
          <cell r="C78" t="str">
            <v>Glenrock Wind_T</v>
          </cell>
          <cell r="D78">
            <v>-33.480000000000004</v>
          </cell>
          <cell r="E78">
            <v>-33.480000000000004</v>
          </cell>
          <cell r="F78">
            <v>-33.480000000000004</v>
          </cell>
          <cell r="G78">
            <v>-33.480000000000004</v>
          </cell>
          <cell r="H78">
            <v>-33.480000000000004</v>
          </cell>
          <cell r="I78">
            <v>-33.480000000000004</v>
          </cell>
          <cell r="J78">
            <v>-33.480000000000004</v>
          </cell>
          <cell r="K78">
            <v>-33.480000000000004</v>
          </cell>
          <cell r="L78">
            <v>-33.480000000000004</v>
          </cell>
          <cell r="M78">
            <v>-33.480000000000004</v>
          </cell>
          <cell r="N78">
            <v>-33.480000000000004</v>
          </cell>
          <cell r="O78">
            <v>-33.480000000000004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</row>
        <row r="79">
          <cell r="C79" t="str">
            <v>Glenrock Wind xReP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</row>
        <row r="80">
          <cell r="C80" t="str">
            <v>Glenrock III Wind_T</v>
          </cell>
          <cell r="D80">
            <v>-33.480000000000004</v>
          </cell>
          <cell r="E80">
            <v>-33.480000000000004</v>
          </cell>
          <cell r="F80">
            <v>-33.480000000000004</v>
          </cell>
          <cell r="G80">
            <v>-33.480000000000004</v>
          </cell>
          <cell r="H80">
            <v>-33.480000000000004</v>
          </cell>
          <cell r="I80">
            <v>-33.480000000000004</v>
          </cell>
          <cell r="J80">
            <v>-33.480000000000004</v>
          </cell>
          <cell r="K80">
            <v>-33.480000000000004</v>
          </cell>
          <cell r="L80">
            <v>-33.480000000000004</v>
          </cell>
          <cell r="M80">
            <v>-33.480000000000004</v>
          </cell>
          <cell r="N80">
            <v>-33.480000000000004</v>
          </cell>
          <cell r="O80">
            <v>-33.480000000000004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</row>
        <row r="81">
          <cell r="C81" t="str">
            <v>Glenrock III Wind xReP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</row>
        <row r="82">
          <cell r="C82" t="str">
            <v>Goodnoe Wind_T</v>
          </cell>
          <cell r="D82">
            <v>-34.47999999999999</v>
          </cell>
          <cell r="E82">
            <v>-34.47999999999999</v>
          </cell>
          <cell r="F82">
            <v>-34.47999999999999</v>
          </cell>
          <cell r="G82">
            <v>-34.47999999999999</v>
          </cell>
          <cell r="H82">
            <v>-34.47999999999999</v>
          </cell>
          <cell r="I82">
            <v>-34.47999999999999</v>
          </cell>
          <cell r="J82">
            <v>-34.47999999999999</v>
          </cell>
          <cell r="K82">
            <v>-34.47999999999999</v>
          </cell>
          <cell r="L82">
            <v>-34.47999999999999</v>
          </cell>
          <cell r="M82">
            <v>-34.47999999999999</v>
          </cell>
          <cell r="N82">
            <v>-34.47999999999999</v>
          </cell>
          <cell r="O82">
            <v>-34.47999999999999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</row>
        <row r="83">
          <cell r="C83" t="str">
            <v>High Plains Wind_T</v>
          </cell>
          <cell r="D83">
            <v>-33.480000000000004</v>
          </cell>
          <cell r="E83">
            <v>-33.480000000000004</v>
          </cell>
          <cell r="F83">
            <v>-33.480000000000004</v>
          </cell>
          <cell r="G83">
            <v>-33.480000000000004</v>
          </cell>
          <cell r="H83">
            <v>-33.480000000000004</v>
          </cell>
          <cell r="I83">
            <v>-33.480000000000004</v>
          </cell>
          <cell r="J83">
            <v>-33.480000000000004</v>
          </cell>
          <cell r="K83">
            <v>-33.480000000000004</v>
          </cell>
          <cell r="L83">
            <v>-33.480000000000004</v>
          </cell>
          <cell r="M83">
            <v>-33.480000000000004</v>
          </cell>
          <cell r="N83">
            <v>-33.480000000000004</v>
          </cell>
          <cell r="O83">
            <v>-33.480000000000004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</row>
        <row r="84">
          <cell r="C84" t="str">
            <v>Leaning Juniper 1 Wind_T</v>
          </cell>
          <cell r="D84">
            <v>-34.47999999999999</v>
          </cell>
          <cell r="E84">
            <v>-34.47999999999999</v>
          </cell>
          <cell r="F84">
            <v>-34.47999999999999</v>
          </cell>
          <cell r="G84">
            <v>-34.47999999999999</v>
          </cell>
          <cell r="H84">
            <v>-34.47999999999999</v>
          </cell>
          <cell r="I84">
            <v>-34.47999999999999</v>
          </cell>
          <cell r="J84">
            <v>-34.47999999999999</v>
          </cell>
          <cell r="K84">
            <v>-34.47999999999999</v>
          </cell>
          <cell r="L84">
            <v>-34.47999999999999</v>
          </cell>
          <cell r="M84">
            <v>-34.47999999999999</v>
          </cell>
          <cell r="N84">
            <v>-34.47999999999999</v>
          </cell>
          <cell r="O84">
            <v>-34.47999999999999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</row>
        <row r="85">
          <cell r="C85" t="str">
            <v>Marengo I Wind_T</v>
          </cell>
          <cell r="D85">
            <v>-34.47999999999999</v>
          </cell>
          <cell r="E85">
            <v>-34.47999999999999</v>
          </cell>
          <cell r="F85">
            <v>-34.47999999999999</v>
          </cell>
          <cell r="G85">
            <v>-34.47999999999999</v>
          </cell>
          <cell r="H85">
            <v>-34.47999999999999</v>
          </cell>
          <cell r="I85">
            <v>-34.47999999999999</v>
          </cell>
          <cell r="J85">
            <v>-34.47999999999999</v>
          </cell>
          <cell r="K85">
            <v>-34.47999999999999</v>
          </cell>
          <cell r="L85">
            <v>-34.47999999999999</v>
          </cell>
          <cell r="M85">
            <v>-34.47999999999999</v>
          </cell>
          <cell r="N85">
            <v>-34.47999999999999</v>
          </cell>
          <cell r="O85">
            <v>-34.47999999999999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</row>
        <row r="86">
          <cell r="C86" t="str">
            <v>Marengo II Wind_T</v>
          </cell>
          <cell r="D86">
            <v>-34.47999999999999</v>
          </cell>
          <cell r="E86">
            <v>-34.47999999999999</v>
          </cell>
          <cell r="F86">
            <v>-34.47999999999999</v>
          </cell>
          <cell r="G86">
            <v>-34.47999999999999</v>
          </cell>
          <cell r="H86">
            <v>-34.47999999999999</v>
          </cell>
          <cell r="I86">
            <v>-34.47999999999999</v>
          </cell>
          <cell r="J86">
            <v>-34.47999999999999</v>
          </cell>
          <cell r="K86">
            <v>-34.47999999999999</v>
          </cell>
          <cell r="L86">
            <v>-34.47999999999999</v>
          </cell>
          <cell r="M86">
            <v>-34.47999999999999</v>
          </cell>
          <cell r="N86">
            <v>-34.47999999999999</v>
          </cell>
          <cell r="O86">
            <v>-34.47999999999999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</row>
        <row r="87">
          <cell r="C87" t="str">
            <v>McFadden Ridge Wind_T</v>
          </cell>
          <cell r="D87">
            <v>-33.480000000000004</v>
          </cell>
          <cell r="E87">
            <v>-33.480000000000004</v>
          </cell>
          <cell r="F87">
            <v>-33.480000000000004</v>
          </cell>
          <cell r="G87">
            <v>-33.480000000000004</v>
          </cell>
          <cell r="H87">
            <v>-33.480000000000004</v>
          </cell>
          <cell r="I87">
            <v>-33.480000000000004</v>
          </cell>
          <cell r="J87">
            <v>-33.480000000000004</v>
          </cell>
          <cell r="K87">
            <v>-33.480000000000004</v>
          </cell>
          <cell r="L87">
            <v>-33.480000000000004</v>
          </cell>
          <cell r="M87">
            <v>-33.480000000000004</v>
          </cell>
          <cell r="N87">
            <v>-33.480000000000004</v>
          </cell>
          <cell r="O87">
            <v>-33.480000000000004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</row>
        <row r="88">
          <cell r="C88" t="str">
            <v>Rolling Hills Wind_T</v>
          </cell>
          <cell r="D88">
            <v>-33.480000000000004</v>
          </cell>
          <cell r="E88">
            <v>-33.480000000000004</v>
          </cell>
          <cell r="F88">
            <v>-33.480000000000004</v>
          </cell>
          <cell r="G88">
            <v>-33.480000000000004</v>
          </cell>
          <cell r="H88">
            <v>-33.480000000000004</v>
          </cell>
          <cell r="I88">
            <v>-33.480000000000004</v>
          </cell>
          <cell r="J88">
            <v>-33.480000000000004</v>
          </cell>
          <cell r="K88">
            <v>-33.480000000000004</v>
          </cell>
          <cell r="L88">
            <v>-33.480000000000004</v>
          </cell>
          <cell r="M88">
            <v>-33.480000000000004</v>
          </cell>
          <cell r="N88">
            <v>-33.480000000000004</v>
          </cell>
          <cell r="O88">
            <v>-33.480000000000004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</row>
        <row r="89">
          <cell r="C89" t="str">
            <v>Rolling Hills Wind xReP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</row>
        <row r="90">
          <cell r="C90" t="str">
            <v>Seven Mile Wind_T</v>
          </cell>
          <cell r="D90">
            <v>-33.480000000000004</v>
          </cell>
          <cell r="E90">
            <v>-33.480000000000004</v>
          </cell>
          <cell r="F90">
            <v>-33.480000000000004</v>
          </cell>
          <cell r="G90">
            <v>-33.480000000000004</v>
          </cell>
          <cell r="H90">
            <v>-33.480000000000004</v>
          </cell>
          <cell r="I90">
            <v>-33.480000000000004</v>
          </cell>
          <cell r="J90">
            <v>-33.480000000000004</v>
          </cell>
          <cell r="K90">
            <v>-33.480000000000004</v>
          </cell>
          <cell r="L90">
            <v>-33.480000000000004</v>
          </cell>
          <cell r="M90">
            <v>-33.480000000000004</v>
          </cell>
          <cell r="N90">
            <v>-33.480000000000004</v>
          </cell>
          <cell r="O90">
            <v>-33.480000000000004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</row>
        <row r="91">
          <cell r="C91" t="str">
            <v>Seven Mile II Wind_T</v>
          </cell>
          <cell r="D91">
            <v>-33.480000000000004</v>
          </cell>
          <cell r="E91">
            <v>-33.480000000000004</v>
          </cell>
          <cell r="F91">
            <v>-33.480000000000004</v>
          </cell>
          <cell r="G91">
            <v>-33.480000000000004</v>
          </cell>
          <cell r="H91">
            <v>-33.480000000000004</v>
          </cell>
          <cell r="I91">
            <v>-33.480000000000004</v>
          </cell>
          <cell r="J91">
            <v>-33.480000000000004</v>
          </cell>
          <cell r="K91">
            <v>-33.480000000000004</v>
          </cell>
          <cell r="L91">
            <v>-33.480000000000004</v>
          </cell>
          <cell r="M91">
            <v>-33.480000000000004</v>
          </cell>
          <cell r="N91">
            <v>-33.480000000000004</v>
          </cell>
          <cell r="O91">
            <v>-33.480000000000004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</row>
        <row r="92">
          <cell r="C92" t="str">
            <v>Cedar Springs Wind II_T</v>
          </cell>
          <cell r="D92">
            <v>-33.479989999999987</v>
          </cell>
          <cell r="E92">
            <v>-33.479989999999987</v>
          </cell>
          <cell r="F92">
            <v>-33.479989999999987</v>
          </cell>
          <cell r="G92">
            <v>-33.479989999999987</v>
          </cell>
          <cell r="H92">
            <v>-33.479989999999987</v>
          </cell>
          <cell r="I92">
            <v>-33.479989999999987</v>
          </cell>
          <cell r="J92">
            <v>-33.479989999999987</v>
          </cell>
          <cell r="K92">
            <v>-33.479989999999987</v>
          </cell>
          <cell r="L92">
            <v>-33.479989999999987</v>
          </cell>
          <cell r="M92">
            <v>-33.479989999999987</v>
          </cell>
          <cell r="N92">
            <v>-33.479989999999987</v>
          </cell>
          <cell r="O92">
            <v>-33.479989999999987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</row>
        <row r="93">
          <cell r="C93" t="str">
            <v>Cedar Springs Wind_T</v>
          </cell>
          <cell r="D93">
            <v>-33.479989999999987</v>
          </cell>
          <cell r="E93">
            <v>-33.479989999999987</v>
          </cell>
          <cell r="F93">
            <v>-33.479989999999987</v>
          </cell>
          <cell r="G93">
            <v>-33.479989999999987</v>
          </cell>
          <cell r="H93">
            <v>-33.479989999999987</v>
          </cell>
          <cell r="I93">
            <v>-33.479989999999987</v>
          </cell>
          <cell r="J93">
            <v>-33.479989999999987</v>
          </cell>
          <cell r="K93">
            <v>-33.479989999999987</v>
          </cell>
          <cell r="L93">
            <v>-33.479989999999987</v>
          </cell>
          <cell r="M93">
            <v>-33.479989999999987</v>
          </cell>
          <cell r="N93">
            <v>-33.479989999999987</v>
          </cell>
          <cell r="O93">
            <v>-33.479989999999987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</row>
        <row r="94">
          <cell r="C94" t="str">
            <v>Cedar Springs Wind III_T</v>
          </cell>
          <cell r="D94">
            <v>-33.480000000000004</v>
          </cell>
          <cell r="E94">
            <v>-33.480000000000004</v>
          </cell>
          <cell r="F94">
            <v>-33.480000000000004</v>
          </cell>
          <cell r="G94">
            <v>-33.480000000000004</v>
          </cell>
          <cell r="H94">
            <v>-33.480000000000004</v>
          </cell>
          <cell r="I94">
            <v>-33.480000000000004</v>
          </cell>
          <cell r="J94">
            <v>-33.480000000000004</v>
          </cell>
          <cell r="K94">
            <v>-33.480000000000004</v>
          </cell>
          <cell r="L94">
            <v>-33.480000000000004</v>
          </cell>
          <cell r="M94">
            <v>-33.480000000000004</v>
          </cell>
          <cell r="N94">
            <v>-33.480000000000004</v>
          </cell>
          <cell r="O94">
            <v>-33.480000000000004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</row>
        <row r="95">
          <cell r="C95" t="str">
            <v>IRP19Wind_UT_CP_T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</row>
        <row r="96">
          <cell r="C96" t="str">
            <v>IRP19Wind_WYAE_T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2" zoomScale="70" zoomScaleNormal="70" zoomScaleSheetLayoutView="70" workbookViewId="0">
      <selection activeCell="G40" sqref="G40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3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Kennecott Smelter Non Firm - 31.8 MW and 58.2%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2" t="s">
        <v>74</v>
      </c>
      <c r="AM7" s="212"/>
    </row>
    <row r="8" spans="2:107" s="209" customFormat="1" ht="40.700000000000003" customHeight="1">
      <c r="B8" s="200"/>
      <c r="C8" s="200"/>
      <c r="D8" s="200"/>
      <c r="E8" s="202"/>
      <c r="F8" s="203"/>
      <c r="G8" s="201" t="s">
        <v>14</v>
      </c>
      <c r="H8" s="205"/>
      <c r="I8" s="211"/>
      <c r="K8"/>
      <c r="L8"/>
      <c r="M8"/>
      <c r="P8" s="212"/>
      <c r="Q8" s="212"/>
      <c r="R8" s="212"/>
      <c r="S8" s="209" t="s">
        <v>201</v>
      </c>
      <c r="T8" s="217" t="s">
        <v>202</v>
      </c>
      <c r="U8" s="214"/>
      <c r="V8" s="217" t="s">
        <v>203</v>
      </c>
      <c r="W8" s="217" t="s">
        <v>204</v>
      </c>
      <c r="X8" s="217" t="s">
        <v>206</v>
      </c>
      <c r="Y8" s="217" t="s">
        <v>207</v>
      </c>
      <c r="Z8" s="214" t="s">
        <v>209</v>
      </c>
      <c r="AA8" s="209" t="s">
        <v>211</v>
      </c>
      <c r="AB8" s="217" t="s">
        <v>212</v>
      </c>
      <c r="AC8" s="217" t="s">
        <v>213</v>
      </c>
      <c r="AD8" s="209" t="s">
        <v>215</v>
      </c>
      <c r="AE8" s="217" t="s">
        <v>216</v>
      </c>
      <c r="AF8" s="217" t="s">
        <v>217</v>
      </c>
      <c r="AG8" s="217" t="s">
        <v>168</v>
      </c>
      <c r="AL8" s="217">
        <f>P8</f>
        <v>0</v>
      </c>
      <c r="AM8" s="217"/>
      <c r="AN8" s="217">
        <f t="shared" ref="AN8" si="0">R8</f>
        <v>0</v>
      </c>
      <c r="AO8" s="217" t="str">
        <f t="shared" ref="AO8" si="1">S8</f>
        <v>IRP19Wind_wS_YK_T 2029</v>
      </c>
      <c r="AP8" s="217" t="str">
        <f t="shared" ref="AP8" si="2">T8</f>
        <v>IRP19Wind_wS_YK_T 2037</v>
      </c>
      <c r="AQ8" s="217">
        <f t="shared" ref="AQ8" si="3">U8</f>
        <v>0</v>
      </c>
      <c r="AR8" s="217" t="str">
        <f t="shared" ref="AR8" si="4">V8</f>
        <v>IRP19Solar_wS_YK_T 2024</v>
      </c>
      <c r="AS8" s="217" t="str">
        <f t="shared" ref="AS8" si="5">W8</f>
        <v>IRP19Solar_wS_YK_T 2036</v>
      </c>
      <c r="AT8" s="217" t="str">
        <f t="shared" ref="AT8" si="6">X8</f>
        <v>IRP19Solar_wS_OR_T 2024</v>
      </c>
      <c r="AU8" s="217" t="str">
        <f t="shared" ref="AU8" si="7">Y8</f>
        <v>IRP19Solar_wS_OR_T 2033</v>
      </c>
      <c r="AV8" s="217" t="str">
        <f t="shared" ref="AV8" si="8">Z8</f>
        <v>IRP19Solar_wS_UT_UTN_T 2024</v>
      </c>
      <c r="AW8" s="217" t="str">
        <f t="shared" ref="AW8" si="9">AA8</f>
        <v>IRP19Solar_wS_WY_JB_T 2024</v>
      </c>
      <c r="AX8" s="217" t="str">
        <f t="shared" ref="AX8" si="10">AB8</f>
        <v>IRP19Solar_wS_WY_JB_T 2029</v>
      </c>
      <c r="AY8" s="217" t="str">
        <f t="shared" ref="AY8" si="11">AC8</f>
        <v>IRP19Solar_wS_WY_JB_T 2038</v>
      </c>
      <c r="AZ8" s="217" t="str">
        <f t="shared" ref="AZ8" si="12">AD8</f>
        <v>IRP19Solar_wS_UT_UTS_T 2024</v>
      </c>
      <c r="BA8" s="217" t="str">
        <f t="shared" ref="BA8" si="13">AE8</f>
        <v>IRP19Solar_wS_UT_UTS_T 2030</v>
      </c>
      <c r="BB8" s="217" t="str">
        <f>AF8</f>
        <v>IRP19Solar_wS_UT_UTS_T 2037</v>
      </c>
      <c r="BC8" s="217" t="str">
        <f>AG8</f>
        <v>IRP19_SCCT_NTN_2026_185MW</v>
      </c>
      <c r="BD8" s="217"/>
      <c r="BE8" s="217"/>
      <c r="BF8" s="217"/>
      <c r="BH8" s="212" t="s">
        <v>75</v>
      </c>
      <c r="BI8" s="212"/>
      <c r="BJ8" s="212"/>
      <c r="BK8" s="217" t="str">
        <f t="shared" ref="BK8:BY9" si="14">S8</f>
        <v>IRP19Wind_wS_YK_T 2029</v>
      </c>
      <c r="BL8" s="217" t="str">
        <f t="shared" si="14"/>
        <v>IRP19Wind_wS_YK_T 2037</v>
      </c>
      <c r="BM8" s="217">
        <f t="shared" si="14"/>
        <v>0</v>
      </c>
      <c r="BN8" s="217" t="str">
        <f t="shared" si="14"/>
        <v>IRP19Solar_wS_YK_T 2024</v>
      </c>
      <c r="BO8" s="217" t="str">
        <f t="shared" si="14"/>
        <v>IRP19Solar_wS_YK_T 2036</v>
      </c>
      <c r="BP8" s="217" t="str">
        <f t="shared" si="14"/>
        <v>IRP19Solar_wS_OR_T 2024</v>
      </c>
      <c r="BQ8" s="217" t="str">
        <f t="shared" si="14"/>
        <v>IRP19Solar_wS_OR_T 2033</v>
      </c>
      <c r="BR8" s="217" t="str">
        <f t="shared" si="14"/>
        <v>IRP19Solar_wS_UT_UTN_T 2024</v>
      </c>
      <c r="BS8" s="217" t="str">
        <f t="shared" si="14"/>
        <v>IRP19Solar_wS_WY_JB_T 2024</v>
      </c>
      <c r="BT8" s="217" t="str">
        <f t="shared" si="14"/>
        <v>IRP19Solar_wS_WY_JB_T 2029</v>
      </c>
      <c r="BU8" s="217" t="str">
        <f t="shared" si="14"/>
        <v>IRP19Solar_wS_WY_JB_T 2038</v>
      </c>
      <c r="BV8" s="217" t="str">
        <f t="shared" si="14"/>
        <v>IRP19Solar_wS_UT_UTS_T 2024</v>
      </c>
      <c r="BW8" s="217" t="str">
        <f t="shared" si="14"/>
        <v>IRP19Solar_wS_UT_UTS_T 2030</v>
      </c>
      <c r="BX8" s="217" t="str">
        <f t="shared" si="14"/>
        <v>IRP19Solar_wS_UT_UTS_T 2037</v>
      </c>
      <c r="BY8" s="217" t="str">
        <f t="shared" si="14"/>
        <v>IRP19_SCCT_NTN_2026_185MW</v>
      </c>
      <c r="BZ8" s="217"/>
      <c r="CA8" s="217"/>
      <c r="CB8" s="217"/>
      <c r="CD8" s="212" t="s">
        <v>76</v>
      </c>
      <c r="CE8" s="212"/>
      <c r="CF8" s="212"/>
      <c r="CI8" s="217"/>
      <c r="CN8" s="217"/>
      <c r="DB8" s="186" t="s">
        <v>75</v>
      </c>
      <c r="DC8" s="187" t="s">
        <v>76</v>
      </c>
    </row>
    <row r="9" spans="2:107" s="195" customFormat="1" ht="76.7" customHeight="1">
      <c r="B9" s="200"/>
      <c r="C9" s="201" t="s">
        <v>6</v>
      </c>
      <c r="D9" s="201"/>
      <c r="E9" s="202" t="s">
        <v>18</v>
      </c>
      <c r="F9" s="203"/>
      <c r="G9" s="204">
        <f ca="1">Study_CF</f>
        <v>0.58176100628930816</v>
      </c>
      <c r="H9" s="205"/>
      <c r="I9" s="206"/>
      <c r="K9"/>
      <c r="L9"/>
      <c r="M9"/>
      <c r="P9" s="195" t="s">
        <v>196</v>
      </c>
      <c r="Q9" s="217" t="s">
        <v>230</v>
      </c>
      <c r="R9" s="195" t="s">
        <v>197</v>
      </c>
      <c r="S9" s="195" t="s">
        <v>198</v>
      </c>
      <c r="T9" s="217" t="s">
        <v>198</v>
      </c>
      <c r="U9" s="214" t="s">
        <v>199</v>
      </c>
      <c r="V9" s="195" t="s">
        <v>200</v>
      </c>
      <c r="W9" s="217" t="s">
        <v>200</v>
      </c>
      <c r="X9" s="195" t="s">
        <v>205</v>
      </c>
      <c r="Y9" s="217" t="s">
        <v>205</v>
      </c>
      <c r="Z9" s="214" t="s">
        <v>208</v>
      </c>
      <c r="AA9" s="195" t="s">
        <v>210</v>
      </c>
      <c r="AB9" s="217" t="s">
        <v>210</v>
      </c>
      <c r="AC9" s="217" t="s">
        <v>210</v>
      </c>
      <c r="AD9" s="195" t="s">
        <v>214</v>
      </c>
      <c r="AE9" s="217" t="s">
        <v>214</v>
      </c>
      <c r="AF9" s="217" t="s">
        <v>214</v>
      </c>
      <c r="AG9" s="209" t="s">
        <v>168</v>
      </c>
      <c r="AH9" s="209"/>
      <c r="AI9" s="209"/>
      <c r="AK9" s="208"/>
      <c r="AL9" s="195" t="str">
        <f>P9</f>
        <v>IRP19Wind_ID_T</v>
      </c>
      <c r="AM9" s="217" t="str">
        <f t="shared" ref="AM9:BA9" si="15">Q9</f>
        <v>IRP19Wind_UT_CP_T</v>
      </c>
      <c r="AN9" s="195" t="str">
        <f t="shared" si="15"/>
        <v>IRP19Wind_WYAE_T</v>
      </c>
      <c r="AO9" s="195" t="str">
        <f t="shared" si="15"/>
        <v>IRP19Wind_wS_YK_T</v>
      </c>
      <c r="AP9" s="195" t="str">
        <f t="shared" si="15"/>
        <v>IRP19Wind_wS_YK_T</v>
      </c>
      <c r="AQ9" s="214" t="str">
        <f t="shared" si="15"/>
        <v>IRP19Wind_wS_ID_T</v>
      </c>
      <c r="AR9" s="195" t="str">
        <f t="shared" si="15"/>
        <v>IRP19Solar_wS_YK_T</v>
      </c>
      <c r="AS9" s="195" t="str">
        <f t="shared" si="15"/>
        <v>IRP19Solar_wS_YK_T</v>
      </c>
      <c r="AT9" s="195" t="str">
        <f t="shared" si="15"/>
        <v>IRP19Solar_wS_OR_T</v>
      </c>
      <c r="AU9" s="195" t="str">
        <f t="shared" si="15"/>
        <v>IRP19Solar_wS_OR_T</v>
      </c>
      <c r="AV9" s="214" t="str">
        <f t="shared" si="15"/>
        <v>IRP19Solar_wS_UT_UTN_T</v>
      </c>
      <c r="AW9" s="195" t="str">
        <f t="shared" si="15"/>
        <v>IRP19Solar_wS_WY_JB_T</v>
      </c>
      <c r="AX9" s="209" t="str">
        <f t="shared" si="15"/>
        <v>IRP19Solar_wS_WY_JB_T</v>
      </c>
      <c r="AY9" s="209" t="str">
        <f t="shared" si="15"/>
        <v>IRP19Solar_wS_WY_JB_T</v>
      </c>
      <c r="AZ9" s="209" t="str">
        <f t="shared" si="15"/>
        <v>IRP19Solar_wS_UT_UTS_T</v>
      </c>
      <c r="BA9" s="209" t="str">
        <f t="shared" si="15"/>
        <v>IRP19Solar_wS_UT_UTS_T</v>
      </c>
      <c r="BB9" s="209" t="str">
        <f>AF9</f>
        <v>IRP19Solar_wS_UT_UTS_T</v>
      </c>
      <c r="BC9" s="217" t="str">
        <f>AG9</f>
        <v>IRP19_SCCT_NTN_2026_185MW</v>
      </c>
      <c r="BD9" s="209"/>
      <c r="BE9" s="209"/>
      <c r="BF9" s="209"/>
      <c r="BH9" s="195" t="str">
        <f>P9</f>
        <v>IRP19Wind_ID_T</v>
      </c>
      <c r="BI9" s="217" t="str">
        <f>Q9</f>
        <v>IRP19Wind_UT_CP_T</v>
      </c>
      <c r="BJ9" s="217" t="str">
        <f>R9</f>
        <v>IRP19Wind_WYAE_T</v>
      </c>
      <c r="BK9" s="217" t="str">
        <f t="shared" si="14"/>
        <v>IRP19Wind_wS_YK_T</v>
      </c>
      <c r="BL9" s="217" t="str">
        <f t="shared" si="14"/>
        <v>IRP19Wind_wS_YK_T</v>
      </c>
      <c r="BM9" s="217" t="str">
        <f t="shared" si="14"/>
        <v>IRP19Wind_wS_ID_T</v>
      </c>
      <c r="BN9" s="217" t="str">
        <f t="shared" si="14"/>
        <v>IRP19Solar_wS_YK_T</v>
      </c>
      <c r="BO9" s="217" t="str">
        <f t="shared" si="14"/>
        <v>IRP19Solar_wS_YK_T</v>
      </c>
      <c r="BP9" s="217" t="str">
        <f t="shared" si="14"/>
        <v>IRP19Solar_wS_OR_T</v>
      </c>
      <c r="BQ9" s="217" t="str">
        <f t="shared" si="14"/>
        <v>IRP19Solar_wS_OR_T</v>
      </c>
      <c r="BR9" s="217" t="str">
        <f t="shared" si="14"/>
        <v>IRP19Solar_wS_UT_UTN_T</v>
      </c>
      <c r="BS9" s="217" t="str">
        <f t="shared" si="14"/>
        <v>IRP19Solar_wS_WY_JB_T</v>
      </c>
      <c r="BT9" s="217" t="str">
        <f t="shared" si="14"/>
        <v>IRP19Solar_wS_WY_JB_T</v>
      </c>
      <c r="BU9" s="217" t="str">
        <f t="shared" si="14"/>
        <v>IRP19Solar_wS_WY_JB_T</v>
      </c>
      <c r="BV9" s="217" t="str">
        <f t="shared" si="14"/>
        <v>IRP19Solar_wS_UT_UTS_T</v>
      </c>
      <c r="BW9" s="217" t="str">
        <f t="shared" si="14"/>
        <v>IRP19Solar_wS_UT_UTS_T</v>
      </c>
      <c r="BX9" s="217" t="str">
        <f t="shared" si="14"/>
        <v>IRP19Solar_wS_UT_UTS_T</v>
      </c>
      <c r="BY9" s="217" t="str">
        <f t="shared" si="14"/>
        <v>IRP19_SCCT_NTN_2026_185MW</v>
      </c>
      <c r="BZ9" s="217"/>
      <c r="CA9" s="217"/>
      <c r="CB9" s="217"/>
      <c r="CD9" s="195" t="str">
        <f t="shared" ref="CD9:CX9" si="16">BH9</f>
        <v>IRP19Wind_ID_T</v>
      </c>
      <c r="CE9" s="217" t="str">
        <f t="shared" si="16"/>
        <v>IRP19Wind_UT_CP_T</v>
      </c>
      <c r="CF9" s="209" t="str">
        <f t="shared" si="16"/>
        <v>IRP19Wind_WYAE_T</v>
      </c>
      <c r="CG9" s="209" t="str">
        <f t="shared" si="16"/>
        <v>IRP19Wind_wS_YK_T</v>
      </c>
      <c r="CH9" s="209" t="str">
        <f t="shared" si="16"/>
        <v>IRP19Wind_wS_YK_T</v>
      </c>
      <c r="CI9" s="215" t="str">
        <f t="shared" si="16"/>
        <v>IRP19Wind_wS_ID_T</v>
      </c>
      <c r="CJ9" s="209" t="str">
        <f t="shared" si="16"/>
        <v>IRP19Solar_wS_YK_T</v>
      </c>
      <c r="CK9" s="209" t="str">
        <f t="shared" si="16"/>
        <v>IRP19Solar_wS_YK_T</v>
      </c>
      <c r="CL9" s="209" t="str">
        <f t="shared" si="16"/>
        <v>IRP19Solar_wS_OR_T</v>
      </c>
      <c r="CM9" s="209" t="str">
        <f t="shared" si="16"/>
        <v>IRP19Solar_wS_OR_T</v>
      </c>
      <c r="CN9" s="215" t="str">
        <f t="shared" si="16"/>
        <v>IRP19Solar_wS_UT_UTN_T</v>
      </c>
      <c r="CO9" s="209" t="str">
        <f t="shared" si="16"/>
        <v>IRP19Solar_wS_WY_JB_T</v>
      </c>
      <c r="CP9" s="209" t="str">
        <f t="shared" si="16"/>
        <v>IRP19Solar_wS_WY_JB_T</v>
      </c>
      <c r="CQ9" s="209" t="str">
        <f t="shared" si="16"/>
        <v>IRP19Solar_wS_WY_JB_T</v>
      </c>
      <c r="CR9" s="209" t="str">
        <f t="shared" si="16"/>
        <v>IRP19Solar_wS_UT_UTS_T</v>
      </c>
      <c r="CS9" s="209" t="str">
        <f t="shared" si="16"/>
        <v>IRP19Solar_wS_UT_UTS_T</v>
      </c>
      <c r="CT9" s="209" t="str">
        <f t="shared" si="16"/>
        <v>IRP19Solar_wS_UT_UTS_T</v>
      </c>
      <c r="CU9" s="209" t="str">
        <f t="shared" si="16"/>
        <v>IRP19_SCCT_NTN_2026_185MW</v>
      </c>
      <c r="CV9" s="209">
        <f t="shared" si="16"/>
        <v>0</v>
      </c>
      <c r="CW9" s="209">
        <f t="shared" si="16"/>
        <v>0</v>
      </c>
      <c r="CX9" s="209">
        <f t="shared" si="16"/>
        <v>0</v>
      </c>
      <c r="CY9" s="195" t="s">
        <v>77</v>
      </c>
      <c r="DB9" s="195" t="s">
        <v>86</v>
      </c>
      <c r="DC9" s="195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67"/>
    </row>
    <row r="13" spans="2:107" customFormat="1">
      <c r="B13" s="15">
        <f>'Table 5'!J13</f>
        <v>2022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25.390551521252384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25.390551521252384</v>
      </c>
      <c r="H13" s="36"/>
      <c r="I13" s="174"/>
      <c r="J13" s="174"/>
      <c r="O13">
        <f t="shared" ref="O13:O32" si="18">B13</f>
        <v>2022</v>
      </c>
      <c r="P13">
        <v>0</v>
      </c>
      <c r="Q13">
        <v>0</v>
      </c>
      <c r="R13">
        <v>0</v>
      </c>
      <c r="S13" s="366">
        <v>0</v>
      </c>
      <c r="T13" s="366">
        <v>0</v>
      </c>
      <c r="U13" s="174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2022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8"/>
      <c r="BM13" s="130">
        <f>IFERROR(VLOOKUP($O13,'Table 3 ID Wind wS_2032'!$B$10:$K$38,10,FALSE),0)</f>
        <v>0</v>
      </c>
      <c r="BN13" s="130">
        <f>IFERROR(VLOOKUP($O13,'Table 3 PV wS YK_2024'!$B$10:$K$40,10,FALSE),0)</f>
        <v>26.69</v>
      </c>
      <c r="BO13" s="368"/>
      <c r="BP13" s="130">
        <f>IFERROR(VLOOKUP($O13,'Table 3 PV wS SO_2024'!$B$10:$K$40,10,FALSE),0)</f>
        <v>26.69</v>
      </c>
      <c r="BQ13" s="368"/>
      <c r="BR13" s="130">
        <f>IFERROR(VLOOKUP($O13,'Table 3 PV wS UTN_2024'!$B$10:$K$43,10,FALSE),0)</f>
        <v>26.69</v>
      </c>
      <c r="BS13" s="130">
        <f>IFERROR(VLOOKUP($O13,'Table 3 PV wS JB_2024'!$B$10:$K$40,10,FALSE),0)</f>
        <v>26.69</v>
      </c>
      <c r="BT13" s="130">
        <f>IFERROR(VLOOKUP($O13,'Table 3 PV wS JB_2029'!$B$10:$K$40,10,FALSE),0)</f>
        <v>26.69</v>
      </c>
      <c r="BU13" s="368"/>
      <c r="BV13" s="130">
        <f>IFERROR(VLOOKUP($O13,'Table 3 PV wS UTS_2024'!$B$10:$K$38,10,FALSE),0)</f>
        <v>26.69</v>
      </c>
      <c r="BW13" s="130">
        <f>IFERROR(VLOOKUP($O13,'Table 3 PV wS UTS_2030'!$B$10:$K$38,10,FALSE),0)</f>
        <v>26.69</v>
      </c>
      <c r="BX13" s="367"/>
      <c r="BY13" s="130">
        <f>IFERROR(VLOOKUP($O13,'Table 3 185 MW (NTN) 2026)'!$B$13:$L$40,11,FALSE),0)</f>
        <v>8.43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" si="36">SUM(CD13:CX13)</f>
        <v>0</v>
      </c>
      <c r="DA13">
        <f t="shared" ref="DA13:DA30" si="37">O13</f>
        <v>2022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 hidden="1">
      <c r="B14" s="15"/>
      <c r="C14" s="9"/>
      <c r="D14" s="45"/>
      <c r="E14" s="9"/>
      <c r="F14" s="37"/>
      <c r="G14" s="14"/>
      <c r="H14" s="36"/>
      <c r="I14" s="174"/>
      <c r="J14" s="174"/>
      <c r="S14" s="366"/>
      <c r="T14" s="366"/>
      <c r="U14" s="174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BH14" s="130"/>
      <c r="BI14" s="130"/>
      <c r="BJ14" s="130"/>
      <c r="BK14" s="130"/>
      <c r="BL14" s="368"/>
      <c r="BM14" s="130"/>
      <c r="BN14" s="130"/>
      <c r="BO14" s="368"/>
      <c r="BP14" s="130"/>
      <c r="BQ14" s="368"/>
      <c r="BR14" s="130"/>
      <c r="BS14" s="130"/>
      <c r="BT14" s="130"/>
      <c r="BU14" s="368"/>
      <c r="BV14" s="130"/>
      <c r="BW14" s="130"/>
      <c r="BX14" s="367"/>
      <c r="BY14" s="130"/>
      <c r="DB14" s="89"/>
      <c r="DC14" s="174"/>
    </row>
    <row r="15" spans="2:107" customFormat="1" hidden="1">
      <c r="B15" s="15"/>
      <c r="C15" s="9"/>
      <c r="D15" s="45"/>
      <c r="E15" s="9"/>
      <c r="F15" s="37"/>
      <c r="G15" s="14"/>
      <c r="H15" s="36"/>
      <c r="I15" s="174"/>
      <c r="J15" s="174"/>
      <c r="N15" s="89"/>
      <c r="S15" s="366"/>
      <c r="T15" s="366"/>
      <c r="U15" s="174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BH15" s="130"/>
      <c r="BI15" s="130"/>
      <c r="BJ15" s="130"/>
      <c r="BK15" s="130"/>
      <c r="BL15" s="368"/>
      <c r="BM15" s="130"/>
      <c r="BN15" s="130"/>
      <c r="BO15" s="368"/>
      <c r="BP15" s="130"/>
      <c r="BQ15" s="368"/>
      <c r="BR15" s="130"/>
      <c r="BS15" s="130"/>
      <c r="BT15" s="130"/>
      <c r="BU15" s="368"/>
      <c r="BV15" s="130"/>
      <c r="BW15" s="130"/>
      <c r="BX15" s="367"/>
      <c r="BY15" s="130"/>
      <c r="DB15" s="89"/>
      <c r="DC15" s="174"/>
    </row>
    <row r="16" spans="2:107" customFormat="1" hidden="1">
      <c r="B16" s="15"/>
      <c r="C16" s="9"/>
      <c r="D16" s="45"/>
      <c r="E16" s="9"/>
      <c r="F16" s="37"/>
      <c r="G16" s="14"/>
      <c r="H16" s="36"/>
      <c r="I16" s="174"/>
      <c r="J16" s="174"/>
      <c r="M16" s="111"/>
      <c r="S16" s="366"/>
      <c r="T16" s="366"/>
      <c r="U16" s="174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BH16" s="130"/>
      <c r="BI16" s="130"/>
      <c r="BJ16" s="130"/>
      <c r="BK16" s="130"/>
      <c r="BL16" s="368"/>
      <c r="BM16" s="130"/>
      <c r="BN16" s="130"/>
      <c r="BO16" s="368"/>
      <c r="BP16" s="130"/>
      <c r="BQ16" s="368"/>
      <c r="BR16" s="130"/>
      <c r="BS16" s="130"/>
      <c r="BT16" s="130"/>
      <c r="BU16" s="368"/>
      <c r="BV16" s="130"/>
      <c r="BW16" s="130"/>
      <c r="BX16" s="367"/>
      <c r="BY16" s="130"/>
      <c r="DB16" s="89"/>
      <c r="DC16" s="174"/>
    </row>
    <row r="17" spans="2:107" hidden="1">
      <c r="B17" s="15"/>
      <c r="C17" s="9"/>
      <c r="D17" s="45"/>
      <c r="E17" s="9"/>
      <c r="F17" s="37"/>
      <c r="G17" s="14"/>
      <c r="H17" s="36"/>
      <c r="I17" s="174"/>
      <c r="J17" s="174"/>
      <c r="M17" s="112"/>
      <c r="S17" s="366"/>
      <c r="T17" s="366"/>
      <c r="U17" s="174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400"/>
      <c r="BC17" s="174"/>
      <c r="BH17" s="130"/>
      <c r="BI17" s="130"/>
      <c r="BJ17" s="130"/>
      <c r="BK17" s="130"/>
      <c r="BL17" s="368"/>
      <c r="BM17" s="130"/>
      <c r="BN17" s="130"/>
      <c r="BO17" s="368"/>
      <c r="BP17" s="130"/>
      <c r="BQ17" s="368"/>
      <c r="BR17" s="130"/>
      <c r="BS17" s="130"/>
      <c r="BT17" s="130"/>
      <c r="BU17" s="368"/>
      <c r="BV17" s="130"/>
      <c r="BW17" s="130"/>
      <c r="BX17" s="367"/>
      <c r="BY17" s="130"/>
      <c r="DB17" s="89"/>
      <c r="DC17" s="174"/>
    </row>
    <row r="18" spans="2:107" hidden="1">
      <c r="B18" s="15"/>
      <c r="C18" s="9"/>
      <c r="D18" s="45"/>
      <c r="E18" s="9"/>
      <c r="F18" s="37"/>
      <c r="G18" s="14"/>
      <c r="H18" s="36"/>
      <c r="I18" s="174"/>
      <c r="J18" s="174"/>
      <c r="M18" s="112"/>
      <c r="S18" s="401"/>
      <c r="T18" s="366"/>
      <c r="U18" s="174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O18" s="89"/>
      <c r="BH18" s="130"/>
      <c r="BI18" s="130"/>
      <c r="BJ18" s="130"/>
      <c r="BK18" s="130"/>
      <c r="BL18" s="368"/>
      <c r="BM18" s="130"/>
      <c r="BN18" s="130"/>
      <c r="BO18" s="368"/>
      <c r="BP18" s="130"/>
      <c r="BQ18" s="368"/>
      <c r="BR18" s="130"/>
      <c r="BS18" s="130"/>
      <c r="BT18" s="130"/>
      <c r="BU18" s="368"/>
      <c r="BV18" s="130"/>
      <c r="BW18" s="130"/>
      <c r="BX18" s="367"/>
      <c r="BY18" s="130"/>
      <c r="DB18" s="89"/>
      <c r="DC18" s="174"/>
    </row>
    <row r="19" spans="2:107" hidden="1">
      <c r="B19" s="15"/>
      <c r="C19" s="9"/>
      <c r="D19" s="45"/>
      <c r="E19" s="9"/>
      <c r="F19" s="37"/>
      <c r="G19" s="14"/>
      <c r="H19" s="36"/>
      <c r="I19" s="174"/>
      <c r="J19" s="174"/>
      <c r="M19" s="112"/>
      <c r="S19" s="366"/>
      <c r="T19" s="366"/>
      <c r="U19" s="174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BH19" s="130"/>
      <c r="BI19" s="130"/>
      <c r="BJ19" s="130"/>
      <c r="BK19" s="130"/>
      <c r="BL19" s="368"/>
      <c r="BM19" s="130"/>
      <c r="BN19" s="130"/>
      <c r="BO19" s="368"/>
      <c r="BP19" s="130"/>
      <c r="BQ19" s="368"/>
      <c r="BR19" s="130"/>
      <c r="BS19" s="130"/>
      <c r="BT19" s="130"/>
      <c r="BU19" s="368"/>
      <c r="BV19" s="130"/>
      <c r="BW19" s="130"/>
      <c r="BX19" s="367"/>
      <c r="BY19" s="130"/>
      <c r="DB19" s="89"/>
      <c r="DC19" s="174"/>
    </row>
    <row r="20" spans="2:107" hidden="1">
      <c r="B20" s="15"/>
      <c r="C20" s="9"/>
      <c r="D20" s="45"/>
      <c r="E20" s="9"/>
      <c r="F20" s="37"/>
      <c r="G20" s="14"/>
      <c r="H20" s="36"/>
      <c r="I20" s="174"/>
      <c r="J20" s="174"/>
      <c r="M20" s="112"/>
      <c r="S20" s="366"/>
      <c r="T20" s="366"/>
      <c r="U20" s="174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BH20" s="130"/>
      <c r="BI20" s="130"/>
      <c r="BJ20" s="130"/>
      <c r="BK20" s="130"/>
      <c r="BL20" s="368"/>
      <c r="BM20" s="130"/>
      <c r="BN20" s="130"/>
      <c r="BO20" s="368"/>
      <c r="BP20" s="130"/>
      <c r="BQ20" s="368"/>
      <c r="BR20" s="130"/>
      <c r="BS20" s="130"/>
      <c r="BT20" s="130"/>
      <c r="BU20" s="368"/>
      <c r="BV20" s="130"/>
      <c r="BW20" s="130"/>
      <c r="BX20" s="367"/>
      <c r="BY20" s="130"/>
      <c r="DB20" s="89"/>
      <c r="DC20" s="174"/>
    </row>
    <row r="21" spans="2:107" hidden="1">
      <c r="B21" s="15"/>
      <c r="C21" s="9"/>
      <c r="D21" s="45"/>
      <c r="E21" s="9"/>
      <c r="F21" s="37"/>
      <c r="G21" s="14"/>
      <c r="H21" s="36"/>
      <c r="I21" s="174"/>
      <c r="J21" s="174"/>
      <c r="M21" s="112"/>
      <c r="S21" s="366"/>
      <c r="T21" s="366"/>
      <c r="U21" s="174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BH21" s="130"/>
      <c r="BI21" s="130"/>
      <c r="BJ21" s="130"/>
      <c r="BK21" s="130"/>
      <c r="BL21" s="368"/>
      <c r="BM21" s="130"/>
      <c r="BN21" s="130"/>
      <c r="BO21" s="368"/>
      <c r="BP21" s="130"/>
      <c r="BQ21" s="368"/>
      <c r="BR21" s="130"/>
      <c r="BS21" s="130"/>
      <c r="BT21" s="130"/>
      <c r="BU21" s="368"/>
      <c r="BV21" s="130"/>
      <c r="BW21" s="130"/>
      <c r="BX21" s="367"/>
      <c r="BY21" s="130"/>
      <c r="DB21" s="89"/>
      <c r="DC21" s="174"/>
    </row>
    <row r="22" spans="2:107" hidden="1">
      <c r="B22" s="15"/>
      <c r="C22" s="9"/>
      <c r="D22" s="45"/>
      <c r="E22" s="9"/>
      <c r="F22" s="37"/>
      <c r="G22" s="14"/>
      <c r="H22" s="36"/>
      <c r="I22" s="174"/>
      <c r="J22" s="174"/>
      <c r="M22" s="112"/>
      <c r="S22" s="366"/>
      <c r="T22" s="366"/>
      <c r="U22" s="174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BH22" s="130"/>
      <c r="BI22" s="130"/>
      <c r="BJ22" s="130"/>
      <c r="BK22" s="130"/>
      <c r="BL22" s="368"/>
      <c r="BM22" s="130"/>
      <c r="BN22" s="130"/>
      <c r="BO22" s="368"/>
      <c r="BP22" s="130"/>
      <c r="BQ22" s="368"/>
      <c r="BR22" s="130"/>
      <c r="BS22" s="130"/>
      <c r="BT22" s="130"/>
      <c r="BU22" s="368"/>
      <c r="BV22" s="130"/>
      <c r="BW22" s="130"/>
      <c r="BX22" s="367"/>
      <c r="BY22" s="130"/>
      <c r="DB22" s="89"/>
      <c r="DC22" s="174"/>
    </row>
    <row r="23" spans="2:107" hidden="1">
      <c r="B23" s="15"/>
      <c r="C23" s="9"/>
      <c r="D23" s="45"/>
      <c r="E23" s="9"/>
      <c r="F23" s="37"/>
      <c r="G23" s="14"/>
      <c r="H23" s="36"/>
      <c r="I23" s="174"/>
      <c r="J23" s="174"/>
      <c r="M23" s="112"/>
      <c r="S23" s="366"/>
      <c r="T23" s="366"/>
      <c r="U23" s="174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BH23" s="130"/>
      <c r="BI23" s="130"/>
      <c r="BJ23" s="130"/>
      <c r="BK23" s="130"/>
      <c r="BL23" s="368"/>
      <c r="BM23" s="130"/>
      <c r="BN23" s="130"/>
      <c r="BO23" s="368"/>
      <c r="BP23" s="130"/>
      <c r="BQ23" s="368"/>
      <c r="BR23" s="130"/>
      <c r="BS23" s="130"/>
      <c r="BT23" s="130"/>
      <c r="BU23" s="368"/>
      <c r="BV23" s="130"/>
      <c r="BW23" s="130"/>
      <c r="BX23" s="367"/>
      <c r="BY23" s="130"/>
      <c r="DB23" s="89"/>
      <c r="DC23" s="174"/>
    </row>
    <row r="24" spans="2:107" hidden="1">
      <c r="B24" s="15"/>
      <c r="C24" s="9"/>
      <c r="D24" s="45"/>
      <c r="E24" s="9"/>
      <c r="F24" s="37"/>
      <c r="G24" s="14"/>
      <c r="H24" s="36"/>
      <c r="I24" s="174"/>
      <c r="J24" s="174"/>
      <c r="M24" s="112"/>
      <c r="S24" s="366"/>
      <c r="T24" s="366"/>
      <c r="U24" s="174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BH24" s="130"/>
      <c r="BI24" s="130"/>
      <c r="BJ24" s="130"/>
      <c r="BK24" s="130"/>
      <c r="BL24" s="368"/>
      <c r="BM24" s="130"/>
      <c r="BN24" s="130"/>
      <c r="BO24" s="368"/>
      <c r="BP24" s="130"/>
      <c r="BQ24" s="368"/>
      <c r="BR24" s="130"/>
      <c r="BS24" s="130"/>
      <c r="BT24" s="130"/>
      <c r="BU24" s="368"/>
      <c r="BV24" s="130"/>
      <c r="BW24" s="130"/>
      <c r="BX24" s="367"/>
      <c r="BY24" s="130"/>
      <c r="DB24" s="89"/>
      <c r="DC24" s="174"/>
    </row>
    <row r="25" spans="2:107" hidden="1">
      <c r="B25" s="15"/>
      <c r="C25" s="9"/>
      <c r="D25" s="45"/>
      <c r="E25" s="9"/>
      <c r="F25" s="37"/>
      <c r="G25" s="14"/>
      <c r="H25" s="36"/>
      <c r="I25" s="174"/>
      <c r="J25" s="174"/>
      <c r="M25" s="112"/>
      <c r="S25" s="366"/>
      <c r="T25" s="366"/>
      <c r="U25" s="174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BH25" s="130"/>
      <c r="BI25" s="130"/>
      <c r="BJ25" s="130"/>
      <c r="BK25" s="130"/>
      <c r="BL25" s="368"/>
      <c r="BM25" s="130"/>
      <c r="BN25" s="130"/>
      <c r="BO25" s="368"/>
      <c r="BP25" s="130"/>
      <c r="BQ25" s="368"/>
      <c r="BR25" s="130"/>
      <c r="BS25" s="130"/>
      <c r="BT25" s="130"/>
      <c r="BU25" s="368"/>
      <c r="BV25" s="130"/>
      <c r="BW25" s="130"/>
      <c r="BX25" s="367"/>
      <c r="BY25" s="130"/>
      <c r="DB25" s="89"/>
      <c r="DC25" s="174"/>
    </row>
    <row r="26" spans="2:107" hidden="1">
      <c r="B26" s="15"/>
      <c r="C26" s="9"/>
      <c r="D26" s="45"/>
      <c r="E26" s="9"/>
      <c r="F26" s="37"/>
      <c r="G26" s="14"/>
      <c r="H26" s="36"/>
      <c r="I26" s="174"/>
      <c r="J26" s="174"/>
      <c r="M26" s="112"/>
      <c r="S26" s="366"/>
      <c r="T26" s="366"/>
      <c r="U26" s="174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BH26" s="130"/>
      <c r="BI26" s="130"/>
      <c r="BJ26" s="130"/>
      <c r="BK26" s="130"/>
      <c r="BL26" s="368"/>
      <c r="BM26" s="130"/>
      <c r="BN26" s="130"/>
      <c r="BO26" s="368"/>
      <c r="BP26" s="130"/>
      <c r="BQ26" s="368"/>
      <c r="BR26" s="130"/>
      <c r="BS26" s="130"/>
      <c r="BT26" s="130"/>
      <c r="BU26" s="368"/>
      <c r="BV26" s="130"/>
      <c r="BW26" s="130"/>
      <c r="BX26" s="367"/>
      <c r="BY26" s="130"/>
      <c r="DB26" s="89"/>
      <c r="DC26" s="174"/>
    </row>
    <row r="27" spans="2:107" hidden="1">
      <c r="B27" s="15"/>
      <c r="C27" s="9"/>
      <c r="D27" s="45"/>
      <c r="E27" s="9"/>
      <c r="F27" s="37"/>
      <c r="G27" s="14"/>
      <c r="H27" s="36"/>
      <c r="I27" s="174"/>
      <c r="J27" s="174"/>
      <c r="M27" s="112"/>
      <c r="S27" s="366"/>
      <c r="T27" s="366"/>
      <c r="U27" s="174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BH27" s="130"/>
      <c r="BI27" s="130"/>
      <c r="BJ27" s="130"/>
      <c r="BK27" s="130"/>
      <c r="BL27" s="368"/>
      <c r="BM27" s="130"/>
      <c r="BN27" s="130"/>
      <c r="BO27" s="368"/>
      <c r="BP27" s="130"/>
      <c r="BQ27" s="368"/>
      <c r="BR27" s="130"/>
      <c r="BS27" s="130"/>
      <c r="BT27" s="130"/>
      <c r="BU27" s="368"/>
      <c r="BV27" s="130"/>
      <c r="BW27" s="130"/>
      <c r="BX27" s="367"/>
      <c r="BY27" s="130"/>
      <c r="DB27" s="89"/>
      <c r="DC27" s="174"/>
    </row>
    <row r="28" spans="2:107" hidden="1">
      <c r="B28" s="15"/>
      <c r="C28" s="9"/>
      <c r="D28" s="45"/>
      <c r="E28" s="9"/>
      <c r="F28" s="37"/>
      <c r="G28" s="14"/>
      <c r="H28" s="36"/>
      <c r="I28" s="174"/>
      <c r="J28" s="174"/>
      <c r="M28" s="112"/>
      <c r="S28" s="366"/>
      <c r="T28" s="366"/>
      <c r="U28" s="174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BH28" s="130"/>
      <c r="BI28" s="130"/>
      <c r="BJ28" s="130"/>
      <c r="BK28" s="130"/>
      <c r="BL28" s="368"/>
      <c r="BM28" s="130"/>
      <c r="BN28" s="130"/>
      <c r="BO28" s="368"/>
      <c r="BP28" s="130"/>
      <c r="BQ28" s="368"/>
      <c r="BR28" s="130"/>
      <c r="BS28" s="130"/>
      <c r="BT28" s="130"/>
      <c r="BU28" s="368"/>
      <c r="BV28" s="130"/>
      <c r="BW28" s="130"/>
      <c r="BX28" s="367"/>
      <c r="BY28" s="130"/>
      <c r="DB28" s="89"/>
      <c r="DC28" s="174"/>
    </row>
    <row r="29" spans="2:107" hidden="1">
      <c r="B29" s="15">
        <f t="shared" ref="B29:B38" si="38">B28+1</f>
        <v>1</v>
      </c>
      <c r="C29" s="9" t="e">
        <f t="shared" si="17"/>
        <v>#N/A</v>
      </c>
      <c r="D29" s="45"/>
      <c r="E29" s="9" t="e">
        <f t="shared" ref="E29:E32" ca="1" si="39">SUMIF(INDIRECT("'Table 5'!$J$"&amp;$K$3&amp;":$J$"&amp;$K$4),B29,INDIRECT("'Table 5'!$c$"&amp;$K$3&amp;":$c$"&amp;$K$4))/SUMIF(INDIRECT("'Table 5'!$J$"&amp;$K$3&amp;":$J$"&amp;$K$4),B29,INDIRECT("'Table 5'!$f$"&amp;$K$3&amp;":$f$"&amp;$K$4))</f>
        <v>#DIV/0!</v>
      </c>
      <c r="F29" s="37"/>
      <c r="G29" s="14" t="e">
        <f t="shared" ref="G29:G38" ca="1" si="40">SUMIF(INDIRECT("'Table 5'!$J$"&amp;$K$3&amp;":$J$"&amp;$K$4),B29,INDIRECT("'Table 5'!$e$"&amp;$K$3&amp;":$e$"&amp;$K$4))/SUMIF(INDIRECT("'Table 5'!$J$"&amp;$K$3&amp;":$J$"&amp;$K$4),B29,INDIRECT("'Table 5'!$f$"&amp;$K$3&amp;":$f$"&amp;$K$4))</f>
        <v>#DIV/0!</v>
      </c>
      <c r="H29" s="36" t="e">
        <f t="shared" ref="H29:H38" ca="1" si="41">G29-E29</f>
        <v>#DIV/0!</v>
      </c>
      <c r="I29" s="174"/>
      <c r="J29" s="174"/>
      <c r="M29" s="112"/>
      <c r="O29">
        <f t="shared" si="18"/>
        <v>1</v>
      </c>
      <c r="P29" t="e">
        <v>#N/A</v>
      </c>
      <c r="Q29" t="e">
        <v>#N/A</v>
      </c>
      <c r="R29" t="e">
        <v>#N/A</v>
      </c>
      <c r="S29" s="366" t="e">
        <v>#N/A</v>
      </c>
      <c r="T29" s="366" t="e">
        <v>#N/A</v>
      </c>
      <c r="U29" s="174" t="e">
        <v>#N/A</v>
      </c>
      <c r="V29" s="366" t="e">
        <v>#N/A</v>
      </c>
      <c r="W29" s="366" t="e">
        <v>#N/A</v>
      </c>
      <c r="X29" s="366" t="e">
        <v>#N/A</v>
      </c>
      <c r="Y29" s="366" t="e">
        <v>#N/A</v>
      </c>
      <c r="Z29" s="366" t="e">
        <v>#N/A</v>
      </c>
      <c r="AA29" s="366" t="e">
        <v>#N/A</v>
      </c>
      <c r="AB29" s="366" t="e">
        <v>#N/A</v>
      </c>
      <c r="AC29" s="366" t="e">
        <v>#N/A</v>
      </c>
      <c r="AD29" s="366" t="e">
        <v>#N/A</v>
      </c>
      <c r="AE29" s="366" t="e">
        <v>#N/A</v>
      </c>
      <c r="AF29" s="366" t="e">
        <v>#N/A</v>
      </c>
      <c r="AG29" s="366" t="e">
        <v>#N/A</v>
      </c>
      <c r="AL29" t="e">
        <f t="shared" si="19"/>
        <v>#N/A</v>
      </c>
      <c r="AM29" t="e">
        <f t="shared" si="19"/>
        <v>#N/A</v>
      </c>
      <c r="AN29" t="e">
        <f t="shared" si="20"/>
        <v>#N/A</v>
      </c>
      <c r="AO29" t="e">
        <f t="shared" si="21"/>
        <v>#N/A</v>
      </c>
      <c r="AP29" t="e">
        <f t="shared" si="22"/>
        <v>#N/A</v>
      </c>
      <c r="AQ29" t="e">
        <f t="shared" si="23"/>
        <v>#N/A</v>
      </c>
      <c r="AR29" t="e">
        <f t="shared" si="24"/>
        <v>#N/A</v>
      </c>
      <c r="AS29" t="e">
        <f t="shared" si="25"/>
        <v>#N/A</v>
      </c>
      <c r="AT29" t="e">
        <f t="shared" si="26"/>
        <v>#N/A</v>
      </c>
      <c r="AU29" t="e">
        <f t="shared" si="27"/>
        <v>#N/A</v>
      </c>
      <c r="AV29" t="e">
        <f t="shared" si="28"/>
        <v>#N/A</v>
      </c>
      <c r="AW29" t="e">
        <f t="shared" si="29"/>
        <v>#N/A</v>
      </c>
      <c r="AX29" t="e">
        <f t="shared" si="30"/>
        <v>#N/A</v>
      </c>
      <c r="AY29" t="e">
        <f t="shared" si="31"/>
        <v>#N/A</v>
      </c>
      <c r="AZ29" t="e">
        <f t="shared" si="32"/>
        <v>#N/A</v>
      </c>
      <c r="BA29" t="e">
        <f t="shared" si="33"/>
        <v>#N/A</v>
      </c>
      <c r="BB29" t="e">
        <f t="shared" si="34"/>
        <v>#N/A</v>
      </c>
      <c r="BC29" t="e">
        <f t="shared" si="35"/>
        <v>#N/A</v>
      </c>
      <c r="BG29">
        <f t="shared" ref="BG29:BG30" si="42">O29</f>
        <v>1</v>
      </c>
      <c r="BH29" s="130">
        <f>IFERROR(VLOOKUP($O29,'Table 3 ID Wind_2030'!$B$10:$K$37,10,FALSE),0)</f>
        <v>0</v>
      </c>
      <c r="BI29" s="130">
        <f>IFERROR(VLOOKUP($O29,'Table 3 UT CP Wind_2023'!$B$10:$K$37,10,FALSE),0)</f>
        <v>0</v>
      </c>
      <c r="BJ29" s="130">
        <f>IFERROR(VLOOKUP($O29,'Table 3 WYAE Wind_2024'!$B$10:$L$37,11,FALSE),0)</f>
        <v>0</v>
      </c>
      <c r="BK29" s="130">
        <f>IFERROR(VLOOKUP($O29,'Table 3 YK Wind wS_2029'!$B$10:$K$37,10,FALSE),0)</f>
        <v>0</v>
      </c>
      <c r="BL29" s="368"/>
      <c r="BM29" s="130">
        <f>IFERROR(VLOOKUP($O29,'Table 3 ID Wind wS_2032'!$B$10:$K$38,10,FALSE),0)</f>
        <v>0</v>
      </c>
      <c r="BN29" s="130">
        <f>IFERROR(VLOOKUP($O29,'Table 3 PV wS YK_2024'!$B$10:$K$40,10,FALSE),0)</f>
        <v>0</v>
      </c>
      <c r="BO29" s="368"/>
      <c r="BP29" s="130">
        <f>IFERROR(VLOOKUP($O29,'Table 3 PV wS SO_2024'!$B$10:$K$40,10,FALSE),0)</f>
        <v>0</v>
      </c>
      <c r="BQ29" s="368"/>
      <c r="BR29" s="130">
        <f>IFERROR(VLOOKUP($O29,'Table 3 PV wS UTN_2024'!$B$10:$K$43,10,FALSE),0)</f>
        <v>0</v>
      </c>
      <c r="BS29" s="130">
        <f>IFERROR(VLOOKUP($O29,'Table 3 PV wS JB_2024'!$B$10:$K$40,10,FALSE),0)</f>
        <v>0</v>
      </c>
      <c r="BT29" s="130">
        <f>IFERROR(VLOOKUP($O29,'Table 3 PV wS JB_2029'!$B$10:$K$40,10,FALSE),0)</f>
        <v>0</v>
      </c>
      <c r="BU29" s="368"/>
      <c r="BV29" s="130">
        <f>IFERROR(VLOOKUP($O29,'Table 3 PV wS UTS_2024'!$B$10:$K$38,10,FALSE),0)</f>
        <v>0</v>
      </c>
      <c r="BW29" s="130">
        <f>IFERROR(VLOOKUP($O29,'Table 3 PV wS UTS_2030'!$B$10:$K$38,10,FALSE),0)</f>
        <v>0</v>
      </c>
      <c r="BX29" s="367"/>
      <c r="BY29" s="130">
        <f>IFERROR(VLOOKUP($O29,'Table 3 185 MW (NTN) 2026)'!$B$13:$L$40,11,FALSE),0)</f>
        <v>0</v>
      </c>
      <c r="CD29" t="e">
        <f>SUM(AL$13:AL29)*BH29/1000</f>
        <v>#N/A</v>
      </c>
      <c r="CE29" t="e">
        <f>SUM(AM$13:AM29)*BI29/1000</f>
        <v>#N/A</v>
      </c>
      <c r="CF29" t="e">
        <f>SUM(AN$13:AN29)*BJ29/1000</f>
        <v>#N/A</v>
      </c>
      <c r="CG29" t="e">
        <f>SUM(AO$13:AO29)*BK29/1000</f>
        <v>#N/A</v>
      </c>
      <c r="CH29" t="e">
        <f>SUM(AP$13:AP29)*BL29/1000</f>
        <v>#N/A</v>
      </c>
      <c r="CI29" t="e">
        <f>SUM(AQ$13:AQ29)*BM29/1000</f>
        <v>#N/A</v>
      </c>
      <c r="CJ29" t="e">
        <f>SUM(AR$13:AR29)*BN29/1000</f>
        <v>#N/A</v>
      </c>
      <c r="CK29" t="e">
        <f>SUM(AS$13:AS29)*BO29/1000</f>
        <v>#N/A</v>
      </c>
      <c r="CL29" t="e">
        <f>SUM(AT$13:AT29)*BP29/1000</f>
        <v>#N/A</v>
      </c>
      <c r="CM29" t="e">
        <f>SUM(AU$13:AU29)*BQ29/1000</f>
        <v>#N/A</v>
      </c>
      <c r="CN29" t="e">
        <f>SUM(AV$13:AV29)*BR29/1000</f>
        <v>#N/A</v>
      </c>
      <c r="CO29" t="e">
        <f>SUM(AW$13:AW29)*BS29/1000</f>
        <v>#N/A</v>
      </c>
      <c r="CP29" t="e">
        <f>SUM(AX$13:AX29)*BT29/1000</f>
        <v>#N/A</v>
      </c>
      <c r="CQ29" t="e">
        <f>SUM(AY$13:AY29)*BU29/1000</f>
        <v>#N/A</v>
      </c>
      <c r="CR29" t="e">
        <f>SUM(AZ$13:AZ29)*BV29/1000</f>
        <v>#N/A</v>
      </c>
      <c r="CS29" t="e">
        <f>SUM(BA$13:BA29)*BW29/1000</f>
        <v>#N/A</v>
      </c>
      <c r="CT29" t="e">
        <f>SUM(BB$13:BB29)*BX29/1000</f>
        <v>#N/A</v>
      </c>
      <c r="CU29" t="e">
        <f>SUM(BC$13:BC29)*BY29/1000</f>
        <v>#N/A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 t="e">
        <f t="shared" ref="CY29:CY30" si="43">SUM(CD29:CX29)</f>
        <v>#N/A</v>
      </c>
      <c r="DA29">
        <f t="shared" si="37"/>
        <v>1</v>
      </c>
      <c r="DB29" s="89">
        <f>IFERROR(VLOOKUP($DA29,'Table 3 TransCost'!$B$10:$E$40,4,FALSE),0)</f>
        <v>0</v>
      </c>
      <c r="DC29" s="174">
        <f t="shared" ref="DC29:DC30" si="44">$DB$5*DB29/1000</f>
        <v>0</v>
      </c>
    </row>
    <row r="30" spans="2:107" hidden="1">
      <c r="B30" s="15">
        <f t="shared" si="38"/>
        <v>2</v>
      </c>
      <c r="C30" s="9" t="e">
        <f t="shared" si="17"/>
        <v>#N/A</v>
      </c>
      <c r="D30" s="45"/>
      <c r="E30" s="9" t="e">
        <f t="shared" ca="1" si="39"/>
        <v>#DIV/0!</v>
      </c>
      <c r="F30" s="37"/>
      <c r="G30" s="14" t="e">
        <f t="shared" ca="1" si="40"/>
        <v>#DIV/0!</v>
      </c>
      <c r="H30" s="36" t="e">
        <f t="shared" ca="1" si="41"/>
        <v>#DIV/0!</v>
      </c>
      <c r="I30" s="174"/>
      <c r="J30" s="174"/>
      <c r="M30" s="112"/>
      <c r="O30">
        <f t="shared" si="18"/>
        <v>2</v>
      </c>
      <c r="P30" t="e">
        <v>#N/A</v>
      </c>
      <c r="Q30" t="e">
        <v>#N/A</v>
      </c>
      <c r="R30" t="e">
        <v>#N/A</v>
      </c>
      <c r="S30" s="366" t="e">
        <v>#N/A</v>
      </c>
      <c r="T30" s="366" t="e">
        <v>#N/A</v>
      </c>
      <c r="U30" s="174" t="e">
        <v>#N/A</v>
      </c>
      <c r="V30" s="366" t="e">
        <v>#N/A</v>
      </c>
      <c r="W30" s="366" t="e">
        <v>#N/A</v>
      </c>
      <c r="X30" s="366" t="e">
        <v>#N/A</v>
      </c>
      <c r="Y30" s="366" t="e">
        <v>#N/A</v>
      </c>
      <c r="Z30" s="366" t="e">
        <v>#N/A</v>
      </c>
      <c r="AA30" s="366" t="e">
        <v>#N/A</v>
      </c>
      <c r="AB30" s="366" t="e">
        <v>#N/A</v>
      </c>
      <c r="AC30" s="366" t="e">
        <v>#N/A</v>
      </c>
      <c r="AD30" s="366" t="e">
        <v>#N/A</v>
      </c>
      <c r="AE30" s="366" t="e">
        <v>#N/A</v>
      </c>
      <c r="AF30" s="366" t="e">
        <v>#N/A</v>
      </c>
      <c r="AG30" s="366" t="e">
        <v>#N/A</v>
      </c>
      <c r="AL30" t="e">
        <f t="shared" si="19"/>
        <v>#N/A</v>
      </c>
      <c r="AM30" t="e">
        <f t="shared" si="19"/>
        <v>#N/A</v>
      </c>
      <c r="AN30" t="e">
        <f t="shared" si="20"/>
        <v>#N/A</v>
      </c>
      <c r="AO30" t="e">
        <f t="shared" si="21"/>
        <v>#N/A</v>
      </c>
      <c r="AP30" t="e">
        <f t="shared" si="22"/>
        <v>#N/A</v>
      </c>
      <c r="AQ30" t="e">
        <f t="shared" si="23"/>
        <v>#N/A</v>
      </c>
      <c r="AR30" t="e">
        <f t="shared" si="24"/>
        <v>#N/A</v>
      </c>
      <c r="AS30" t="e">
        <f t="shared" si="25"/>
        <v>#N/A</v>
      </c>
      <c r="AT30" t="e">
        <f t="shared" si="26"/>
        <v>#N/A</v>
      </c>
      <c r="AU30" t="e">
        <f t="shared" si="27"/>
        <v>#N/A</v>
      </c>
      <c r="AV30" t="e">
        <f t="shared" si="28"/>
        <v>#N/A</v>
      </c>
      <c r="AW30" t="e">
        <f t="shared" si="29"/>
        <v>#N/A</v>
      </c>
      <c r="AX30" t="e">
        <f t="shared" si="30"/>
        <v>#N/A</v>
      </c>
      <c r="AY30" t="e">
        <f t="shared" si="31"/>
        <v>#N/A</v>
      </c>
      <c r="AZ30" t="e">
        <f t="shared" si="32"/>
        <v>#N/A</v>
      </c>
      <c r="BA30" t="e">
        <f t="shared" si="33"/>
        <v>#N/A</v>
      </c>
      <c r="BB30" t="e">
        <f t="shared" si="34"/>
        <v>#N/A</v>
      </c>
      <c r="BC30" t="e">
        <f t="shared" si="35"/>
        <v>#N/A</v>
      </c>
      <c r="BG30">
        <f t="shared" si="42"/>
        <v>2</v>
      </c>
      <c r="BH30" s="130">
        <f>IFERROR(VLOOKUP($O30,'Table 3 ID Wind_2030'!$B$10:$K$37,10,FALSE),0)</f>
        <v>0</v>
      </c>
      <c r="BI30" s="130">
        <f>IFERROR(VLOOKUP($O30,'Table 3 UT CP Wind_2023'!$B$10:$K$37,10,FALSE),0)</f>
        <v>0</v>
      </c>
      <c r="BJ30" s="130">
        <f>IFERROR(VLOOKUP($O30,'Table 3 WYAE Wind_2024'!$B$10:$L$37,11,FALSE),0)</f>
        <v>0</v>
      </c>
      <c r="BK30" s="130">
        <f>IFERROR(VLOOKUP($O30,'Table 3 YK Wind wS_2029'!$B$10:$K$37,10,FALSE),0)</f>
        <v>0</v>
      </c>
      <c r="BL30" s="368"/>
      <c r="BM30" s="130">
        <f>IFERROR(VLOOKUP($O30,'Table 3 ID Wind wS_2032'!$B$10:$K$38,10,FALSE),0)</f>
        <v>0</v>
      </c>
      <c r="BN30" s="130">
        <f>IFERROR(VLOOKUP($O30,'Table 3 PV wS YK_2024'!$B$10:$K$40,10,FALSE),0)</f>
        <v>0</v>
      </c>
      <c r="BO30" s="368"/>
      <c r="BP30" s="130">
        <f>IFERROR(VLOOKUP($O30,'Table 3 PV wS SO_2024'!$B$10:$K$40,10,FALSE),0)</f>
        <v>0</v>
      </c>
      <c r="BQ30" s="368"/>
      <c r="BR30" s="130">
        <f>IFERROR(VLOOKUP($O30,'Table 3 PV wS UTN_2024'!$B$10:$K$43,10,FALSE),0)</f>
        <v>0</v>
      </c>
      <c r="BS30" s="130">
        <f>IFERROR(VLOOKUP($O30,'Table 3 PV wS JB_2024'!$B$10:$K$40,10,FALSE),0)</f>
        <v>0</v>
      </c>
      <c r="BT30" s="130">
        <f>IFERROR(VLOOKUP($O30,'Table 3 PV wS JB_2029'!$B$10:$K$40,10,FALSE),0)</f>
        <v>0</v>
      </c>
      <c r="BU30" s="368"/>
      <c r="BV30" s="130">
        <f>IFERROR(VLOOKUP($O30,'Table 3 PV wS UTS_2024'!$B$10:$K$38,10,FALSE),0)</f>
        <v>0</v>
      </c>
      <c r="BW30" s="130">
        <f>IFERROR(VLOOKUP($O30,'Table 3 PV wS UTS_2030'!$B$10:$K$38,10,FALSE),0)</f>
        <v>0</v>
      </c>
      <c r="BX30" s="367"/>
      <c r="BY30" s="130">
        <f>IFERROR(VLOOKUP($O30,'Table 3 185 MW (NTN) 2026)'!$B$13:$L$40,11,FALSE),0)</f>
        <v>0</v>
      </c>
      <c r="CD30" t="e">
        <f>SUM(AL$13:AL30)*BH30/1000</f>
        <v>#N/A</v>
      </c>
      <c r="CE30" t="e">
        <f>SUM(AM$13:AM30)*BI30/1000</f>
        <v>#N/A</v>
      </c>
      <c r="CF30" t="e">
        <f>SUM(AN$13:AN30)*BJ30/1000</f>
        <v>#N/A</v>
      </c>
      <c r="CG30" t="e">
        <f>SUM(AO$13:AO30)*BK30/1000</f>
        <v>#N/A</v>
      </c>
      <c r="CH30" t="e">
        <f>SUM(AP$13:AP30)*BL30/1000</f>
        <v>#N/A</v>
      </c>
      <c r="CI30" t="e">
        <f>SUM(AQ$13:AQ30)*BM30/1000</f>
        <v>#N/A</v>
      </c>
      <c r="CJ30" t="e">
        <f>SUM(AR$13:AR30)*BN30/1000</f>
        <v>#N/A</v>
      </c>
      <c r="CK30" t="e">
        <f>SUM(AS$13:AS30)*BO30/1000</f>
        <v>#N/A</v>
      </c>
      <c r="CL30" t="e">
        <f>SUM(AT$13:AT30)*BP30/1000</f>
        <v>#N/A</v>
      </c>
      <c r="CM30" t="e">
        <f>SUM(AU$13:AU30)*BQ30/1000</f>
        <v>#N/A</v>
      </c>
      <c r="CN30" t="e">
        <f>SUM(AV$13:AV30)*BR30/1000</f>
        <v>#N/A</v>
      </c>
      <c r="CO30" t="e">
        <f>SUM(AW$13:AW30)*BS30/1000</f>
        <v>#N/A</v>
      </c>
      <c r="CP30" t="e">
        <f>SUM(AX$13:AX30)*BT30/1000</f>
        <v>#N/A</v>
      </c>
      <c r="CQ30" t="e">
        <f>SUM(AY$13:AY30)*BU30/1000</f>
        <v>#N/A</v>
      </c>
      <c r="CR30" t="e">
        <f>SUM(AZ$13:AZ30)*BV30/1000</f>
        <v>#N/A</v>
      </c>
      <c r="CS30" t="e">
        <f>SUM(BA$13:BA30)*BW30/1000</f>
        <v>#N/A</v>
      </c>
      <c r="CT30" t="e">
        <f>SUM(BB$13:BB30)*BX30/1000</f>
        <v>#N/A</v>
      </c>
      <c r="CU30" t="e">
        <f>SUM(BC$13:BC30)*BY30/1000</f>
        <v>#N/A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 t="e">
        <f t="shared" si="43"/>
        <v>#N/A</v>
      </c>
      <c r="DA30">
        <f t="shared" si="37"/>
        <v>2</v>
      </c>
      <c r="DB30" s="89">
        <f>IFERROR(VLOOKUP($DA30,'Table 3 TransCost'!$B$10:$E$40,4,FALSE),0)</f>
        <v>0</v>
      </c>
      <c r="DC30" s="174">
        <f t="shared" si="44"/>
        <v>0</v>
      </c>
    </row>
    <row r="31" spans="2:107" hidden="1">
      <c r="B31" s="15">
        <f t="shared" si="38"/>
        <v>3</v>
      </c>
      <c r="C31" s="9" t="e">
        <f t="shared" si="17"/>
        <v>#N/A</v>
      </c>
      <c r="D31" s="45"/>
      <c r="E31" s="9" t="e">
        <f t="shared" ca="1" si="39"/>
        <v>#DIV/0!</v>
      </c>
      <c r="F31" s="37"/>
      <c r="G31" s="14" t="e">
        <f t="shared" ca="1" si="40"/>
        <v>#DIV/0!</v>
      </c>
      <c r="H31" s="36" t="e">
        <f t="shared" ca="1" si="41"/>
        <v>#DIV/0!</v>
      </c>
      <c r="I31" s="174"/>
      <c r="J31" s="174"/>
      <c r="M31" s="112"/>
      <c r="O31">
        <f t="shared" si="18"/>
        <v>3</v>
      </c>
      <c r="P31" t="e">
        <v>#N/A</v>
      </c>
      <c r="Q31" t="e">
        <v>#N/A</v>
      </c>
      <c r="R31" t="e">
        <v>#N/A</v>
      </c>
      <c r="S31" s="366" t="e">
        <v>#N/A</v>
      </c>
      <c r="T31" s="366" t="e">
        <v>#N/A</v>
      </c>
      <c r="U31" s="174" t="e">
        <v>#N/A</v>
      </c>
      <c r="V31" s="366" t="e">
        <v>#N/A</v>
      </c>
      <c r="W31" s="366" t="e">
        <v>#N/A</v>
      </c>
      <c r="X31" s="366" t="e">
        <v>#N/A</v>
      </c>
      <c r="Y31" s="366" t="e">
        <v>#N/A</v>
      </c>
      <c r="Z31" s="366" t="e">
        <v>#N/A</v>
      </c>
      <c r="AA31" s="366" t="e">
        <v>#N/A</v>
      </c>
      <c r="AB31" s="366" t="e">
        <v>#N/A</v>
      </c>
      <c r="AC31" s="366" t="e">
        <v>#N/A</v>
      </c>
      <c r="AD31" s="366" t="e">
        <v>#N/A</v>
      </c>
      <c r="AE31" s="366" t="e">
        <v>#N/A</v>
      </c>
      <c r="AF31" s="366" t="e">
        <v>#N/A</v>
      </c>
      <c r="AG31" s="366" t="e">
        <v>#N/A</v>
      </c>
      <c r="AL31" t="e">
        <f t="shared" ref="AL31:AL32" si="45">P31/P$5</f>
        <v>#N/A</v>
      </c>
      <c r="AM31" t="e">
        <f t="shared" ref="AM31:AM38" si="46">Q31/Q$5</f>
        <v>#N/A</v>
      </c>
      <c r="AN31" t="e">
        <f t="shared" ref="AN31:AN38" si="47">R31/R$5</f>
        <v>#N/A</v>
      </c>
      <c r="AO31" t="e">
        <f t="shared" ref="AO31:AO38" si="48">S31/S$5</f>
        <v>#N/A</v>
      </c>
      <c r="AP31" t="e">
        <f t="shared" ref="AP31:AP38" si="49">T31/T$5</f>
        <v>#N/A</v>
      </c>
      <c r="AQ31" t="e">
        <f t="shared" ref="AQ31:AQ38" si="50">U31/U$5</f>
        <v>#N/A</v>
      </c>
      <c r="AR31" t="e">
        <f t="shared" ref="AR31:AR38" si="51">V31/V$5</f>
        <v>#N/A</v>
      </c>
      <c r="AS31" t="e">
        <f t="shared" ref="AS31:AS38" si="52">W31/W$5</f>
        <v>#N/A</v>
      </c>
      <c r="AT31" t="e">
        <f t="shared" ref="AT31:AT38" si="53">X31/X$5</f>
        <v>#N/A</v>
      </c>
      <c r="AU31" t="e">
        <f t="shared" ref="AU31:AU38" si="54">Y31/Y$5</f>
        <v>#N/A</v>
      </c>
      <c r="AV31" t="e">
        <f t="shared" ref="AV31:AV38" si="55">Z31/Z$5</f>
        <v>#N/A</v>
      </c>
      <c r="AW31" t="e">
        <f t="shared" ref="AW31:AW38" si="56">AA31/AA$5</f>
        <v>#N/A</v>
      </c>
      <c r="AX31" t="e">
        <f t="shared" ref="AX31:AX38" si="57">AB31/AB$5</f>
        <v>#N/A</v>
      </c>
      <c r="AY31" t="e">
        <f t="shared" ref="AY31:AY38" si="58">AC31/AC$5</f>
        <v>#N/A</v>
      </c>
      <c r="AZ31" t="e">
        <f t="shared" ref="AZ31:AZ38" si="59">AD31/AD$5</f>
        <v>#N/A</v>
      </c>
      <c r="BA31" t="e">
        <f t="shared" ref="BA31:BA38" si="60">AE31/AE$5</f>
        <v>#N/A</v>
      </c>
      <c r="BB31" t="e">
        <f t="shared" ref="BB31:BB38" si="61">AF31/AF$5</f>
        <v>#N/A</v>
      </c>
      <c r="BC31" t="e">
        <f t="shared" ref="BC31:BC38" si="62">AG31/AG$5</f>
        <v>#N/A</v>
      </c>
      <c r="BG31">
        <f t="shared" ref="BG31:BG32" si="63">O31</f>
        <v>3</v>
      </c>
      <c r="BH31" s="130">
        <f>IFERROR(VLOOKUP($O31,'Table 3 ID Wind_2030'!$B$10:$K$37,10,FALSE),0)</f>
        <v>0</v>
      </c>
      <c r="BI31" s="130">
        <f>IFERROR(VLOOKUP($O31,'Table 3 UT CP Wind_2023'!$B$10:$K$37,10,FALSE),0)</f>
        <v>0</v>
      </c>
      <c r="BJ31" s="130">
        <f>IFERROR(VLOOKUP($O31,'Table 3 WYAE Wind_2024'!$B$10:$L$37,11,FALSE),0)</f>
        <v>0</v>
      </c>
      <c r="BK31" s="130">
        <f>IFERROR(VLOOKUP($O31,'Table 3 YK Wind wS_2029'!$B$10:$K$37,10,FALSE),0)</f>
        <v>0</v>
      </c>
      <c r="BL31" s="368"/>
      <c r="BM31" s="130">
        <f>IFERROR(VLOOKUP($O31,'Table 3 ID Wind wS_2032'!$B$10:$K$38,10,FALSE),0)</f>
        <v>0</v>
      </c>
      <c r="BN31" s="130">
        <f>IFERROR(VLOOKUP($O31,'Table 3 PV wS YK_2024'!$B$10:$K$40,10,FALSE),0)</f>
        <v>0</v>
      </c>
      <c r="BO31" s="368"/>
      <c r="BP31" s="130">
        <f>IFERROR(VLOOKUP($O31,'Table 3 PV wS SO_2024'!$B$10:$K$40,10,FALSE),0)</f>
        <v>0</v>
      </c>
      <c r="BQ31" s="368"/>
      <c r="BR31" s="130">
        <f>IFERROR(VLOOKUP($O31,'Table 3 PV wS UTN_2024'!$B$10:$K$43,10,FALSE),0)</f>
        <v>0</v>
      </c>
      <c r="BS31" s="130">
        <f>IFERROR(VLOOKUP($O31,'Table 3 PV wS JB_2024'!$B$10:$K$40,10,FALSE),0)</f>
        <v>0</v>
      </c>
      <c r="BT31" s="130">
        <f>IFERROR(VLOOKUP($O31,'Table 3 PV wS JB_2029'!$B$10:$K$40,10,FALSE),0)</f>
        <v>0</v>
      </c>
      <c r="BU31" s="368"/>
      <c r="BV31" s="130">
        <f>IFERROR(VLOOKUP($O31,'Table 3 PV wS UTS_2024'!$B$10:$K$38,10,FALSE),0)</f>
        <v>0</v>
      </c>
      <c r="BW31" s="130">
        <f>IFERROR(VLOOKUP($O31,'Table 3 PV wS UTS_2030'!$B$10:$K$38,10,FALSE),0)</f>
        <v>0</v>
      </c>
      <c r="BX31" s="367"/>
      <c r="BY31" s="130">
        <f>IFERROR(VLOOKUP($O31,'Table 3 185 MW (NTN) 2026)'!$B$13:$L$40,11,FALSE),0)</f>
        <v>0</v>
      </c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 t="e">
        <f>SUM(AX$13:AX31)*BT31/1000</f>
        <v>#N/A</v>
      </c>
      <c r="CQ31" t="e">
        <f>SUM(AY$13:AY31)*BU31/1000</f>
        <v>#N/A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 t="e">
        <f>SUM(BC$13:BC31)*BY31/1000</f>
        <v>#N/A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4">SUM(CD31:CX31)</f>
        <v>#N/A</v>
      </c>
      <c r="DA31">
        <f t="shared" ref="DA31:DA32" si="65">O31</f>
        <v>3</v>
      </c>
      <c r="DB31" s="89">
        <f>IFERROR(VLOOKUP($DA31,'Table 3 TransCost'!$B$10:$E$40,4,FALSE),0)</f>
        <v>0</v>
      </c>
      <c r="DC31" s="174">
        <f t="shared" ref="DC31:DC32" si="66">$DB$5*DB31/1000</f>
        <v>0</v>
      </c>
    </row>
    <row r="32" spans="2:107" hidden="1">
      <c r="B32" s="15">
        <f t="shared" si="38"/>
        <v>4</v>
      </c>
      <c r="C32" s="9" t="e">
        <f t="shared" si="17"/>
        <v>#N/A</v>
      </c>
      <c r="D32" s="45"/>
      <c r="E32" s="9" t="e">
        <f t="shared" ca="1" si="39"/>
        <v>#DIV/0!</v>
      </c>
      <c r="F32" s="37"/>
      <c r="G32" s="14" t="e">
        <f t="shared" ca="1" si="40"/>
        <v>#DIV/0!</v>
      </c>
      <c r="H32" s="36" t="e">
        <f t="shared" ca="1" si="41"/>
        <v>#DIV/0!</v>
      </c>
      <c r="I32" s="174"/>
      <c r="J32" s="174"/>
      <c r="M32" s="112"/>
      <c r="O32">
        <f t="shared" si="18"/>
        <v>4</v>
      </c>
      <c r="P32" s="380">
        <v>0</v>
      </c>
      <c r="Q32" s="380">
        <v>0</v>
      </c>
      <c r="R32" s="380">
        <v>0</v>
      </c>
      <c r="S32" s="380">
        <v>0</v>
      </c>
      <c r="T32" s="380">
        <v>0</v>
      </c>
      <c r="U32" s="380">
        <v>0</v>
      </c>
      <c r="V32" s="380"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  <c r="AE32" s="380">
        <v>0</v>
      </c>
      <c r="AF32" s="380">
        <v>0</v>
      </c>
      <c r="AG32" s="380">
        <v>0</v>
      </c>
      <c r="AL32">
        <f t="shared" si="45"/>
        <v>0</v>
      </c>
      <c r="AM32">
        <f t="shared" si="46"/>
        <v>0</v>
      </c>
      <c r="AN32">
        <f t="shared" si="47"/>
        <v>0</v>
      </c>
      <c r="AO32">
        <f t="shared" si="48"/>
        <v>0</v>
      </c>
      <c r="AP32">
        <f t="shared" si="49"/>
        <v>0</v>
      </c>
      <c r="AQ32">
        <f t="shared" si="50"/>
        <v>0</v>
      </c>
      <c r="AR32">
        <f t="shared" si="51"/>
        <v>0</v>
      </c>
      <c r="AS32">
        <f t="shared" si="52"/>
        <v>0</v>
      </c>
      <c r="AT32">
        <f t="shared" si="53"/>
        <v>0</v>
      </c>
      <c r="AU32">
        <f t="shared" si="54"/>
        <v>0</v>
      </c>
      <c r="AV32">
        <f t="shared" si="55"/>
        <v>0</v>
      </c>
      <c r="AW32">
        <f t="shared" si="56"/>
        <v>0</v>
      </c>
      <c r="AX32">
        <f t="shared" si="57"/>
        <v>0</v>
      </c>
      <c r="AY32">
        <f t="shared" si="58"/>
        <v>0</v>
      </c>
      <c r="AZ32">
        <f t="shared" si="59"/>
        <v>0</v>
      </c>
      <c r="BA32">
        <f t="shared" si="60"/>
        <v>0</v>
      </c>
      <c r="BB32">
        <f t="shared" si="61"/>
        <v>0</v>
      </c>
      <c r="BC32">
        <f t="shared" si="62"/>
        <v>0</v>
      </c>
      <c r="BG32">
        <f t="shared" si="63"/>
        <v>4</v>
      </c>
      <c r="BH32" s="130">
        <f>IFERROR(VLOOKUP($O32,'Table 3 ID Wind_2030'!$B$10:$K$37,10,FALSE),0)</f>
        <v>0</v>
      </c>
      <c r="BI32" s="130">
        <f>IFERROR(VLOOKUP($O32,'Table 3 UT CP Wind_2023'!$B$10:$K$37,10,FALSE),0)</f>
        <v>0</v>
      </c>
      <c r="BJ32" s="130">
        <f>IFERROR(VLOOKUP($O32,'Table 3 WYAE Wind_2024'!$B$10:$L$37,11,FALSE),0)</f>
        <v>0</v>
      </c>
      <c r="BK32" s="130">
        <f>IFERROR(VLOOKUP($O32,'Table 3 YK Wind wS_2029'!$B$10:$K$37,10,FALSE),0)</f>
        <v>0</v>
      </c>
      <c r="BL32" s="368"/>
      <c r="BM32" s="130">
        <f>IFERROR(VLOOKUP($O32,'Table 3 ID Wind wS_2032'!$B$10:$K$38,10,FALSE),0)</f>
        <v>0</v>
      </c>
      <c r="BN32" s="130">
        <f>IFERROR(VLOOKUP($O32,'Table 3 PV wS YK_2024'!$B$10:$K$40,10,FALSE),0)</f>
        <v>0</v>
      </c>
      <c r="BO32" s="368"/>
      <c r="BP32" s="130">
        <f>IFERROR(VLOOKUP($O32,'Table 3 PV wS SO_2024'!$B$10:$K$40,10,FALSE),0)</f>
        <v>0</v>
      </c>
      <c r="BQ32" s="368"/>
      <c r="BR32" s="130">
        <f>IFERROR(VLOOKUP($O32,'Table 3 PV wS UTN_2024'!$B$10:$K$43,10,FALSE),0)</f>
        <v>0</v>
      </c>
      <c r="BS32" s="130">
        <f>IFERROR(VLOOKUP($O32,'Table 3 PV wS JB_2024'!$B$10:$K$40,10,FALSE),0)</f>
        <v>0</v>
      </c>
      <c r="BT32" s="130">
        <f>IFERROR(VLOOKUP($O32,'Table 3 PV wS JB_2029'!$B$10:$K$40,10,FALSE),0)</f>
        <v>0</v>
      </c>
      <c r="BU32" s="368"/>
      <c r="BV32" s="130">
        <f>IFERROR(VLOOKUP($O32,'Table 3 PV wS UTS_2024'!$B$10:$K$38,10,FALSE),0)</f>
        <v>0</v>
      </c>
      <c r="BW32" s="130">
        <f>IFERROR(VLOOKUP($O32,'Table 3 PV wS UTS_2030'!$B$10:$K$38,10,FALSE),0)</f>
        <v>0</v>
      </c>
      <c r="BX32" s="367"/>
      <c r="BY32" s="130">
        <f>IFERROR(VLOOKUP($O32,'Table 3 185 MW (NTN) 2026)'!$B$13:$L$40,11,FALSE),0)</f>
        <v>0</v>
      </c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 t="e">
        <f>SUM(AX$13:AX32)*BT32/1000</f>
        <v>#N/A</v>
      </c>
      <c r="CQ32" t="e">
        <f>SUM(AY$13:AY32)*BU32/1000</f>
        <v>#N/A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 t="e">
        <f>SUM(BC$13:BC32)*BY32/1000</f>
        <v>#N/A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4"/>
        <v>#N/A</v>
      </c>
      <c r="DA32">
        <f t="shared" si="65"/>
        <v>4</v>
      </c>
      <c r="DB32" s="89">
        <f>IFERROR(VLOOKUP($DA32,'Table 3 TransCost'!$B$10:$E$40,4,FALSE),0)</f>
        <v>0</v>
      </c>
      <c r="DC32" s="174">
        <f t="shared" si="66"/>
        <v>0</v>
      </c>
    </row>
    <row r="33" spans="1:107" hidden="1">
      <c r="B33" s="15">
        <f t="shared" si="38"/>
        <v>5</v>
      </c>
      <c r="C33" s="9" t="e">
        <f t="shared" si="17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0"/>
        <v>#DIV/0!</v>
      </c>
      <c r="H33" s="36" t="e">
        <f t="shared" ca="1" si="41"/>
        <v>#DIV/0!</v>
      </c>
      <c r="I33" s="174"/>
      <c r="J33" s="174"/>
      <c r="M33" s="112"/>
      <c r="O33">
        <f t="shared" ref="O33" si="67">B33</f>
        <v>5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  <c r="U33" s="380">
        <v>0</v>
      </c>
      <c r="V33" s="380"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  <c r="AE33" s="380">
        <v>0</v>
      </c>
      <c r="AF33" s="380">
        <v>0</v>
      </c>
      <c r="AG33" s="380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6"/>
        <v>0</v>
      </c>
      <c r="AN33">
        <f t="shared" si="47"/>
        <v>0</v>
      </c>
      <c r="AO33">
        <f t="shared" si="48"/>
        <v>0</v>
      </c>
      <c r="AP33">
        <f t="shared" si="49"/>
        <v>0</v>
      </c>
      <c r="AQ33">
        <f t="shared" si="50"/>
        <v>0</v>
      </c>
      <c r="AR33">
        <f t="shared" si="51"/>
        <v>0</v>
      </c>
      <c r="AS33">
        <f t="shared" si="52"/>
        <v>0</v>
      </c>
      <c r="AT33">
        <f t="shared" si="53"/>
        <v>0</v>
      </c>
      <c r="AU33">
        <f t="shared" si="54"/>
        <v>0</v>
      </c>
      <c r="AV33">
        <f t="shared" si="55"/>
        <v>0</v>
      </c>
      <c r="AW33">
        <f t="shared" si="56"/>
        <v>0</v>
      </c>
      <c r="AX33">
        <f t="shared" si="57"/>
        <v>0</v>
      </c>
      <c r="AY33">
        <f t="shared" si="58"/>
        <v>0</v>
      </c>
      <c r="AZ33">
        <f t="shared" si="59"/>
        <v>0</v>
      </c>
      <c r="BA33">
        <f t="shared" si="60"/>
        <v>0</v>
      </c>
      <c r="BB33">
        <f t="shared" si="61"/>
        <v>0</v>
      </c>
      <c r="BC33">
        <f t="shared" si="62"/>
        <v>0</v>
      </c>
      <c r="BG33">
        <f t="shared" ref="BG33:BG38" si="68">O33</f>
        <v>5</v>
      </c>
      <c r="BH33" s="130">
        <f>IFERROR(VLOOKUP($O33,'Table 3 ID Wind_2030'!$B$10:$K$37,10,FALSE),0)</f>
        <v>0</v>
      </c>
      <c r="BI33" s="130">
        <f>IFERROR(VLOOKUP($O33,'Table 3 UT CP Wind_2023'!$B$10:$K$37,10,FALSE),0)</f>
        <v>0</v>
      </c>
      <c r="BJ33" s="130">
        <f>IFERROR(VLOOKUP($O33,'Table 3 WYAE Wind_2024'!$B$10:$L$37,11,FALSE),0)</f>
        <v>0</v>
      </c>
      <c r="BK33" s="130">
        <f>IFERROR(VLOOKUP($O33,'Table 3 YK Wind wS_2029'!$B$10:$K$37,10,FALSE),0)</f>
        <v>0</v>
      </c>
      <c r="BL33" s="368"/>
      <c r="BM33" s="130">
        <f>IFERROR(VLOOKUP($O33,'Table 3 ID Wind wS_2032'!$B$10:$K$38,10,FALSE),0)</f>
        <v>0</v>
      </c>
      <c r="BN33" s="130">
        <f>IFERROR(VLOOKUP($O33,'Table 3 PV wS YK_2024'!$B$10:$K$40,10,FALSE),0)</f>
        <v>0</v>
      </c>
      <c r="BO33" s="368"/>
      <c r="BP33" s="130">
        <f>IFERROR(VLOOKUP($O33,'Table 3 PV wS SO_2024'!$B$10:$K$40,10,FALSE),0)</f>
        <v>0</v>
      </c>
      <c r="BQ33" s="368"/>
      <c r="BR33" s="130">
        <f>IFERROR(VLOOKUP($O33,'Table 3 PV wS UTN_2024'!$B$10:$K$43,10,FALSE),0)</f>
        <v>0</v>
      </c>
      <c r="BS33" s="130">
        <f>IFERROR(VLOOKUP($O33,'Table 3 PV wS JB_2024'!$B$10:$K$40,10,FALSE),0)</f>
        <v>0</v>
      </c>
      <c r="BT33" s="130">
        <f>IFERROR(VLOOKUP($O33,'Table 3 PV wS JB_2029'!$B$10:$K$40,10,FALSE),0)</f>
        <v>0</v>
      </c>
      <c r="BU33" s="368"/>
      <c r="BV33" s="130">
        <f>IFERROR(VLOOKUP($O33,'Table 3 PV wS UTS_2024'!$B$10:$K$38,10,FALSE),0)</f>
        <v>0</v>
      </c>
      <c r="BW33" s="130">
        <f>IFERROR(VLOOKUP($O33,'Table 3 PV wS UTS_2030'!$B$10:$K$38,10,FALSE),0)</f>
        <v>0</v>
      </c>
      <c r="BX33" s="367"/>
      <c r="BY33" s="130">
        <f>IFERROR(VLOOKUP($O33,'Table 3 185 MW (NTN) 2026)'!$B$13:$L$40,11,FALSE),0)</f>
        <v>0</v>
      </c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 t="e">
        <f>SUM(AX$13:AX33)*BT33/1000</f>
        <v>#N/A</v>
      </c>
      <c r="CQ33" t="e">
        <f>SUM(AY$13:AY33)*BU33/1000</f>
        <v>#N/A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 t="e">
        <f>SUM(BC$13:BC33)*BY33/1000</f>
        <v>#N/A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8" si="69">SUM(CD33:CX33)</f>
        <v>#N/A</v>
      </c>
      <c r="DA33">
        <f t="shared" ref="DA33:DA38" si="70">O33</f>
        <v>5</v>
      </c>
      <c r="DB33" s="89">
        <f>IFERROR(VLOOKUP($DA33,'Table 3 TransCost'!$B$10:$E$40,4,FALSE),0)</f>
        <v>0</v>
      </c>
      <c r="DC33" s="174">
        <f t="shared" ref="DC33:DC38" si="71">$DB$5*DB33/1000</f>
        <v>0</v>
      </c>
    </row>
    <row r="34" spans="1:107" hidden="1">
      <c r="B34" s="15">
        <f t="shared" si="38"/>
        <v>6</v>
      </c>
      <c r="C34" s="9" t="e">
        <f t="shared" si="17"/>
        <v>#N/A</v>
      </c>
      <c r="D34" s="45"/>
      <c r="E34" s="9" t="e">
        <f t="shared" ref="E34" ca="1" si="72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0"/>
        <v>#DIV/0!</v>
      </c>
      <c r="H34" s="36" t="e">
        <f t="shared" ca="1" si="41"/>
        <v>#DIV/0!</v>
      </c>
      <c r="I34" s="174"/>
      <c r="J34" s="174"/>
      <c r="M34" s="112"/>
      <c r="O34">
        <f t="shared" ref="O34" si="73">B34</f>
        <v>6</v>
      </c>
      <c r="P34" s="380">
        <v>0</v>
      </c>
      <c r="Q34" s="380">
        <v>0</v>
      </c>
      <c r="R34" s="380">
        <v>0</v>
      </c>
      <c r="S34" s="380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80">
        <v>0</v>
      </c>
      <c r="AB34" s="380">
        <v>0</v>
      </c>
      <c r="AC34" s="380">
        <v>0</v>
      </c>
      <c r="AD34" s="380">
        <v>0</v>
      </c>
      <c r="AE34" s="380">
        <v>0</v>
      </c>
      <c r="AF34" s="380">
        <v>0</v>
      </c>
      <c r="AG34" s="380">
        <v>0</v>
      </c>
      <c r="AL34">
        <f t="shared" ref="AL34:AL38" si="74">P34/P$5</f>
        <v>0</v>
      </c>
      <c r="AM34">
        <f t="shared" si="46"/>
        <v>0</v>
      </c>
      <c r="AN34">
        <f t="shared" si="47"/>
        <v>0</v>
      </c>
      <c r="AO34">
        <f t="shared" si="48"/>
        <v>0</v>
      </c>
      <c r="AP34">
        <f t="shared" si="49"/>
        <v>0</v>
      </c>
      <c r="AQ34">
        <f t="shared" si="50"/>
        <v>0</v>
      </c>
      <c r="AR34">
        <f t="shared" si="51"/>
        <v>0</v>
      </c>
      <c r="AS34">
        <f t="shared" si="52"/>
        <v>0</v>
      </c>
      <c r="AT34">
        <f t="shared" si="53"/>
        <v>0</v>
      </c>
      <c r="AU34">
        <f t="shared" si="54"/>
        <v>0</v>
      </c>
      <c r="AV34">
        <f t="shared" si="55"/>
        <v>0</v>
      </c>
      <c r="AW34">
        <f t="shared" si="56"/>
        <v>0</v>
      </c>
      <c r="AX34">
        <f t="shared" si="57"/>
        <v>0</v>
      </c>
      <c r="AY34">
        <f t="shared" si="58"/>
        <v>0</v>
      </c>
      <c r="AZ34">
        <f t="shared" si="59"/>
        <v>0</v>
      </c>
      <c r="BA34">
        <f t="shared" si="60"/>
        <v>0</v>
      </c>
      <c r="BB34">
        <f t="shared" si="61"/>
        <v>0</v>
      </c>
      <c r="BC34">
        <f t="shared" si="62"/>
        <v>0</v>
      </c>
      <c r="BG34">
        <f t="shared" si="68"/>
        <v>6</v>
      </c>
      <c r="BH34" s="130">
        <f>IFERROR(VLOOKUP($O34,'Table 3 ID Wind_2030'!$B$10:$K$37,10,FALSE),0)</f>
        <v>0</v>
      </c>
      <c r="BI34" s="130">
        <f>IFERROR(VLOOKUP($O34,'Table 3 UT CP Wind_2023'!$B$10:$K$37,10,FALSE),0)</f>
        <v>0</v>
      </c>
      <c r="BJ34" s="130">
        <f>IFERROR(VLOOKUP($O34,'Table 3 WYAE Wind_2024'!$B$10:$L$37,11,FALSE),0)</f>
        <v>0</v>
      </c>
      <c r="BK34" s="130">
        <f>IFERROR(VLOOKUP($O34,'Table 3 YK Wind wS_2029'!$B$10:$K$37,10,FALSE),0)</f>
        <v>0</v>
      </c>
      <c r="BL34" s="368"/>
      <c r="BM34" s="130">
        <f>IFERROR(VLOOKUP($O34,'Table 3 ID Wind wS_2032'!$B$10:$K$38,10,FALSE),0)</f>
        <v>0</v>
      </c>
      <c r="BN34" s="130">
        <f>IFERROR(VLOOKUP($O34,'Table 3 PV wS YK_2024'!$B$10:$K$40,10,FALSE),0)</f>
        <v>0</v>
      </c>
      <c r="BO34" s="368"/>
      <c r="BP34" s="130">
        <f>IFERROR(VLOOKUP($O34,'Table 3 PV wS SO_2024'!$B$10:$K$40,10,FALSE),0)</f>
        <v>0</v>
      </c>
      <c r="BQ34" s="368"/>
      <c r="BR34" s="130">
        <f>IFERROR(VLOOKUP($O34,'Table 3 PV wS UTN_2024'!$B$10:$K$43,10,FALSE),0)</f>
        <v>0</v>
      </c>
      <c r="BS34" s="130">
        <f>IFERROR(VLOOKUP($O34,'Table 3 PV wS JB_2024'!$B$10:$K$40,10,FALSE),0)</f>
        <v>0</v>
      </c>
      <c r="BT34" s="130">
        <f>IFERROR(VLOOKUP($O34,'Table 3 PV wS JB_2029'!$B$10:$K$40,10,FALSE),0)</f>
        <v>0</v>
      </c>
      <c r="BU34" s="368"/>
      <c r="BV34" s="130">
        <f>IFERROR(VLOOKUP($O34,'Table 3 PV wS UTS_2024'!$B$10:$K$38,10,FALSE),0)</f>
        <v>0</v>
      </c>
      <c r="BW34" s="130">
        <f>IFERROR(VLOOKUP($O34,'Table 3 PV wS UTS_2030'!$B$10:$K$38,10,FALSE),0)</f>
        <v>0</v>
      </c>
      <c r="BX34" s="367"/>
      <c r="BY34" s="130">
        <f>IFERROR(VLOOKUP($O34,'Table 3 185 MW (NTN) 2026)'!$B$13:$L$40,11,FALSE),0)</f>
        <v>0</v>
      </c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 t="e">
        <f>SUM(AX$13:AX34)*BT34/1000</f>
        <v>#N/A</v>
      </c>
      <c r="CQ34" t="e">
        <f>SUM(AY$13:AY34)*BU34/1000</f>
        <v>#N/A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 t="e">
        <f>SUM(BC$13:BC34)*BY34/1000</f>
        <v>#N/A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69"/>
        <v>#N/A</v>
      </c>
      <c r="DA34">
        <f t="shared" si="70"/>
        <v>6</v>
      </c>
      <c r="DB34" s="89">
        <f>IFERROR(VLOOKUP($DA34,'Table 3 TransCost'!$B$10:$E$40,4,FALSE),0)</f>
        <v>0</v>
      </c>
      <c r="DC34" s="174">
        <f t="shared" si="71"/>
        <v>0</v>
      </c>
    </row>
    <row r="35" spans="1:107" hidden="1">
      <c r="B35" s="15">
        <f t="shared" si="38"/>
        <v>7</v>
      </c>
      <c r="C35" s="9" t="e">
        <f t="shared" si="17"/>
        <v>#N/A</v>
      </c>
      <c r="D35" s="45"/>
      <c r="E35" s="9" t="e">
        <f t="shared" ref="E35:E38" ca="1" si="75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0"/>
        <v>#DIV/0!</v>
      </c>
      <c r="H35" s="36" t="e">
        <f t="shared" ca="1" si="41"/>
        <v>#DIV/0!</v>
      </c>
      <c r="I35" s="174"/>
      <c r="J35" s="174"/>
      <c r="M35" s="112"/>
      <c r="O35">
        <f t="shared" ref="O35:O38" si="76">B35</f>
        <v>7</v>
      </c>
      <c r="P35" s="380">
        <v>0</v>
      </c>
      <c r="Q35" s="380">
        <v>0</v>
      </c>
      <c r="R35" s="380">
        <v>0</v>
      </c>
      <c r="S35" s="380">
        <v>0</v>
      </c>
      <c r="T35" s="380">
        <v>0</v>
      </c>
      <c r="U35" s="380">
        <v>0</v>
      </c>
      <c r="V35" s="380"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  <c r="AE35" s="380">
        <v>0</v>
      </c>
      <c r="AF35" s="380">
        <v>0</v>
      </c>
      <c r="AG35" s="380">
        <v>0</v>
      </c>
      <c r="AL35">
        <f t="shared" si="74"/>
        <v>0</v>
      </c>
      <c r="AM35">
        <f t="shared" si="46"/>
        <v>0</v>
      </c>
      <c r="AN35">
        <f t="shared" si="47"/>
        <v>0</v>
      </c>
      <c r="AO35">
        <f t="shared" si="48"/>
        <v>0</v>
      </c>
      <c r="AP35">
        <f t="shared" si="49"/>
        <v>0</v>
      </c>
      <c r="AQ35">
        <f t="shared" si="50"/>
        <v>0</v>
      </c>
      <c r="AR35">
        <f t="shared" si="51"/>
        <v>0</v>
      </c>
      <c r="AS35">
        <f t="shared" si="52"/>
        <v>0</v>
      </c>
      <c r="AT35">
        <f t="shared" si="53"/>
        <v>0</v>
      </c>
      <c r="AU35">
        <f t="shared" si="54"/>
        <v>0</v>
      </c>
      <c r="AV35">
        <f t="shared" si="55"/>
        <v>0</v>
      </c>
      <c r="AW35">
        <f t="shared" si="56"/>
        <v>0</v>
      </c>
      <c r="AX35">
        <f t="shared" si="57"/>
        <v>0</v>
      </c>
      <c r="AY35">
        <f t="shared" si="58"/>
        <v>0</v>
      </c>
      <c r="AZ35">
        <f t="shared" si="59"/>
        <v>0</v>
      </c>
      <c r="BA35">
        <f t="shared" si="60"/>
        <v>0</v>
      </c>
      <c r="BB35">
        <f t="shared" si="61"/>
        <v>0</v>
      </c>
      <c r="BC35">
        <f t="shared" si="62"/>
        <v>0</v>
      </c>
      <c r="BG35">
        <f t="shared" si="68"/>
        <v>7</v>
      </c>
      <c r="BH35" s="130">
        <f>IFERROR(VLOOKUP($O35,'Table 3 ID Wind_2030'!$B$10:$K$37,10,FALSE),0)</f>
        <v>0</v>
      </c>
      <c r="BI35" s="130">
        <f>IFERROR(VLOOKUP($O35,'Table 3 UT CP Wind_2023'!$B$10:$K$37,10,FALSE),0)</f>
        <v>0</v>
      </c>
      <c r="BJ35" s="130">
        <f>IFERROR(VLOOKUP($O35,'Table 3 WYAE Wind_2024'!$B$10:$L$37,11,FALSE),0)</f>
        <v>0</v>
      </c>
      <c r="BK35" s="130">
        <f>IFERROR(VLOOKUP($O35,'Table 3 YK Wind wS_2029'!$B$10:$K$37,10,FALSE),0)</f>
        <v>0</v>
      </c>
      <c r="BL35" s="368"/>
      <c r="BM35" s="130">
        <f>IFERROR(VLOOKUP($O35,'Table 3 ID Wind wS_2032'!$B$10:$K$38,10,FALSE),0)</f>
        <v>0</v>
      </c>
      <c r="BN35" s="130">
        <f>IFERROR(VLOOKUP($O35,'Table 3 PV wS YK_2024'!$B$10:$K$40,10,FALSE),0)</f>
        <v>0</v>
      </c>
      <c r="BO35" s="368"/>
      <c r="BP35" s="130">
        <f>IFERROR(VLOOKUP($O35,'Table 3 PV wS SO_2024'!$B$10:$K$40,10,FALSE),0)</f>
        <v>0</v>
      </c>
      <c r="BQ35" s="368"/>
      <c r="BR35" s="130">
        <f>IFERROR(VLOOKUP($O35,'Table 3 PV wS UTN_2024'!$B$10:$K$43,10,FALSE),0)</f>
        <v>0</v>
      </c>
      <c r="BS35" s="130">
        <f>IFERROR(VLOOKUP($O35,'Table 3 PV wS JB_2024'!$B$10:$K$40,10,FALSE),0)</f>
        <v>0</v>
      </c>
      <c r="BT35" s="130">
        <f>IFERROR(VLOOKUP($O35,'Table 3 PV wS JB_2029'!$B$10:$K$40,10,FALSE),0)</f>
        <v>0</v>
      </c>
      <c r="BU35" s="368"/>
      <c r="BV35" s="130">
        <f>IFERROR(VLOOKUP($O35,'Table 3 PV wS UTS_2024'!$B$10:$K$38,10,FALSE),0)</f>
        <v>0</v>
      </c>
      <c r="BW35" s="130">
        <f>IFERROR(VLOOKUP($O35,'Table 3 PV wS UTS_2030'!$B$10:$K$38,10,FALSE),0)</f>
        <v>0</v>
      </c>
      <c r="BX35" s="367"/>
      <c r="BY35" s="130">
        <f>IFERROR(VLOOKUP($O35,'Table 3 185 MW (NTN) 2026)'!$B$13:$L$40,11,FALSE),0)</f>
        <v>0</v>
      </c>
      <c r="CD35" t="e">
        <f>SUM(AL$13:AL35)*BH35/1000</f>
        <v>#N/A</v>
      </c>
      <c r="CE35" t="e">
        <f>SUM(AM$13:AM35)*BI35/1000</f>
        <v>#N/A</v>
      </c>
      <c r="CF35" t="e">
        <f>SUM(AN$13:AN35)*BJ35/1000</f>
        <v>#N/A</v>
      </c>
      <c r="CG35" t="e">
        <f>SUM(AO$13:AO35)*BK35/1000</f>
        <v>#N/A</v>
      </c>
      <c r="CH35" t="e">
        <f>SUM(AP$13:AP35)*BL35/1000</f>
        <v>#N/A</v>
      </c>
      <c r="CI35" t="e">
        <f>SUM(AQ$13:AQ35)*BM35/1000</f>
        <v>#N/A</v>
      </c>
      <c r="CJ35" t="e">
        <f>SUM(AR$13:AR35)*BN35/1000</f>
        <v>#N/A</v>
      </c>
      <c r="CK35" t="e">
        <f>SUM(AS$13:AS35)*BO35/1000</f>
        <v>#N/A</v>
      </c>
      <c r="CL35" t="e">
        <f>SUM(AT$13:AT35)*BP35/1000</f>
        <v>#N/A</v>
      </c>
      <c r="CM35" t="e">
        <f>SUM(AU$13:AU35)*BQ35/1000</f>
        <v>#N/A</v>
      </c>
      <c r="CN35" t="e">
        <f>SUM(AV$13:AV35)*BR35/1000</f>
        <v>#N/A</v>
      </c>
      <c r="CO35" t="e">
        <f>SUM(AW$13:AW35)*BS35/1000</f>
        <v>#N/A</v>
      </c>
      <c r="CP35" t="e">
        <f>SUM(AX$13:AX35)*BT35/1000</f>
        <v>#N/A</v>
      </c>
      <c r="CQ35" t="e">
        <f>SUM(AY$13:AY35)*BU35/1000</f>
        <v>#N/A</v>
      </c>
      <c r="CR35" t="e">
        <f>SUM(AZ$13:AZ35)*BV35/1000</f>
        <v>#N/A</v>
      </c>
      <c r="CS35" t="e">
        <f>SUM(BA$13:BA35)*BW35/1000</f>
        <v>#N/A</v>
      </c>
      <c r="CT35" t="e">
        <f>SUM(BB$13:BB35)*BX35/1000</f>
        <v>#N/A</v>
      </c>
      <c r="CU35" t="e">
        <f>SUM(BC$13:BC35)*BY35/1000</f>
        <v>#N/A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 t="e">
        <f t="shared" si="69"/>
        <v>#N/A</v>
      </c>
      <c r="DA35">
        <f t="shared" si="70"/>
        <v>7</v>
      </c>
      <c r="DB35" s="89">
        <f>IFERROR(VLOOKUP($DA35,'Table 3 TransCost'!$B$10:$E$40,4,FALSE),0)</f>
        <v>0</v>
      </c>
      <c r="DC35" s="174">
        <f t="shared" si="71"/>
        <v>0</v>
      </c>
    </row>
    <row r="36" spans="1:107" hidden="1">
      <c r="B36" s="15">
        <f t="shared" si="38"/>
        <v>8</v>
      </c>
      <c r="C36" s="9" t="e">
        <f t="shared" si="17"/>
        <v>#N/A</v>
      </c>
      <c r="D36" s="45"/>
      <c r="E36" s="9" t="e">
        <f t="shared" ca="1" si="75"/>
        <v>#DIV/0!</v>
      </c>
      <c r="F36" s="37"/>
      <c r="G36" s="14" t="e">
        <f t="shared" ca="1" si="40"/>
        <v>#DIV/0!</v>
      </c>
      <c r="H36" s="36" t="e">
        <f t="shared" ca="1" si="41"/>
        <v>#DIV/0!</v>
      </c>
      <c r="I36" s="174"/>
      <c r="J36" s="174"/>
      <c r="M36" s="112"/>
      <c r="O36">
        <f t="shared" si="76"/>
        <v>8</v>
      </c>
      <c r="P36" s="380">
        <v>0</v>
      </c>
      <c r="Q36" s="380">
        <v>0</v>
      </c>
      <c r="R36" s="380">
        <v>0</v>
      </c>
      <c r="S36" s="380">
        <v>0</v>
      </c>
      <c r="T36" s="380">
        <v>0</v>
      </c>
      <c r="U36" s="380">
        <v>0</v>
      </c>
      <c r="V36" s="380"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  <c r="AE36" s="380">
        <v>0</v>
      </c>
      <c r="AF36" s="380">
        <v>0</v>
      </c>
      <c r="AG36" s="380">
        <v>0</v>
      </c>
      <c r="AL36">
        <f t="shared" si="74"/>
        <v>0</v>
      </c>
      <c r="AM36">
        <f t="shared" si="46"/>
        <v>0</v>
      </c>
      <c r="AN36">
        <f t="shared" si="47"/>
        <v>0</v>
      </c>
      <c r="AO36">
        <f t="shared" si="48"/>
        <v>0</v>
      </c>
      <c r="AP36">
        <f t="shared" si="49"/>
        <v>0</v>
      </c>
      <c r="AQ36">
        <f t="shared" si="50"/>
        <v>0</v>
      </c>
      <c r="AR36">
        <f t="shared" si="51"/>
        <v>0</v>
      </c>
      <c r="AS36">
        <f t="shared" si="52"/>
        <v>0</v>
      </c>
      <c r="AT36">
        <f t="shared" si="53"/>
        <v>0</v>
      </c>
      <c r="AU36">
        <f t="shared" si="54"/>
        <v>0</v>
      </c>
      <c r="AV36">
        <f t="shared" si="55"/>
        <v>0</v>
      </c>
      <c r="AW36">
        <f t="shared" si="56"/>
        <v>0</v>
      </c>
      <c r="AX36">
        <f t="shared" si="57"/>
        <v>0</v>
      </c>
      <c r="AY36">
        <f t="shared" si="58"/>
        <v>0</v>
      </c>
      <c r="AZ36">
        <f t="shared" si="59"/>
        <v>0</v>
      </c>
      <c r="BA36">
        <f t="shared" si="60"/>
        <v>0</v>
      </c>
      <c r="BB36">
        <f t="shared" si="61"/>
        <v>0</v>
      </c>
      <c r="BC36">
        <f t="shared" si="62"/>
        <v>0</v>
      </c>
      <c r="BG36">
        <f t="shared" si="68"/>
        <v>8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8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8"/>
      <c r="BP36" s="130">
        <f>IFERROR(VLOOKUP($O36,'Table 3 PV wS SO_2024'!$B$10:$K$40,10,FALSE),0)</f>
        <v>0</v>
      </c>
      <c r="BQ36" s="368"/>
      <c r="BR36" s="130">
        <f>IFERROR(VLOOKUP($O36,'Table 3 PV wS UTN_2024'!$B$10:$K$43,10,FALSE),0)</f>
        <v>0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8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67"/>
      <c r="BY36" s="130">
        <f>IFERROR(VLOOKUP($O36,'Table 3 185 MW (NTN) 2026)'!$B$13:$L$40,11,FALSE),0)</f>
        <v>0</v>
      </c>
      <c r="CD36" t="e">
        <f>SUM(AL$13:AL36)*BH36/1000</f>
        <v>#N/A</v>
      </c>
      <c r="CE36" t="e">
        <f>SUM(AM$13:AM36)*BI36/1000</f>
        <v>#N/A</v>
      </c>
      <c r="CF36" t="e">
        <f>SUM(AN$13:AN36)*BJ36/1000</f>
        <v>#N/A</v>
      </c>
      <c r="CG36" t="e">
        <f>SUM(AO$13:AO36)*BK36/1000</f>
        <v>#N/A</v>
      </c>
      <c r="CH36" t="e">
        <f>SUM(AP$13:AP36)*BL36/1000</f>
        <v>#N/A</v>
      </c>
      <c r="CI36" t="e">
        <f>SUM(AQ$13:AQ36)*BM36/1000</f>
        <v>#N/A</v>
      </c>
      <c r="CJ36" t="e">
        <f>SUM(AR$13:AR36)*BN36/1000</f>
        <v>#N/A</v>
      </c>
      <c r="CK36" t="e">
        <f>SUM(AS$13:AS36)*BO36/1000</f>
        <v>#N/A</v>
      </c>
      <c r="CL36" t="e">
        <f>SUM(AT$13:AT36)*BP36/1000</f>
        <v>#N/A</v>
      </c>
      <c r="CM36" t="e">
        <f>SUM(AU$13:AU36)*BQ36/1000</f>
        <v>#N/A</v>
      </c>
      <c r="CN36" t="e">
        <f>SUM(AV$13:AV36)*BR36/1000</f>
        <v>#N/A</v>
      </c>
      <c r="CO36" t="e">
        <f>SUM(AW$13:AW36)*BS36/1000</f>
        <v>#N/A</v>
      </c>
      <c r="CP36" t="e">
        <f>SUM(AX$13:AX36)*BT36/1000</f>
        <v>#N/A</v>
      </c>
      <c r="CQ36" t="e">
        <f>SUM(AY$13:AY36)*BU36/1000</f>
        <v>#N/A</v>
      </c>
      <c r="CR36" t="e">
        <f>SUM(AZ$13:AZ36)*BV36/1000</f>
        <v>#N/A</v>
      </c>
      <c r="CS36" t="e">
        <f>SUM(BA$13:BA36)*BW36/1000</f>
        <v>#N/A</v>
      </c>
      <c r="CT36" t="e">
        <f>SUM(BB$13:BB36)*BX36/1000</f>
        <v>#N/A</v>
      </c>
      <c r="CU36" t="e">
        <f>SUM(BC$13:BC36)*BY36/1000</f>
        <v>#N/A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 t="e">
        <f t="shared" si="69"/>
        <v>#N/A</v>
      </c>
      <c r="DA36">
        <f t="shared" si="70"/>
        <v>8</v>
      </c>
      <c r="DB36" s="89">
        <f>IFERROR(VLOOKUP($DA36,'Table 3 TransCost'!$B$10:$E$40,4,FALSE),0)</f>
        <v>0</v>
      </c>
      <c r="DC36" s="174">
        <f t="shared" si="71"/>
        <v>0</v>
      </c>
    </row>
    <row r="37" spans="1:107" hidden="1">
      <c r="B37" s="15">
        <f t="shared" si="38"/>
        <v>9</v>
      </c>
      <c r="C37" s="9" t="e">
        <f t="shared" si="17"/>
        <v>#N/A</v>
      </c>
      <c r="D37" s="45"/>
      <c r="E37" s="9" t="e">
        <f t="shared" ca="1" si="75"/>
        <v>#DIV/0!</v>
      </c>
      <c r="F37" s="37"/>
      <c r="G37" s="14" t="e">
        <f t="shared" ca="1" si="40"/>
        <v>#DIV/0!</v>
      </c>
      <c r="H37" s="36" t="e">
        <f t="shared" ca="1" si="41"/>
        <v>#DIV/0!</v>
      </c>
      <c r="I37" s="174"/>
      <c r="J37" s="174"/>
      <c r="M37" s="112"/>
      <c r="O37">
        <f t="shared" si="76"/>
        <v>9</v>
      </c>
      <c r="P37" s="380">
        <v>0</v>
      </c>
      <c r="Q37" s="380">
        <v>0</v>
      </c>
      <c r="R37" s="380">
        <v>0</v>
      </c>
      <c r="S37" s="380">
        <v>0</v>
      </c>
      <c r="T37" s="380">
        <v>0</v>
      </c>
      <c r="U37" s="380">
        <v>0</v>
      </c>
      <c r="V37" s="380"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  <c r="AE37" s="380">
        <v>0</v>
      </c>
      <c r="AF37" s="380">
        <v>0</v>
      </c>
      <c r="AG37" s="380">
        <v>0</v>
      </c>
      <c r="AL37">
        <f t="shared" si="74"/>
        <v>0</v>
      </c>
      <c r="AM37">
        <f t="shared" si="46"/>
        <v>0</v>
      </c>
      <c r="AN37">
        <f t="shared" si="47"/>
        <v>0</v>
      </c>
      <c r="AO37">
        <f t="shared" si="48"/>
        <v>0</v>
      </c>
      <c r="AP37">
        <f t="shared" si="49"/>
        <v>0</v>
      </c>
      <c r="AQ37">
        <f t="shared" si="50"/>
        <v>0</v>
      </c>
      <c r="AR37">
        <f t="shared" si="51"/>
        <v>0</v>
      </c>
      <c r="AS37">
        <f t="shared" si="52"/>
        <v>0</v>
      </c>
      <c r="AT37">
        <f t="shared" si="53"/>
        <v>0</v>
      </c>
      <c r="AU37">
        <f t="shared" si="54"/>
        <v>0</v>
      </c>
      <c r="AV37">
        <f t="shared" si="55"/>
        <v>0</v>
      </c>
      <c r="AW37">
        <f t="shared" si="56"/>
        <v>0</v>
      </c>
      <c r="AX37">
        <f t="shared" si="57"/>
        <v>0</v>
      </c>
      <c r="AY37">
        <f t="shared" si="58"/>
        <v>0</v>
      </c>
      <c r="AZ37">
        <f t="shared" si="59"/>
        <v>0</v>
      </c>
      <c r="BA37">
        <f t="shared" si="60"/>
        <v>0</v>
      </c>
      <c r="BB37">
        <f t="shared" si="61"/>
        <v>0</v>
      </c>
      <c r="BC37">
        <f t="shared" si="62"/>
        <v>0</v>
      </c>
      <c r="BG37">
        <f t="shared" si="68"/>
        <v>9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8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8"/>
      <c r="BP37" s="130">
        <f>IFERROR(VLOOKUP($O37,'Table 3 PV wS SO_2024'!$B$10:$K$40,10,FALSE),0)</f>
        <v>0</v>
      </c>
      <c r="BQ37" s="368"/>
      <c r="BR37" s="130">
        <f>IFERROR(VLOOKUP($O37,'Table 3 PV wS UTN_2024'!$B$10:$K$43,10,FALSE),0)</f>
        <v>0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8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67"/>
      <c r="BY37" s="130">
        <f>IFERROR(VLOOKUP($O37,'Table 3 185 MW (NTN) 2026)'!$B$13:$L$40,11,FALSE),0)</f>
        <v>0</v>
      </c>
      <c r="CD37" t="e">
        <f>SUM(AL$13:AL37)*BH37/1000</f>
        <v>#N/A</v>
      </c>
      <c r="CE37" t="e">
        <f>SUM(AM$13:AM37)*BI37/1000</f>
        <v>#N/A</v>
      </c>
      <c r="CF37" t="e">
        <f>SUM(AN$13:AN37)*BJ37/1000</f>
        <v>#N/A</v>
      </c>
      <c r="CG37" t="e">
        <f>SUM(AO$13:AO37)*BK37/1000</f>
        <v>#N/A</v>
      </c>
      <c r="CH37" t="e">
        <f>SUM(AP$13:AP37)*BL37/1000</f>
        <v>#N/A</v>
      </c>
      <c r="CI37" t="e">
        <f>SUM(AQ$13:AQ37)*BM37/1000</f>
        <v>#N/A</v>
      </c>
      <c r="CJ37" t="e">
        <f>SUM(AR$13:AR37)*BN37/1000</f>
        <v>#N/A</v>
      </c>
      <c r="CK37" t="e">
        <f>SUM(AS$13:AS37)*BO37/1000</f>
        <v>#N/A</v>
      </c>
      <c r="CL37" t="e">
        <f>SUM(AT$13:AT37)*BP37/1000</f>
        <v>#N/A</v>
      </c>
      <c r="CM37" t="e">
        <f>SUM(AU$13:AU37)*BQ37/1000</f>
        <v>#N/A</v>
      </c>
      <c r="CN37" t="e">
        <f>SUM(AV$13:AV37)*BR37/1000</f>
        <v>#N/A</v>
      </c>
      <c r="CO37" t="e">
        <f>SUM(AW$13:AW37)*BS37/1000</f>
        <v>#N/A</v>
      </c>
      <c r="CP37" t="e">
        <f>SUM(AX$13:AX37)*BT37/1000</f>
        <v>#N/A</v>
      </c>
      <c r="CQ37" t="e">
        <f>SUM(AY$13:AY37)*BU37/1000</f>
        <v>#N/A</v>
      </c>
      <c r="CR37" t="e">
        <f>SUM(AZ$13:AZ37)*BV37/1000</f>
        <v>#N/A</v>
      </c>
      <c r="CS37" t="e">
        <f>SUM(BA$13:BA37)*BW37/1000</f>
        <v>#N/A</v>
      </c>
      <c r="CT37" t="e">
        <f>SUM(BB$13:BB37)*BX37/1000</f>
        <v>#N/A</v>
      </c>
      <c r="CU37" t="e">
        <f>SUM(BC$13:BC37)*BY37/1000</f>
        <v>#N/A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 t="e">
        <f t="shared" si="69"/>
        <v>#N/A</v>
      </c>
      <c r="DA37">
        <f t="shared" si="70"/>
        <v>9</v>
      </c>
      <c r="DB37" s="89">
        <f>IFERROR(VLOOKUP($DA37,'Table 3 TransCost'!$B$10:$E$40,4,FALSE),0)</f>
        <v>0</v>
      </c>
      <c r="DC37" s="174">
        <f t="shared" si="71"/>
        <v>0</v>
      </c>
    </row>
    <row r="38" spans="1:107" hidden="1">
      <c r="B38" s="15">
        <f t="shared" si="38"/>
        <v>10</v>
      </c>
      <c r="C38" s="9" t="e">
        <f t="shared" si="17"/>
        <v>#N/A</v>
      </c>
      <c r="D38" s="45"/>
      <c r="E38" s="9" t="e">
        <f t="shared" ca="1" si="75"/>
        <v>#DIV/0!</v>
      </c>
      <c r="F38" s="37"/>
      <c r="G38" s="14" t="e">
        <f t="shared" ca="1" si="40"/>
        <v>#DIV/0!</v>
      </c>
      <c r="H38" s="36" t="e">
        <f t="shared" ca="1" si="41"/>
        <v>#DIV/0!</v>
      </c>
      <c r="I38" s="174"/>
      <c r="J38" s="174"/>
      <c r="M38" s="112"/>
      <c r="O38">
        <f t="shared" si="76"/>
        <v>10</v>
      </c>
      <c r="P38" s="380">
        <v>0</v>
      </c>
      <c r="Q38" s="380">
        <v>0</v>
      </c>
      <c r="R38" s="380">
        <v>0</v>
      </c>
      <c r="S38" s="380">
        <v>0</v>
      </c>
      <c r="T38" s="380">
        <v>0</v>
      </c>
      <c r="U38" s="380">
        <v>0</v>
      </c>
      <c r="V38" s="380"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  <c r="AE38" s="380">
        <v>0</v>
      </c>
      <c r="AF38" s="380">
        <v>0</v>
      </c>
      <c r="AG38" s="380">
        <v>0</v>
      </c>
      <c r="AL38">
        <f t="shared" si="74"/>
        <v>0</v>
      </c>
      <c r="AM38">
        <f t="shared" si="46"/>
        <v>0</v>
      </c>
      <c r="AN38">
        <f t="shared" si="47"/>
        <v>0</v>
      </c>
      <c r="AO38">
        <f t="shared" si="48"/>
        <v>0</v>
      </c>
      <c r="AP38">
        <f t="shared" si="49"/>
        <v>0</v>
      </c>
      <c r="AQ38">
        <f t="shared" si="50"/>
        <v>0</v>
      </c>
      <c r="AR38">
        <f t="shared" si="51"/>
        <v>0</v>
      </c>
      <c r="AS38">
        <f t="shared" si="52"/>
        <v>0</v>
      </c>
      <c r="AT38">
        <f t="shared" si="53"/>
        <v>0</v>
      </c>
      <c r="AU38">
        <f t="shared" si="54"/>
        <v>0</v>
      </c>
      <c r="AV38">
        <f t="shared" si="55"/>
        <v>0</v>
      </c>
      <c r="AW38">
        <f t="shared" si="56"/>
        <v>0</v>
      </c>
      <c r="AX38">
        <f t="shared" si="57"/>
        <v>0</v>
      </c>
      <c r="AY38">
        <f t="shared" si="58"/>
        <v>0</v>
      </c>
      <c r="AZ38">
        <f t="shared" si="59"/>
        <v>0</v>
      </c>
      <c r="BA38">
        <f t="shared" si="60"/>
        <v>0</v>
      </c>
      <c r="BB38">
        <f t="shared" si="61"/>
        <v>0</v>
      </c>
      <c r="BC38">
        <f t="shared" si="62"/>
        <v>0</v>
      </c>
      <c r="BG38">
        <f t="shared" si="68"/>
        <v>10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8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8"/>
      <c r="BP38" s="130">
        <f>IFERROR(VLOOKUP($O38,'Table 3 PV wS SO_2024'!$B$10:$K$40,10,FALSE),0)</f>
        <v>0</v>
      </c>
      <c r="BQ38" s="368"/>
      <c r="BR38" s="130">
        <f>IFERROR(VLOOKUP($O38,'Table 3 PV wS UTN_2024'!$B$10:$K$43,10,FALSE),0)</f>
        <v>0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8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67"/>
      <c r="BY38" s="130">
        <f>IFERROR(VLOOKUP($O38,'Table 3 185 MW (NTN) 2026)'!$B$13:$L$40,11,FALSE),0)</f>
        <v>0</v>
      </c>
      <c r="CD38" t="e">
        <f>SUM(AL$13:AL38)*BH38/1000</f>
        <v>#N/A</v>
      </c>
      <c r="CE38" t="e">
        <f>SUM(AM$13:AM38)*BI38/1000</f>
        <v>#N/A</v>
      </c>
      <c r="CF38" t="e">
        <f>SUM(AN$13:AN38)*BJ38/1000</f>
        <v>#N/A</v>
      </c>
      <c r="CG38" t="e">
        <f>SUM(AO$13:AO38)*BK38/1000</f>
        <v>#N/A</v>
      </c>
      <c r="CH38" t="e">
        <f>SUM(AP$13:AP38)*BL38/1000</f>
        <v>#N/A</v>
      </c>
      <c r="CI38" t="e">
        <f>SUM(AQ$13:AQ38)*BM38/1000</f>
        <v>#N/A</v>
      </c>
      <c r="CJ38" t="e">
        <f>SUM(AR$13:AR38)*BN38/1000</f>
        <v>#N/A</v>
      </c>
      <c r="CK38" t="e">
        <f>SUM(AS$13:AS38)*BO38/1000</f>
        <v>#N/A</v>
      </c>
      <c r="CL38" t="e">
        <f>SUM(AT$13:AT38)*BP38/1000</f>
        <v>#N/A</v>
      </c>
      <c r="CM38" t="e">
        <f>SUM(AU$13:AU38)*BQ38/1000</f>
        <v>#N/A</v>
      </c>
      <c r="CN38" t="e">
        <f>SUM(AV$13:AV38)*BR38/1000</f>
        <v>#N/A</v>
      </c>
      <c r="CO38" t="e">
        <f>SUM(AW$13:AW38)*BS38/1000</f>
        <v>#N/A</v>
      </c>
      <c r="CP38" t="e">
        <f>SUM(AX$13:AX38)*BT38/1000</f>
        <v>#N/A</v>
      </c>
      <c r="CQ38" t="e">
        <f>SUM(AY$13:AY38)*BU38/1000</f>
        <v>#N/A</v>
      </c>
      <c r="CR38" t="e">
        <f>SUM(AZ$13:AZ38)*BV38/1000</f>
        <v>#N/A</v>
      </c>
      <c r="CS38" t="e">
        <f>SUM(BA$13:BA38)*BW38/1000</f>
        <v>#N/A</v>
      </c>
      <c r="CT38" t="e">
        <f>SUM(BB$13:BB38)*BX38/1000</f>
        <v>#N/A</v>
      </c>
      <c r="CU38" t="e">
        <f>SUM(BC$13:BC38)*BY38/1000</f>
        <v>#N/A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 t="e">
        <f t="shared" si="69"/>
        <v>#N/A</v>
      </c>
      <c r="DA38">
        <f t="shared" si="70"/>
        <v>10</v>
      </c>
      <c r="DB38" s="89">
        <f>IFERROR(VLOOKUP($DA38,'Table 3 TransCost'!$B$10:$E$40,4,FALSE),0)</f>
        <v>0</v>
      </c>
      <c r="DC38" s="174">
        <f t="shared" si="71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02"/>
      <c r="B41" s="402"/>
      <c r="D41" s="9"/>
      <c r="F41" s="37"/>
      <c r="H41" s="36"/>
      <c r="I41"/>
      <c r="N41" t="s">
        <v>226</v>
      </c>
      <c r="P41" s="210">
        <v>0</v>
      </c>
      <c r="Q41" s="210"/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1</v>
      </c>
      <c r="AH41" s="210"/>
      <c r="AI41" s="210"/>
      <c r="AJ41" s="210"/>
    </row>
    <row r="42" spans="1:107">
      <c r="A42" s="192"/>
      <c r="B42" s="55"/>
      <c r="E42" s="5"/>
      <c r="I42" s="49" t="s">
        <v>160</v>
      </c>
      <c r="P42" s="169"/>
      <c r="Q42" s="169"/>
      <c r="R42" s="169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4"/>
      <c r="H44" s="36"/>
    </row>
    <row r="45" spans="1:107">
      <c r="A45" s="403"/>
      <c r="B45" s="403"/>
      <c r="E45" s="9"/>
      <c r="G45" s="194"/>
      <c r="H45" s="36"/>
      <c r="P45" t="s">
        <v>112</v>
      </c>
    </row>
    <row r="46" spans="1:107" ht="13.7" customHeight="1">
      <c r="A46" s="55"/>
      <c r="B46" s="55"/>
      <c r="E46" s="5"/>
      <c r="H46" s="36"/>
      <c r="P46" t="s">
        <v>111</v>
      </c>
      <c r="R46" s="281">
        <v>2.2799999999999997E-2</v>
      </c>
    </row>
    <row r="47" spans="1:107" ht="21" customHeight="1">
      <c r="A47" s="403" t="str">
        <f>'Table 5'!A9</f>
        <v>1 Year</v>
      </c>
      <c r="B47" s="403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25.367619571707994</v>
      </c>
      <c r="G50" s="194">
        <f ca="1">'Table 5'!$G$9</f>
        <v>25.367619571707994</v>
      </c>
      <c r="H50" s="36"/>
      <c r="I50" s="216"/>
      <c r="S50" s="174"/>
    </row>
    <row r="51" spans="1:19" ht="8.25" customHeight="1">
      <c r="A51" s="403"/>
      <c r="B51" s="403"/>
      <c r="E51" s="9"/>
      <c r="G51" s="108"/>
      <c r="H51" s="36"/>
    </row>
    <row r="52" spans="1:19">
      <c r="A52" s="403"/>
      <c r="B52" s="403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4"/>
    </row>
    <row r="55" spans="1:19">
      <c r="B55" s="48"/>
      <c r="E55" s="9"/>
      <c r="G55" s="194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03"/>
      <c r="B61" s="403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0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$25.39/MWH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386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31.24</v>
      </c>
      <c r="F23" s="128"/>
      <c r="G23" s="130"/>
      <c r="H23" s="128">
        <f t="shared" si="2"/>
        <v>0</v>
      </c>
      <c r="I23" s="130"/>
      <c r="J23" s="130"/>
      <c r="K23" s="128">
        <f t="shared" si="3"/>
        <v>31.24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47">
        <v>1208.8</v>
      </c>
      <c r="D24" s="128">
        <f>C24*$C$62</f>
        <v>81.594000000000008</v>
      </c>
      <c r="E24" s="128">
        <f t="shared" si="1"/>
        <v>31.96</v>
      </c>
      <c r="F24" s="128">
        <f>C60</f>
        <v>21.577297145999619</v>
      </c>
      <c r="G24" s="130">
        <f>(D24+E24+F24)/(8.76*$C$63)</f>
        <v>47.464452808570286</v>
      </c>
      <c r="H24" s="128">
        <f t="shared" si="2"/>
        <v>0</v>
      </c>
      <c r="I24" s="130">
        <f>(G24+H24)</f>
        <v>47.464452808570286</v>
      </c>
      <c r="J24" s="130">
        <f t="shared" ref="J24:J32" si="4">ROUND(I24*$C$63*8.76,2)</f>
        <v>135.13</v>
      </c>
      <c r="K24" s="128">
        <f t="shared" si="3"/>
        <v>135.13129714599961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32.700000000000003</v>
      </c>
      <c r="F25" s="128">
        <f t="shared" si="5"/>
        <v>22.07</v>
      </c>
      <c r="G25" s="130">
        <f t="shared" ref="G25:G37" si="6">(D25+E25+F25)/(8.76*$C$63)</f>
        <v>48.556375131717601</v>
      </c>
      <c r="H25" s="128">
        <f t="shared" si="2"/>
        <v>0</v>
      </c>
      <c r="I25" s="130">
        <f t="shared" ref="I25:I37" si="7">(G25+H25)</f>
        <v>48.556375131717601</v>
      </c>
      <c r="J25" s="130">
        <f t="shared" si="4"/>
        <v>138.24</v>
      </c>
      <c r="K25" s="128">
        <f t="shared" si="3"/>
        <v>138.24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33.450000000000003</v>
      </c>
      <c r="F26" s="128">
        <f t="shared" si="5"/>
        <v>22.58</v>
      </c>
      <c r="G26" s="130">
        <f t="shared" si="6"/>
        <v>49.673340358271872</v>
      </c>
      <c r="H26" s="128">
        <f t="shared" si="2"/>
        <v>0</v>
      </c>
      <c r="I26" s="130">
        <f t="shared" si="7"/>
        <v>49.673340358271872</v>
      </c>
      <c r="J26" s="130">
        <f t="shared" si="4"/>
        <v>141.41999999999999</v>
      </c>
      <c r="K26" s="128">
        <f t="shared" si="3"/>
        <v>141.42000000000002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34.22</v>
      </c>
      <c r="F27" s="128">
        <f t="shared" si="5"/>
        <v>23.1</v>
      </c>
      <c r="G27" s="130">
        <f t="shared" si="6"/>
        <v>50.814892869687384</v>
      </c>
      <c r="H27" s="128">
        <f t="shared" si="2"/>
        <v>0</v>
      </c>
      <c r="I27" s="130">
        <f t="shared" si="7"/>
        <v>50.814892869687384</v>
      </c>
      <c r="J27" s="130">
        <f t="shared" si="4"/>
        <v>144.66999999999999</v>
      </c>
      <c r="K27" s="128">
        <f t="shared" si="3"/>
        <v>144.66999999999999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89.36</v>
      </c>
      <c r="E28" s="128">
        <f t="shared" si="1"/>
        <v>35.01</v>
      </c>
      <c r="F28" s="128">
        <f t="shared" si="5"/>
        <v>23.63</v>
      </c>
      <c r="G28" s="130">
        <f t="shared" si="6"/>
        <v>51.984545135230064</v>
      </c>
      <c r="H28" s="128">
        <f t="shared" si="2"/>
        <v>0</v>
      </c>
      <c r="I28" s="130">
        <f t="shared" si="7"/>
        <v>51.984545135230064</v>
      </c>
      <c r="J28" s="130">
        <f t="shared" si="4"/>
        <v>148</v>
      </c>
      <c r="K28" s="128">
        <f t="shared" si="3"/>
        <v>148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91.42</v>
      </c>
      <c r="E29" s="128">
        <f t="shared" si="1"/>
        <v>35.82</v>
      </c>
      <c r="F29" s="128">
        <f t="shared" si="5"/>
        <v>24.17</v>
      </c>
      <c r="G29" s="130">
        <f t="shared" si="6"/>
        <v>53.182297154899906</v>
      </c>
      <c r="H29" s="128">
        <f t="shared" si="2"/>
        <v>0</v>
      </c>
      <c r="I29" s="130">
        <f t="shared" si="7"/>
        <v>53.182297154899906</v>
      </c>
      <c r="J29" s="130">
        <f t="shared" si="4"/>
        <v>151.41</v>
      </c>
      <c r="K29" s="128">
        <f t="shared" si="3"/>
        <v>151.41000000000003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93.52</v>
      </c>
      <c r="E30" s="128">
        <f t="shared" si="1"/>
        <v>36.64</v>
      </c>
      <c r="F30" s="128">
        <f t="shared" si="5"/>
        <v>24.73</v>
      </c>
      <c r="G30" s="130">
        <f t="shared" si="6"/>
        <v>54.404636459430975</v>
      </c>
      <c r="H30" s="128">
        <f t="shared" si="2"/>
        <v>0</v>
      </c>
      <c r="I30" s="130">
        <f t="shared" si="7"/>
        <v>54.404636459430975</v>
      </c>
      <c r="J30" s="130">
        <f t="shared" si="4"/>
        <v>154.88999999999999</v>
      </c>
      <c r="K30" s="128">
        <f t="shared" si="3"/>
        <v>154.88999999999999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95.67</v>
      </c>
      <c r="E31" s="128">
        <f t="shared" si="1"/>
        <v>37.479999999999997</v>
      </c>
      <c r="F31" s="128">
        <f t="shared" si="5"/>
        <v>25.3</v>
      </c>
      <c r="G31" s="130">
        <f t="shared" si="6"/>
        <v>55.655075518089227</v>
      </c>
      <c r="H31" s="128">
        <f t="shared" si="2"/>
        <v>0</v>
      </c>
      <c r="I31" s="130">
        <f t="shared" si="7"/>
        <v>55.655075518089227</v>
      </c>
      <c r="J31" s="130">
        <f t="shared" si="4"/>
        <v>158.44999999999999</v>
      </c>
      <c r="K31" s="128">
        <f t="shared" si="3"/>
        <v>158.45000000000002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97.87</v>
      </c>
      <c r="E32" s="128">
        <f t="shared" si="1"/>
        <v>38.340000000000003</v>
      </c>
      <c r="F32" s="128">
        <f t="shared" si="5"/>
        <v>25.88</v>
      </c>
      <c r="G32" s="130">
        <f t="shared" si="6"/>
        <v>56.933614330874605</v>
      </c>
      <c r="H32" s="128">
        <f t="shared" si="2"/>
        <v>0</v>
      </c>
      <c r="I32" s="130">
        <f t="shared" si="7"/>
        <v>56.933614330874605</v>
      </c>
      <c r="J32" s="130">
        <f t="shared" si="4"/>
        <v>162.09</v>
      </c>
      <c r="K32" s="128">
        <f t="shared" si="3"/>
        <v>162.09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100.12</v>
      </c>
      <c r="E33" s="128">
        <f t="shared" si="1"/>
        <v>39.22</v>
      </c>
      <c r="F33" s="128">
        <f t="shared" si="5"/>
        <v>26.48</v>
      </c>
      <c r="G33" s="130">
        <f t="shared" si="6"/>
        <v>58.243765367053037</v>
      </c>
      <c r="H33" s="128">
        <f t="shared" si="2"/>
        <v>0</v>
      </c>
      <c r="I33" s="130">
        <f t="shared" si="7"/>
        <v>58.243765367053037</v>
      </c>
      <c r="J33" s="130">
        <f t="shared" ref="J33:J37" si="8">ROUND(I33*$C$63*8.76,2)</f>
        <v>165.82</v>
      </c>
      <c r="K33" s="128">
        <f t="shared" si="3"/>
        <v>165.82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102.42</v>
      </c>
      <c r="E34" s="128">
        <f t="shared" si="1"/>
        <v>40.119999999999997</v>
      </c>
      <c r="F34" s="128">
        <f t="shared" si="5"/>
        <v>27.09</v>
      </c>
      <c r="G34" s="130">
        <f t="shared" si="6"/>
        <v>59.582016157358623</v>
      </c>
      <c r="H34" s="128">
        <f t="shared" si="2"/>
        <v>0</v>
      </c>
      <c r="I34" s="130">
        <f t="shared" si="7"/>
        <v>59.582016157358623</v>
      </c>
      <c r="J34" s="130">
        <f t="shared" si="8"/>
        <v>169.63</v>
      </c>
      <c r="K34" s="128">
        <f t="shared" si="3"/>
        <v>169.63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104.67</v>
      </c>
      <c r="E35" s="128">
        <f t="shared" si="1"/>
        <v>41</v>
      </c>
      <c r="F35" s="128">
        <f t="shared" si="5"/>
        <v>27.69</v>
      </c>
      <c r="G35" s="130">
        <f t="shared" si="6"/>
        <v>60.892167193537063</v>
      </c>
      <c r="H35" s="128">
        <f t="shared" si="2"/>
        <v>0</v>
      </c>
      <c r="I35" s="130">
        <f t="shared" si="7"/>
        <v>60.892167193537063</v>
      </c>
      <c r="J35" s="130">
        <f t="shared" si="8"/>
        <v>173.36</v>
      </c>
      <c r="K35" s="128">
        <f t="shared" si="3"/>
        <v>173.36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106.97</v>
      </c>
      <c r="E36" s="128">
        <f t="shared" si="1"/>
        <v>41.9</v>
      </c>
      <c r="F36" s="128">
        <f t="shared" si="5"/>
        <v>28.3</v>
      </c>
      <c r="G36" s="130">
        <f t="shared" si="6"/>
        <v>62.230417983842649</v>
      </c>
      <c r="H36" s="128">
        <f t="shared" si="2"/>
        <v>0</v>
      </c>
      <c r="I36" s="130">
        <f t="shared" si="7"/>
        <v>62.230417983842649</v>
      </c>
      <c r="J36" s="130">
        <f t="shared" si="8"/>
        <v>177.17</v>
      </c>
      <c r="K36" s="128">
        <f t="shared" si="3"/>
        <v>177.17000000000002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109.43</v>
      </c>
      <c r="E37" s="128">
        <f t="shared" si="1"/>
        <v>42.86</v>
      </c>
      <c r="F37" s="128">
        <f t="shared" si="5"/>
        <v>28.95</v>
      </c>
      <c r="G37" s="130">
        <f t="shared" si="6"/>
        <v>63.659992975061471</v>
      </c>
      <c r="H37" s="128">
        <f t="shared" si="2"/>
        <v>0</v>
      </c>
      <c r="I37" s="130">
        <f t="shared" si="7"/>
        <v>63.659992975061471</v>
      </c>
      <c r="J37" s="130">
        <f t="shared" si="8"/>
        <v>181.24</v>
      </c>
      <c r="K37" s="128">
        <f t="shared" si="3"/>
        <v>181.24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500</v>
      </c>
      <c r="P55" s="117" t="s">
        <v>32</v>
      </c>
      <c r="Q55" s="274" t="s">
        <v>174</v>
      </c>
      <c r="R55" s="274" t="s">
        <v>175</v>
      </c>
      <c r="T55" s="274" t="str">
        <f>$Q$55&amp;"Proposed Station Capital Costs"</f>
        <v>L_.US4_PVSProposed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L_.US4_PVSProposed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235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21.577297145999619</v>
      </c>
      <c r="D60" s="117" t="s">
        <v>218</v>
      </c>
      <c r="F60" s="274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S31" sqref="S3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47">
        <v>1227.9632768361582</v>
      </c>
      <c r="D18" s="128">
        <f>C18*$C$62</f>
        <v>62.441932627118646</v>
      </c>
      <c r="E18" s="128">
        <f t="shared" si="1"/>
        <v>27.85</v>
      </c>
      <c r="F18" s="128">
        <f>C60</f>
        <v>0</v>
      </c>
      <c r="G18" s="130">
        <f>(D18+E18+F18)/(8.76*$C$63)</f>
        <v>34.243515764468007</v>
      </c>
      <c r="H18" s="128">
        <f t="shared" si="2"/>
        <v>0</v>
      </c>
      <c r="I18" s="130">
        <f>(G18+H18)</f>
        <v>34.243515764468007</v>
      </c>
      <c r="J18" s="130">
        <f t="shared" ref="J18:J32" si="4">ROUND(I18*$C$63*8.76,2)</f>
        <v>90.29</v>
      </c>
      <c r="K18" s="128">
        <f t="shared" si="3"/>
        <v>90.291932627118655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63.88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35.031629727392712</v>
      </c>
      <c r="H19" s="128">
        <f t="shared" si="2"/>
        <v>0</v>
      </c>
      <c r="I19" s="130">
        <f t="shared" ref="I19:I37" si="7">(G19+H19)</f>
        <v>35.031629727392712</v>
      </c>
      <c r="J19" s="130">
        <f t="shared" si="4"/>
        <v>92.37</v>
      </c>
      <c r="K19" s="128">
        <f t="shared" si="3"/>
        <v>92.37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65.349999999999994</v>
      </c>
      <c r="E20" s="128">
        <f t="shared" si="1"/>
        <v>29.15</v>
      </c>
      <c r="F20" s="128">
        <f t="shared" si="5"/>
        <v>0</v>
      </c>
      <c r="G20" s="130">
        <f t="shared" si="6"/>
        <v>35.839439311882771</v>
      </c>
      <c r="H20" s="128">
        <f t="shared" si="2"/>
        <v>0</v>
      </c>
      <c r="I20" s="130">
        <f t="shared" si="7"/>
        <v>35.839439311882771</v>
      </c>
      <c r="J20" s="130">
        <f t="shared" si="4"/>
        <v>94.5</v>
      </c>
      <c r="K20" s="128">
        <f t="shared" si="3"/>
        <v>94.5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66.849999999999994</v>
      </c>
      <c r="E21" s="128">
        <f t="shared" si="1"/>
        <v>29.82</v>
      </c>
      <c r="F21" s="128">
        <f t="shared" si="5"/>
        <v>0</v>
      </c>
      <c r="G21" s="130">
        <f t="shared" si="6"/>
        <v>36.662419029414885</v>
      </c>
      <c r="H21" s="128">
        <f t="shared" si="2"/>
        <v>0</v>
      </c>
      <c r="I21" s="130">
        <f t="shared" si="7"/>
        <v>36.662419029414885</v>
      </c>
      <c r="J21" s="130">
        <f t="shared" si="4"/>
        <v>96.67</v>
      </c>
      <c r="K21" s="128">
        <f t="shared" si="3"/>
        <v>96.669999999999987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68.39</v>
      </c>
      <c r="E22" s="128">
        <f t="shared" si="1"/>
        <v>30.51</v>
      </c>
      <c r="F22" s="128">
        <f t="shared" si="5"/>
        <v>0</v>
      </c>
      <c r="G22" s="130">
        <f t="shared" si="6"/>
        <v>37.508153946510113</v>
      </c>
      <c r="H22" s="128">
        <f t="shared" si="2"/>
        <v>0</v>
      </c>
      <c r="I22" s="130">
        <f t="shared" si="7"/>
        <v>37.508153946510113</v>
      </c>
      <c r="J22" s="130">
        <f t="shared" si="4"/>
        <v>98.9</v>
      </c>
      <c r="K22" s="128">
        <f t="shared" si="3"/>
        <v>98.9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70.03</v>
      </c>
      <c r="E23" s="128">
        <f t="shared" si="1"/>
        <v>31.24</v>
      </c>
      <c r="F23" s="128">
        <f t="shared" si="5"/>
        <v>0</v>
      </c>
      <c r="G23" s="130">
        <f t="shared" si="6"/>
        <v>38.406984329252566</v>
      </c>
      <c r="H23" s="128">
        <f t="shared" si="2"/>
        <v>0</v>
      </c>
      <c r="I23" s="130">
        <f t="shared" si="7"/>
        <v>38.406984329252566</v>
      </c>
      <c r="J23" s="130">
        <f t="shared" si="4"/>
        <v>101.27</v>
      </c>
      <c r="K23" s="128">
        <f t="shared" si="3"/>
        <v>101.27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71.64</v>
      </c>
      <c r="E24" s="128">
        <f t="shared" si="1"/>
        <v>31.96</v>
      </c>
      <c r="F24" s="128">
        <f t="shared" si="5"/>
        <v>0</v>
      </c>
      <c r="G24" s="130">
        <f t="shared" si="6"/>
        <v>39.290644578952957</v>
      </c>
      <c r="H24" s="128">
        <f t="shared" si="2"/>
        <v>0</v>
      </c>
      <c r="I24" s="130">
        <f t="shared" si="7"/>
        <v>39.290644578952957</v>
      </c>
      <c r="J24" s="130">
        <f t="shared" si="4"/>
        <v>103.6</v>
      </c>
      <c r="K24" s="128">
        <f t="shared" si="3"/>
        <v>103.6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73.290000000000006</v>
      </c>
      <c r="E25" s="128">
        <f t="shared" si="1"/>
        <v>32.700000000000003</v>
      </c>
      <c r="F25" s="128">
        <f t="shared" si="5"/>
        <v>0</v>
      </c>
      <c r="G25" s="130">
        <f t="shared" si="6"/>
        <v>40.197060028216455</v>
      </c>
      <c r="H25" s="128">
        <f t="shared" si="2"/>
        <v>0</v>
      </c>
      <c r="I25" s="130">
        <f t="shared" si="7"/>
        <v>40.197060028216455</v>
      </c>
      <c r="J25" s="130">
        <f t="shared" si="4"/>
        <v>105.99</v>
      </c>
      <c r="K25" s="128">
        <f t="shared" si="3"/>
        <v>105.99000000000001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74.98</v>
      </c>
      <c r="E26" s="128">
        <f t="shared" si="1"/>
        <v>33.450000000000003</v>
      </c>
      <c r="F26" s="128">
        <f t="shared" si="5"/>
        <v>0</v>
      </c>
      <c r="G26" s="130">
        <f t="shared" si="6"/>
        <v>41.122438143782524</v>
      </c>
      <c r="H26" s="128">
        <f t="shared" si="2"/>
        <v>0</v>
      </c>
      <c r="I26" s="130">
        <f t="shared" si="7"/>
        <v>41.122438143782524</v>
      </c>
      <c r="J26" s="130">
        <f t="shared" si="4"/>
        <v>108.43</v>
      </c>
      <c r="K26" s="128">
        <f t="shared" si="3"/>
        <v>108.43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76.7</v>
      </c>
      <c r="E27" s="128">
        <f t="shared" si="1"/>
        <v>34.22</v>
      </c>
      <c r="F27" s="128">
        <f t="shared" si="5"/>
        <v>0</v>
      </c>
      <c r="G27" s="130">
        <f t="shared" si="6"/>
        <v>42.066778925651185</v>
      </c>
      <c r="H27" s="128">
        <f t="shared" si="2"/>
        <v>0</v>
      </c>
      <c r="I27" s="130">
        <f t="shared" si="7"/>
        <v>42.066778925651185</v>
      </c>
      <c r="J27" s="130">
        <f t="shared" si="4"/>
        <v>110.92</v>
      </c>
      <c r="K27" s="128">
        <f t="shared" si="3"/>
        <v>110.92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78.459999999999994</v>
      </c>
      <c r="E28" s="128">
        <f t="shared" si="1"/>
        <v>35.01</v>
      </c>
      <c r="F28" s="128">
        <f t="shared" si="5"/>
        <v>0</v>
      </c>
      <c r="G28" s="130">
        <f t="shared" si="6"/>
        <v>43.033874907082939</v>
      </c>
      <c r="H28" s="128">
        <f t="shared" si="2"/>
        <v>0</v>
      </c>
      <c r="I28" s="130">
        <f t="shared" si="7"/>
        <v>43.033874907082939</v>
      </c>
      <c r="J28" s="130">
        <f t="shared" si="4"/>
        <v>113.47</v>
      </c>
      <c r="K28" s="128">
        <f t="shared" si="3"/>
        <v>113.47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80.260000000000005</v>
      </c>
      <c r="E29" s="128">
        <f t="shared" si="1"/>
        <v>35.82</v>
      </c>
      <c r="F29" s="128">
        <f t="shared" si="5"/>
        <v>0</v>
      </c>
      <c r="G29" s="130">
        <f t="shared" si="6"/>
        <v>44.023726088077801</v>
      </c>
      <c r="H29" s="128">
        <f t="shared" si="2"/>
        <v>0</v>
      </c>
      <c r="I29" s="130">
        <f t="shared" si="7"/>
        <v>44.023726088077801</v>
      </c>
      <c r="J29" s="130">
        <f t="shared" si="4"/>
        <v>116.08</v>
      </c>
      <c r="K29" s="128">
        <f t="shared" si="3"/>
        <v>116.08000000000001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82.11</v>
      </c>
      <c r="E30" s="128">
        <f t="shared" si="1"/>
        <v>36.64</v>
      </c>
      <c r="F30" s="128">
        <f t="shared" si="5"/>
        <v>0</v>
      </c>
      <c r="G30" s="130">
        <f t="shared" si="6"/>
        <v>45.036332468635756</v>
      </c>
      <c r="H30" s="128">
        <f t="shared" si="2"/>
        <v>0</v>
      </c>
      <c r="I30" s="130">
        <f t="shared" si="7"/>
        <v>45.036332468635756</v>
      </c>
      <c r="J30" s="130">
        <f t="shared" si="4"/>
        <v>118.75</v>
      </c>
      <c r="K30" s="128">
        <f t="shared" si="3"/>
        <v>118.75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84</v>
      </c>
      <c r="E31" s="128">
        <f t="shared" si="1"/>
        <v>37.479999999999997</v>
      </c>
      <c r="F31" s="128">
        <f t="shared" si="5"/>
        <v>0</v>
      </c>
      <c r="G31" s="130">
        <f t="shared" si="6"/>
        <v>46.071694048756811</v>
      </c>
      <c r="H31" s="128">
        <f t="shared" si="2"/>
        <v>0</v>
      </c>
      <c r="I31" s="130">
        <f t="shared" si="7"/>
        <v>46.071694048756811</v>
      </c>
      <c r="J31" s="130">
        <f t="shared" si="4"/>
        <v>121.48</v>
      </c>
      <c r="K31" s="128">
        <f t="shared" si="3"/>
        <v>121.47999999999999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85.93</v>
      </c>
      <c r="E32" s="128">
        <f t="shared" si="1"/>
        <v>38.340000000000003</v>
      </c>
      <c r="F32" s="128">
        <f t="shared" si="5"/>
        <v>0</v>
      </c>
      <c r="G32" s="130">
        <f t="shared" si="6"/>
        <v>47.129810828440974</v>
      </c>
      <c r="H32" s="128">
        <f t="shared" si="2"/>
        <v>0</v>
      </c>
      <c r="I32" s="130">
        <f t="shared" si="7"/>
        <v>47.129810828440974</v>
      </c>
      <c r="J32" s="130">
        <f t="shared" si="4"/>
        <v>124.27</v>
      </c>
      <c r="K32" s="128">
        <f t="shared" si="3"/>
        <v>124.27000000000001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87.91</v>
      </c>
      <c r="E33" s="128">
        <f t="shared" si="1"/>
        <v>39.22</v>
      </c>
      <c r="F33" s="128">
        <f t="shared" si="5"/>
        <v>0</v>
      </c>
      <c r="G33" s="130">
        <f t="shared" si="6"/>
        <v>48.214475340948745</v>
      </c>
      <c r="H33" s="128">
        <f t="shared" si="2"/>
        <v>0</v>
      </c>
      <c r="I33" s="130">
        <f t="shared" si="7"/>
        <v>48.214475340948745</v>
      </c>
      <c r="J33" s="130">
        <f t="shared" ref="J33:J37" si="8">ROUND(I33*$C$63*8.76,2)</f>
        <v>127.13</v>
      </c>
      <c r="K33" s="128">
        <f t="shared" si="3"/>
        <v>127.13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89.93</v>
      </c>
      <c r="E34" s="128">
        <f t="shared" si="1"/>
        <v>40.119999999999997</v>
      </c>
      <c r="F34" s="128">
        <f t="shared" si="5"/>
        <v>0</v>
      </c>
      <c r="G34" s="130">
        <f t="shared" si="6"/>
        <v>49.321895053019624</v>
      </c>
      <c r="H34" s="128">
        <f t="shared" si="2"/>
        <v>0</v>
      </c>
      <c r="I34" s="130">
        <f t="shared" si="7"/>
        <v>49.321895053019624</v>
      </c>
      <c r="J34" s="130">
        <f t="shared" si="8"/>
        <v>130.05000000000001</v>
      </c>
      <c r="K34" s="128">
        <f t="shared" si="3"/>
        <v>130.05000000000001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91.91</v>
      </c>
      <c r="E35" s="128">
        <f t="shared" si="1"/>
        <v>41</v>
      </c>
      <c r="F35" s="128">
        <f t="shared" si="5"/>
        <v>0</v>
      </c>
      <c r="G35" s="130">
        <f t="shared" si="6"/>
        <v>50.406559565527395</v>
      </c>
      <c r="H35" s="128">
        <f t="shared" si="2"/>
        <v>0</v>
      </c>
      <c r="I35" s="130">
        <f t="shared" si="7"/>
        <v>50.406559565527395</v>
      </c>
      <c r="J35" s="130">
        <f t="shared" si="8"/>
        <v>132.91</v>
      </c>
      <c r="K35" s="128">
        <f t="shared" si="3"/>
        <v>132.91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93.93</v>
      </c>
      <c r="E36" s="128">
        <f t="shared" si="1"/>
        <v>41.9</v>
      </c>
      <c r="F36" s="128">
        <f t="shared" si="5"/>
        <v>0</v>
      </c>
      <c r="G36" s="130">
        <f t="shared" si="6"/>
        <v>51.513979277598274</v>
      </c>
      <c r="H36" s="128">
        <f t="shared" si="2"/>
        <v>0</v>
      </c>
      <c r="I36" s="130">
        <f t="shared" si="7"/>
        <v>51.513979277598274</v>
      </c>
      <c r="J36" s="130">
        <f t="shared" si="8"/>
        <v>135.83000000000001</v>
      </c>
      <c r="K36" s="128">
        <f t="shared" si="3"/>
        <v>135.83000000000001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96.09</v>
      </c>
      <c r="E37" s="128">
        <f t="shared" si="1"/>
        <v>42.86</v>
      </c>
      <c r="F37" s="128">
        <f t="shared" si="5"/>
        <v>0</v>
      </c>
      <c r="G37" s="130">
        <f t="shared" si="6"/>
        <v>52.697249654879471</v>
      </c>
      <c r="H37" s="128">
        <f t="shared" si="2"/>
        <v>0</v>
      </c>
      <c r="I37" s="130">
        <f t="shared" si="7"/>
        <v>52.697249654879471</v>
      </c>
      <c r="J37" s="130">
        <f t="shared" si="8"/>
        <v>138.94999999999999</v>
      </c>
      <c r="K37" s="128">
        <f t="shared" si="3"/>
        <v>138.94999999999999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354</v>
      </c>
      <c r="P55" s="117" t="s">
        <v>32</v>
      </c>
      <c r="Q55" s="274" t="s">
        <v>144</v>
      </c>
      <c r="R55" s="274" t="s">
        <v>108</v>
      </c>
      <c r="T55" s="274" t="str">
        <f>$Q$55&amp;"Proposed Station Capital Costs"</f>
        <v>L1.JBB_PVSProposed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L1.JBB_PVSProposed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L1.JBB_PVS2024</v>
      </c>
      <c r="T57" s="274" t="str">
        <f>$Q$55&amp;"Proposed Station Variable O&amp;M Costs"</f>
        <v>L1.JBB_PVSProposed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235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</v>
      </c>
      <c r="D60" s="117" t="s">
        <v>218</v>
      </c>
      <c r="F60" s="274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  <c r="Y5" s="381"/>
      <c r="Z5" s="381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6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O18" s="349"/>
      <c r="Q18" s="153"/>
      <c r="R18" s="119"/>
      <c r="T18" s="161"/>
      <c r="U18" s="153"/>
      <c r="V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47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31.24</v>
      </c>
      <c r="F23" s="128">
        <f>C60</f>
        <v>0</v>
      </c>
      <c r="G23" s="130">
        <f>(D23+E23+F23)/(8.76*$C$63)</f>
        <v>35.182923154716029</v>
      </c>
      <c r="H23" s="128">
        <f t="shared" si="2"/>
        <v>0</v>
      </c>
      <c r="I23" s="130">
        <f>(G23+H23)</f>
        <v>35.182923154716029</v>
      </c>
      <c r="J23" s="130">
        <f t="shared" ref="J23" si="5">ROUND(I23*$C$63*8.76,2)</f>
        <v>92.77</v>
      </c>
      <c r="K23" s="128">
        <f t="shared" si="3"/>
        <v>92.768924457429037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47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31.96</v>
      </c>
      <c r="F24" s="128">
        <f t="shared" si="6"/>
        <v>0</v>
      </c>
      <c r="G24" s="130">
        <f t="shared" ref="G24:G37" si="7">(D24+E24+F24)/(8.76*$C$63)</f>
        <v>35.991140642303435</v>
      </c>
      <c r="H24" s="128">
        <f t="shared" si="2"/>
        <v>0</v>
      </c>
      <c r="I24" s="130">
        <f t="shared" ref="I24:I37" si="8">(G24+H24)</f>
        <v>35.991140642303435</v>
      </c>
      <c r="J24" s="130">
        <f t="shared" ref="J24:J32" si="9">ROUND(I24*$C$63*8.76,2)</f>
        <v>94.9</v>
      </c>
      <c r="K24" s="128">
        <f t="shared" si="3"/>
        <v>94.9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32.700000000000003</v>
      </c>
      <c r="F25" s="128">
        <f t="shared" si="6"/>
        <v>0</v>
      </c>
      <c r="G25" s="130">
        <f t="shared" si="7"/>
        <v>36.821705426356594</v>
      </c>
      <c r="H25" s="128">
        <f t="shared" si="2"/>
        <v>0</v>
      </c>
      <c r="I25" s="130">
        <f t="shared" si="8"/>
        <v>36.821705426356594</v>
      </c>
      <c r="J25" s="130">
        <f t="shared" si="9"/>
        <v>97.09</v>
      </c>
      <c r="K25" s="128">
        <f t="shared" si="3"/>
        <v>97.09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33.450000000000003</v>
      </c>
      <c r="F26" s="128">
        <f t="shared" si="6"/>
        <v>0</v>
      </c>
      <c r="G26" s="130">
        <f t="shared" si="7"/>
        <v>37.667440343451815</v>
      </c>
      <c r="H26" s="128">
        <f t="shared" si="2"/>
        <v>0</v>
      </c>
      <c r="I26" s="130">
        <f t="shared" si="8"/>
        <v>37.667440343451815</v>
      </c>
      <c r="J26" s="130">
        <f t="shared" si="9"/>
        <v>99.32</v>
      </c>
      <c r="K26" s="128">
        <f t="shared" si="3"/>
        <v>99.320000000000007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34.22</v>
      </c>
      <c r="F27" s="128">
        <f t="shared" si="6"/>
        <v>0</v>
      </c>
      <c r="G27" s="130">
        <f t="shared" si="7"/>
        <v>38.535930460110137</v>
      </c>
      <c r="H27" s="128">
        <f t="shared" si="2"/>
        <v>0</v>
      </c>
      <c r="I27" s="130">
        <f t="shared" si="8"/>
        <v>38.535930460110137</v>
      </c>
      <c r="J27" s="130">
        <f t="shared" si="9"/>
        <v>101.61</v>
      </c>
      <c r="K27" s="128">
        <f t="shared" si="3"/>
        <v>101.61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68.94</v>
      </c>
      <c r="E28" s="128">
        <f t="shared" si="4"/>
        <v>35.01</v>
      </c>
      <c r="F28" s="128">
        <f t="shared" si="6"/>
        <v>0</v>
      </c>
      <c r="G28" s="130">
        <f t="shared" si="7"/>
        <v>39.423383243071044</v>
      </c>
      <c r="H28" s="128">
        <f t="shared" si="2"/>
        <v>0</v>
      </c>
      <c r="I28" s="130">
        <f t="shared" si="8"/>
        <v>39.423383243071044</v>
      </c>
      <c r="J28" s="130">
        <f t="shared" si="9"/>
        <v>103.95</v>
      </c>
      <c r="K28" s="128">
        <f t="shared" si="3"/>
        <v>103.94999999999999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70.53</v>
      </c>
      <c r="E29" s="128">
        <f t="shared" si="4"/>
        <v>35.82</v>
      </c>
      <c r="F29" s="128">
        <f t="shared" si="6"/>
        <v>0</v>
      </c>
      <c r="G29" s="130">
        <f t="shared" si="7"/>
        <v>40.33359122559505</v>
      </c>
      <c r="H29" s="128">
        <f t="shared" si="2"/>
        <v>0</v>
      </c>
      <c r="I29" s="130">
        <f t="shared" si="8"/>
        <v>40.33359122559505</v>
      </c>
      <c r="J29" s="130">
        <f t="shared" si="9"/>
        <v>106.35</v>
      </c>
      <c r="K29" s="128">
        <f t="shared" si="3"/>
        <v>106.35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72.150000000000006</v>
      </c>
      <c r="E30" s="128">
        <f t="shared" si="4"/>
        <v>36.64</v>
      </c>
      <c r="F30" s="128">
        <f t="shared" si="6"/>
        <v>0</v>
      </c>
      <c r="G30" s="130">
        <f t="shared" si="7"/>
        <v>41.258969341161126</v>
      </c>
      <c r="H30" s="128">
        <f t="shared" si="2"/>
        <v>0</v>
      </c>
      <c r="I30" s="130">
        <f t="shared" si="8"/>
        <v>41.258969341161126</v>
      </c>
      <c r="J30" s="130">
        <f t="shared" si="9"/>
        <v>108.79</v>
      </c>
      <c r="K30" s="128">
        <f t="shared" si="3"/>
        <v>108.79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73.81</v>
      </c>
      <c r="E31" s="128">
        <f t="shared" si="4"/>
        <v>37.479999999999997</v>
      </c>
      <c r="F31" s="128">
        <f t="shared" si="6"/>
        <v>0</v>
      </c>
      <c r="G31" s="130">
        <f t="shared" si="7"/>
        <v>42.207102656290296</v>
      </c>
      <c r="H31" s="128">
        <f t="shared" si="2"/>
        <v>0</v>
      </c>
      <c r="I31" s="130">
        <f t="shared" si="8"/>
        <v>42.207102656290296</v>
      </c>
      <c r="J31" s="130">
        <f t="shared" si="9"/>
        <v>111.29</v>
      </c>
      <c r="K31" s="128">
        <f t="shared" si="3"/>
        <v>111.28999999999999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75.510000000000005</v>
      </c>
      <c r="E32" s="128">
        <f t="shared" si="4"/>
        <v>38.340000000000003</v>
      </c>
      <c r="F32" s="128">
        <f t="shared" si="6"/>
        <v>0</v>
      </c>
      <c r="G32" s="130">
        <f t="shared" si="7"/>
        <v>43.17799117098258</v>
      </c>
      <c r="H32" s="128">
        <f t="shared" si="2"/>
        <v>0</v>
      </c>
      <c r="I32" s="130">
        <f t="shared" si="8"/>
        <v>43.17799117098258</v>
      </c>
      <c r="J32" s="130">
        <f t="shared" si="9"/>
        <v>113.85</v>
      </c>
      <c r="K32" s="128">
        <f t="shared" si="3"/>
        <v>113.85000000000001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77.25</v>
      </c>
      <c r="E33" s="128">
        <f t="shared" si="4"/>
        <v>39.22</v>
      </c>
      <c r="F33" s="128">
        <f t="shared" si="6"/>
        <v>0</v>
      </c>
      <c r="G33" s="130">
        <f t="shared" si="7"/>
        <v>44.17163488523795</v>
      </c>
      <c r="H33" s="128">
        <f t="shared" si="2"/>
        <v>0</v>
      </c>
      <c r="I33" s="130">
        <f t="shared" si="8"/>
        <v>44.17163488523795</v>
      </c>
      <c r="J33" s="130">
        <f t="shared" ref="J33:J37" si="10">ROUND(I33*$C$63*8.76,2)</f>
        <v>116.47</v>
      </c>
      <c r="K33" s="128">
        <f t="shared" si="3"/>
        <v>116.47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79.03</v>
      </c>
      <c r="E34" s="128">
        <f t="shared" si="4"/>
        <v>40.119999999999997</v>
      </c>
      <c r="F34" s="128">
        <f t="shared" si="6"/>
        <v>0</v>
      </c>
      <c r="G34" s="130">
        <f t="shared" si="7"/>
        <v>45.188033799056427</v>
      </c>
      <c r="H34" s="128">
        <f t="shared" si="2"/>
        <v>0</v>
      </c>
      <c r="I34" s="130">
        <f t="shared" si="8"/>
        <v>45.188033799056427</v>
      </c>
      <c r="J34" s="130">
        <f t="shared" si="10"/>
        <v>119.15</v>
      </c>
      <c r="K34" s="128">
        <f t="shared" si="3"/>
        <v>119.15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80.77</v>
      </c>
      <c r="E35" s="128">
        <f t="shared" si="4"/>
        <v>41</v>
      </c>
      <c r="F35" s="128">
        <f t="shared" si="6"/>
        <v>0</v>
      </c>
      <c r="G35" s="130">
        <f t="shared" si="7"/>
        <v>46.181677513311797</v>
      </c>
      <c r="H35" s="128">
        <f t="shared" si="2"/>
        <v>0</v>
      </c>
      <c r="I35" s="130">
        <f t="shared" si="8"/>
        <v>46.181677513311797</v>
      </c>
      <c r="J35" s="130">
        <f t="shared" si="10"/>
        <v>121.77</v>
      </c>
      <c r="K35" s="128">
        <f t="shared" si="3"/>
        <v>121.77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82.55</v>
      </c>
      <c r="E36" s="128">
        <f t="shared" si="4"/>
        <v>41.9</v>
      </c>
      <c r="F36" s="128">
        <f t="shared" si="6"/>
        <v>0</v>
      </c>
      <c r="G36" s="130">
        <f t="shared" si="7"/>
        <v>47.198076427130268</v>
      </c>
      <c r="H36" s="128">
        <f t="shared" si="2"/>
        <v>0</v>
      </c>
      <c r="I36" s="130">
        <f t="shared" si="8"/>
        <v>47.198076427130268</v>
      </c>
      <c r="J36" s="130">
        <f t="shared" si="10"/>
        <v>124.45</v>
      </c>
      <c r="K36" s="128">
        <f t="shared" si="3"/>
        <v>124.44999999999999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84.45</v>
      </c>
      <c r="E37" s="128">
        <f t="shared" si="4"/>
        <v>42.86</v>
      </c>
      <c r="F37" s="128">
        <f t="shared" si="6"/>
        <v>0</v>
      </c>
      <c r="G37" s="130">
        <f t="shared" si="7"/>
        <v>48.282740939638046</v>
      </c>
      <c r="H37" s="128">
        <f t="shared" si="2"/>
        <v>0</v>
      </c>
      <c r="I37" s="130">
        <f t="shared" si="8"/>
        <v>48.282740939638046</v>
      </c>
      <c r="J37" s="130">
        <f t="shared" si="10"/>
        <v>127.31</v>
      </c>
      <c r="K37" s="128">
        <f t="shared" si="3"/>
        <v>127.31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7"/>
    </row>
    <row r="45" spans="2:32">
      <c r="C45" s="140" t="str">
        <f>C7</f>
        <v>(a)</v>
      </c>
      <c r="D45" s="117" t="s">
        <v>65</v>
      </c>
      <c r="AC45" s="277"/>
    </row>
    <row r="46" spans="2:32">
      <c r="C46" s="140" t="str">
        <f>D7</f>
        <v>(b)</v>
      </c>
      <c r="D46" s="130" t="str">
        <f>"= "&amp;C7&amp;" x "&amp;C62</f>
        <v>= (a) x 0.05085</v>
      </c>
      <c r="AC46" s="277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7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359.4</v>
      </c>
      <c r="P55" s="117" t="s">
        <v>32</v>
      </c>
      <c r="Q55" s="274" t="s">
        <v>170</v>
      </c>
      <c r="R55" s="274" t="s">
        <v>108</v>
      </c>
      <c r="T55" s="274" t="str">
        <f>$Q$55&amp;"Proposed Station Capital Costs"</f>
        <v>L_.JBB_PVSProposed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L_.JBB_PVSProposed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L_.JBB_PVS2029</v>
      </c>
      <c r="T57" s="274" t="str">
        <f>$Q$55&amp;"Proposed Station Variable O&amp;M Costs"</f>
        <v>L_.JBB_PVSProposed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235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2029$</v>
      </c>
      <c r="C60" s="270">
        <f>INDEX('Table 3 TransCost'!$39:$39,1,MATCH(F60,'Table 3 TransCost'!$4:$4,0)+2)</f>
        <v>0</v>
      </c>
      <c r="D60" s="117" t="s">
        <v>218</v>
      </c>
      <c r="F60" s="274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1296.5513342379013</v>
      </c>
      <c r="D18" s="128">
        <f>C18*$C$62</f>
        <v>65.929635345997283</v>
      </c>
      <c r="E18" s="128">
        <f t="shared" si="1"/>
        <v>27.85</v>
      </c>
      <c r="F18" s="198">
        <f>C60</f>
        <v>0</v>
      </c>
      <c r="G18" s="130">
        <f>(D18+E18+F18)/(8.76*$C$63)</f>
        <v>36.045245201634806</v>
      </c>
      <c r="H18" s="128">
        <f t="shared" si="2"/>
        <v>0</v>
      </c>
      <c r="I18" s="130">
        <f>(G18+H18)</f>
        <v>36.045245201634806</v>
      </c>
      <c r="J18" s="130">
        <f t="shared" ref="J18:J32" si="4">ROUND(I18*$C$63*8.76,2)</f>
        <v>93.78</v>
      </c>
      <c r="K18" s="128">
        <f t="shared" si="3"/>
        <v>93.779635345997292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67.45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36.875605368756055</v>
      </c>
      <c r="H19" s="128">
        <f t="shared" si="2"/>
        <v>0</v>
      </c>
      <c r="I19" s="130">
        <f t="shared" ref="I19:I37" si="7">(G19+H19)</f>
        <v>36.875605368756055</v>
      </c>
      <c r="J19" s="130">
        <f t="shared" si="4"/>
        <v>95.94</v>
      </c>
      <c r="K19" s="128">
        <f t="shared" si="3"/>
        <v>95.94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</v>
      </c>
      <c r="E20" s="128">
        <f t="shared" si="1"/>
        <v>29.15</v>
      </c>
      <c r="F20" s="128">
        <f t="shared" si="5"/>
        <v>0</v>
      </c>
      <c r="G20" s="130">
        <f t="shared" si="6"/>
        <v>37.725043432805997</v>
      </c>
      <c r="H20" s="128">
        <f t="shared" si="2"/>
        <v>0</v>
      </c>
      <c r="I20" s="130">
        <f t="shared" si="7"/>
        <v>37.725043432805997</v>
      </c>
      <c r="J20" s="130">
        <f t="shared" si="4"/>
        <v>98.15</v>
      </c>
      <c r="K20" s="128">
        <f t="shared" si="3"/>
        <v>98.15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70.59</v>
      </c>
      <c r="E21" s="128">
        <f t="shared" si="1"/>
        <v>29.82</v>
      </c>
      <c r="F21" s="128">
        <f t="shared" si="5"/>
        <v>0</v>
      </c>
      <c r="G21" s="130">
        <f t="shared" si="6"/>
        <v>38.593699552603667</v>
      </c>
      <c r="H21" s="128">
        <f t="shared" si="2"/>
        <v>0</v>
      </c>
      <c r="I21" s="130">
        <f t="shared" si="7"/>
        <v>38.593699552603667</v>
      </c>
      <c r="J21" s="130">
        <f t="shared" si="4"/>
        <v>100.41</v>
      </c>
      <c r="K21" s="128">
        <f t="shared" si="3"/>
        <v>100.41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72.209999999999994</v>
      </c>
      <c r="E22" s="128">
        <f t="shared" si="1"/>
        <v>30.51</v>
      </c>
      <c r="F22" s="128">
        <f t="shared" si="5"/>
        <v>0</v>
      </c>
      <c r="G22" s="130">
        <f t="shared" si="6"/>
        <v>39.481573728149073</v>
      </c>
      <c r="H22" s="128">
        <f t="shared" si="2"/>
        <v>0</v>
      </c>
      <c r="I22" s="130">
        <f t="shared" si="7"/>
        <v>39.481573728149073</v>
      </c>
      <c r="J22" s="130">
        <f t="shared" si="4"/>
        <v>102.72</v>
      </c>
      <c r="K22" s="128">
        <f t="shared" si="3"/>
        <v>102.72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73.94</v>
      </c>
      <c r="E23" s="128">
        <f t="shared" si="1"/>
        <v>31.24</v>
      </c>
      <c r="F23" s="128">
        <f t="shared" si="5"/>
        <v>0</v>
      </c>
      <c r="G23" s="130">
        <f t="shared" si="6"/>
        <v>40.427102070937686</v>
      </c>
      <c r="H23" s="128">
        <f t="shared" si="2"/>
        <v>0</v>
      </c>
      <c r="I23" s="130">
        <f t="shared" si="7"/>
        <v>40.427102070937686</v>
      </c>
      <c r="J23" s="130">
        <f t="shared" si="4"/>
        <v>105.18</v>
      </c>
      <c r="K23" s="128">
        <f t="shared" si="3"/>
        <v>105.17999999999999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75.64</v>
      </c>
      <c r="E24" s="128">
        <f t="shared" si="1"/>
        <v>31.96</v>
      </c>
      <c r="F24" s="128">
        <f t="shared" si="5"/>
        <v>0</v>
      </c>
      <c r="G24" s="130">
        <f t="shared" si="6"/>
        <v>41.357255969128119</v>
      </c>
      <c r="H24" s="128">
        <f t="shared" si="2"/>
        <v>0</v>
      </c>
      <c r="I24" s="130">
        <f t="shared" si="7"/>
        <v>41.357255969128119</v>
      </c>
      <c r="J24" s="130">
        <f t="shared" si="4"/>
        <v>107.6</v>
      </c>
      <c r="K24" s="128">
        <f t="shared" si="3"/>
        <v>107.6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77.38</v>
      </c>
      <c r="E25" s="128">
        <f t="shared" si="1"/>
        <v>32.700000000000003</v>
      </c>
      <c r="F25" s="128">
        <f t="shared" si="5"/>
        <v>0</v>
      </c>
      <c r="G25" s="130">
        <f t="shared" si="6"/>
        <v>42.310471534215829</v>
      </c>
      <c r="H25" s="128">
        <f t="shared" si="2"/>
        <v>0</v>
      </c>
      <c r="I25" s="130">
        <f t="shared" si="7"/>
        <v>42.310471534215829</v>
      </c>
      <c r="J25" s="130">
        <f t="shared" si="4"/>
        <v>110.08</v>
      </c>
      <c r="K25" s="128">
        <f t="shared" si="3"/>
        <v>110.08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79.16</v>
      </c>
      <c r="E26" s="128">
        <f t="shared" si="1"/>
        <v>33.450000000000003</v>
      </c>
      <c r="F26" s="128">
        <f t="shared" si="5"/>
        <v>0</v>
      </c>
      <c r="G26" s="130">
        <f t="shared" si="6"/>
        <v>43.282905155051274</v>
      </c>
      <c r="H26" s="128">
        <f t="shared" si="2"/>
        <v>0</v>
      </c>
      <c r="I26" s="130">
        <f t="shared" si="7"/>
        <v>43.282905155051274</v>
      </c>
      <c r="J26" s="130">
        <f t="shared" si="4"/>
        <v>112.61</v>
      </c>
      <c r="K26" s="128">
        <f t="shared" si="3"/>
        <v>112.61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80.98</v>
      </c>
      <c r="E27" s="128">
        <f t="shared" si="1"/>
        <v>34.22</v>
      </c>
      <c r="F27" s="128">
        <f t="shared" si="5"/>
        <v>0</v>
      </c>
      <c r="G27" s="130">
        <f t="shared" si="6"/>
        <v>44.278400442784012</v>
      </c>
      <c r="H27" s="128">
        <f t="shared" si="2"/>
        <v>0</v>
      </c>
      <c r="I27" s="130">
        <f t="shared" si="7"/>
        <v>44.278400442784012</v>
      </c>
      <c r="J27" s="130">
        <f t="shared" si="4"/>
        <v>115.2</v>
      </c>
      <c r="K27" s="128">
        <f t="shared" si="3"/>
        <v>115.2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82.84</v>
      </c>
      <c r="E28" s="128">
        <f t="shared" si="1"/>
        <v>35.01</v>
      </c>
      <c r="F28" s="128">
        <f t="shared" si="5"/>
        <v>0</v>
      </c>
      <c r="G28" s="130">
        <f t="shared" si="6"/>
        <v>45.296957397414019</v>
      </c>
      <c r="H28" s="128">
        <f t="shared" si="2"/>
        <v>0</v>
      </c>
      <c r="I28" s="130">
        <f t="shared" si="7"/>
        <v>45.296957397414019</v>
      </c>
      <c r="J28" s="130">
        <f t="shared" si="4"/>
        <v>117.85</v>
      </c>
      <c r="K28" s="128">
        <f t="shared" si="3"/>
        <v>117.85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84.75</v>
      </c>
      <c r="E29" s="128">
        <f t="shared" si="1"/>
        <v>35.82</v>
      </c>
      <c r="F29" s="128">
        <f t="shared" si="5"/>
        <v>0</v>
      </c>
      <c r="G29" s="130">
        <f t="shared" si="6"/>
        <v>46.342419630090866</v>
      </c>
      <c r="H29" s="128">
        <f t="shared" si="2"/>
        <v>0</v>
      </c>
      <c r="I29" s="130">
        <f t="shared" si="7"/>
        <v>46.342419630090866</v>
      </c>
      <c r="J29" s="130">
        <f t="shared" si="4"/>
        <v>120.57</v>
      </c>
      <c r="K29" s="128">
        <f t="shared" si="3"/>
        <v>120.57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86.7</v>
      </c>
      <c r="E30" s="128">
        <f t="shared" si="1"/>
        <v>36.64</v>
      </c>
      <c r="F30" s="128">
        <f t="shared" si="5"/>
        <v>0</v>
      </c>
      <c r="G30" s="130">
        <f t="shared" si="6"/>
        <v>47.407099918515449</v>
      </c>
      <c r="H30" s="128">
        <f t="shared" si="2"/>
        <v>0</v>
      </c>
      <c r="I30" s="130">
        <f t="shared" si="7"/>
        <v>47.407099918515449</v>
      </c>
      <c r="J30" s="130">
        <f t="shared" si="4"/>
        <v>123.34</v>
      </c>
      <c r="K30" s="128">
        <f t="shared" si="3"/>
        <v>123.34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88.69</v>
      </c>
      <c r="E31" s="128">
        <f t="shared" si="1"/>
        <v>37.479999999999997</v>
      </c>
      <c r="F31" s="128">
        <f t="shared" si="5"/>
        <v>0</v>
      </c>
      <c r="G31" s="130">
        <f t="shared" si="6"/>
        <v>48.494841873837309</v>
      </c>
      <c r="H31" s="128">
        <f t="shared" si="2"/>
        <v>0</v>
      </c>
      <c r="I31" s="130">
        <f t="shared" si="7"/>
        <v>48.494841873837309</v>
      </c>
      <c r="J31" s="130">
        <f t="shared" si="4"/>
        <v>126.17</v>
      </c>
      <c r="K31" s="128">
        <f t="shared" si="3"/>
        <v>126.16999999999999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90.73</v>
      </c>
      <c r="E32" s="128">
        <f t="shared" si="1"/>
        <v>38.340000000000003</v>
      </c>
      <c r="F32" s="128">
        <f t="shared" si="5"/>
        <v>0</v>
      </c>
      <c r="G32" s="130">
        <f t="shared" si="6"/>
        <v>49.609489107206002</v>
      </c>
      <c r="H32" s="128">
        <f t="shared" si="2"/>
        <v>0</v>
      </c>
      <c r="I32" s="130">
        <f t="shared" si="7"/>
        <v>49.609489107206002</v>
      </c>
      <c r="J32" s="130">
        <f t="shared" si="4"/>
        <v>129.07</v>
      </c>
      <c r="K32" s="128">
        <f t="shared" si="3"/>
        <v>129.07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92.82</v>
      </c>
      <c r="E33" s="128">
        <f t="shared" si="1"/>
        <v>39.22</v>
      </c>
      <c r="F33" s="128">
        <f t="shared" si="5"/>
        <v>0</v>
      </c>
      <c r="G33" s="130">
        <f t="shared" si="6"/>
        <v>50.751041618621528</v>
      </c>
      <c r="H33" s="128">
        <f t="shared" si="2"/>
        <v>0</v>
      </c>
      <c r="I33" s="130">
        <f t="shared" si="7"/>
        <v>50.751041618621528</v>
      </c>
      <c r="J33" s="130">
        <f t="shared" ref="J33:J37" si="8">ROUND(I33*$C$63*8.76,2)</f>
        <v>132.04</v>
      </c>
      <c r="K33" s="128">
        <f t="shared" si="3"/>
        <v>132.04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94.95</v>
      </c>
      <c r="E34" s="128">
        <f t="shared" si="1"/>
        <v>40.119999999999997</v>
      </c>
      <c r="F34" s="128">
        <f t="shared" si="5"/>
        <v>0</v>
      </c>
      <c r="G34" s="130">
        <f t="shared" si="6"/>
        <v>51.915655796934338</v>
      </c>
      <c r="H34" s="128">
        <f t="shared" si="2"/>
        <v>0</v>
      </c>
      <c r="I34" s="130">
        <f t="shared" si="7"/>
        <v>51.915655796934338</v>
      </c>
      <c r="J34" s="130">
        <f t="shared" si="8"/>
        <v>135.07</v>
      </c>
      <c r="K34" s="128">
        <f t="shared" si="3"/>
        <v>135.07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97.04</v>
      </c>
      <c r="E35" s="128">
        <f t="shared" si="1"/>
        <v>41</v>
      </c>
      <c r="F35" s="128">
        <f t="shared" si="5"/>
        <v>0</v>
      </c>
      <c r="G35" s="130">
        <f t="shared" si="6"/>
        <v>53.057208308349871</v>
      </c>
      <c r="H35" s="128">
        <f t="shared" si="2"/>
        <v>0</v>
      </c>
      <c r="I35" s="130">
        <f t="shared" si="7"/>
        <v>53.057208308349871</v>
      </c>
      <c r="J35" s="130">
        <f t="shared" si="8"/>
        <v>138.04</v>
      </c>
      <c r="K35" s="128">
        <f t="shared" si="3"/>
        <v>138.04000000000002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99.17</v>
      </c>
      <c r="E36" s="128">
        <f t="shared" si="1"/>
        <v>41.9</v>
      </c>
      <c r="F36" s="128">
        <f t="shared" si="5"/>
        <v>0</v>
      </c>
      <c r="G36" s="130">
        <f t="shared" si="6"/>
        <v>54.221822486662674</v>
      </c>
      <c r="H36" s="128">
        <f t="shared" si="2"/>
        <v>0</v>
      </c>
      <c r="I36" s="130">
        <f t="shared" si="7"/>
        <v>54.221822486662674</v>
      </c>
      <c r="J36" s="130">
        <f t="shared" si="8"/>
        <v>141.07</v>
      </c>
      <c r="K36" s="128">
        <f t="shared" si="3"/>
        <v>141.07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101.45</v>
      </c>
      <c r="E37" s="128">
        <f t="shared" si="1"/>
        <v>42.86</v>
      </c>
      <c r="F37" s="128">
        <f t="shared" si="5"/>
        <v>0</v>
      </c>
      <c r="G37" s="130">
        <f t="shared" si="6"/>
        <v>55.467152499115976</v>
      </c>
      <c r="H37" s="128">
        <f t="shared" si="2"/>
        <v>0</v>
      </c>
      <c r="I37" s="130">
        <f t="shared" si="7"/>
        <v>55.467152499115976</v>
      </c>
      <c r="J37" s="130">
        <f t="shared" si="8"/>
        <v>144.31</v>
      </c>
      <c r="K37" s="128">
        <f t="shared" si="3"/>
        <v>144.31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50">
        <v>442.2</v>
      </c>
      <c r="P55" s="117" t="s">
        <v>32</v>
      </c>
      <c r="Q55" s="274" t="s">
        <v>145</v>
      </c>
      <c r="R55" s="274" t="s">
        <v>108</v>
      </c>
      <c r="T55" s="274" t="str">
        <f>$Q$55&amp;"Proposed Station Capital Costs"</f>
        <v>H1.SO1_PVSProposed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50">
        <v>57.8</v>
      </c>
      <c r="P56" s="117" t="s">
        <v>32</v>
      </c>
      <c r="Q56" s="274" t="s">
        <v>146</v>
      </c>
      <c r="R56" s="119"/>
      <c r="T56" s="274" t="str">
        <f>$Q$55&amp;"Proposed Station Fixed Costs"</f>
        <v>H1.SO1_PVSProposed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H1.SO1_PVS2024</v>
      </c>
      <c r="T57" s="274" t="str">
        <f>$Q$55&amp;"Proposed Station Variable O&amp;M Costs"</f>
        <v>H1.SO1_PVSProposed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235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IFERROR(LEFT(RIGHT(INDEX('Table 3 TransCost'!$39:$39,1,MATCH(F60,'Table 3 TransCost'!$4:$4,0)),6),5),"-")</f>
        <v>-</v>
      </c>
      <c r="C60" s="270">
        <f>IFERROR(INDEX('Table 3 TransCost'!$39:$39,1,MATCH(F60,'Table 3 TransCost'!$4:$4,0)+2),0)</f>
        <v>0</v>
      </c>
      <c r="D60" s="117" t="s">
        <v>218</v>
      </c>
      <c r="F60" s="274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1295.0860323886641</v>
      </c>
      <c r="D18" s="128">
        <f>C18*$C$62</f>
        <v>65.855124746963568</v>
      </c>
      <c r="E18" s="128">
        <f t="shared" si="1"/>
        <v>27.85</v>
      </c>
      <c r="F18" s="128">
        <f>C60</f>
        <v>0.39132049215213044</v>
      </c>
      <c r="G18" s="130">
        <f>(D18+E18+F18)/(8.76*$C$63)</f>
        <v>41.313858991533067</v>
      </c>
      <c r="H18" s="128">
        <f t="shared" si="2"/>
        <v>0</v>
      </c>
      <c r="I18" s="130">
        <f>(G18+H18)</f>
        <v>41.313858991533067</v>
      </c>
      <c r="J18" s="130">
        <f t="shared" ref="J18:J32" si="4">ROUND(I18*$C$63*8.76,2)</f>
        <v>94.1</v>
      </c>
      <c r="K18" s="128">
        <f t="shared" si="3"/>
        <v>94.09644523911571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67.37</v>
      </c>
      <c r="E19" s="128">
        <f t="shared" si="1"/>
        <v>28.49</v>
      </c>
      <c r="F19" s="128">
        <f t="shared" si="5"/>
        <v>0.4</v>
      </c>
      <c r="G19" s="130">
        <f t="shared" ref="G19:G37" si="6">(D19+E19+F19)/(8.76*$C$63)</f>
        <v>42.263786441868632</v>
      </c>
      <c r="H19" s="128">
        <f t="shared" si="2"/>
        <v>0</v>
      </c>
      <c r="I19" s="130">
        <f t="shared" ref="I19:I37" si="7">(G19+H19)</f>
        <v>42.263786441868632</v>
      </c>
      <c r="J19" s="130">
        <f t="shared" si="4"/>
        <v>96.26</v>
      </c>
      <c r="K19" s="128">
        <f t="shared" si="3"/>
        <v>96.26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68.92</v>
      </c>
      <c r="E20" s="128">
        <f t="shared" si="1"/>
        <v>29.15</v>
      </c>
      <c r="F20" s="128">
        <f t="shared" si="5"/>
        <v>0.41</v>
      </c>
      <c r="G20" s="130">
        <f t="shared" si="6"/>
        <v>43.238496663154194</v>
      </c>
      <c r="H20" s="128">
        <f t="shared" si="2"/>
        <v>0</v>
      </c>
      <c r="I20" s="130">
        <f t="shared" si="7"/>
        <v>43.238496663154194</v>
      </c>
      <c r="J20" s="130">
        <f t="shared" si="4"/>
        <v>98.48</v>
      </c>
      <c r="K20" s="128">
        <f t="shared" si="3"/>
        <v>98.47999999999999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70.510000000000005</v>
      </c>
      <c r="E21" s="128">
        <f t="shared" si="1"/>
        <v>29.82</v>
      </c>
      <c r="F21" s="128">
        <f t="shared" si="5"/>
        <v>0.42</v>
      </c>
      <c r="G21" s="130">
        <f t="shared" si="6"/>
        <v>44.235159817351601</v>
      </c>
      <c r="H21" s="128">
        <f t="shared" si="2"/>
        <v>0</v>
      </c>
      <c r="I21" s="130">
        <f t="shared" si="7"/>
        <v>44.235159817351601</v>
      </c>
      <c r="J21" s="130">
        <f t="shared" si="4"/>
        <v>100.75</v>
      </c>
      <c r="K21" s="128">
        <f t="shared" si="3"/>
        <v>100.75000000000001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72.13</v>
      </c>
      <c r="E22" s="128">
        <f t="shared" si="1"/>
        <v>30.51</v>
      </c>
      <c r="F22" s="128">
        <f t="shared" si="5"/>
        <v>0.43</v>
      </c>
      <c r="G22" s="130">
        <f t="shared" si="6"/>
        <v>45.253775904460838</v>
      </c>
      <c r="H22" s="128">
        <f t="shared" si="2"/>
        <v>0</v>
      </c>
      <c r="I22" s="130">
        <f t="shared" si="7"/>
        <v>45.253775904460838</v>
      </c>
      <c r="J22" s="130">
        <f t="shared" si="4"/>
        <v>103.07</v>
      </c>
      <c r="K22" s="128">
        <f t="shared" si="3"/>
        <v>103.07000000000001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73.86</v>
      </c>
      <c r="E23" s="128">
        <f t="shared" si="1"/>
        <v>31.24</v>
      </c>
      <c r="F23" s="128">
        <f t="shared" si="5"/>
        <v>0.44</v>
      </c>
      <c r="G23" s="130">
        <f t="shared" si="6"/>
        <v>46.33825079030558</v>
      </c>
      <c r="H23" s="128">
        <f t="shared" si="2"/>
        <v>0</v>
      </c>
      <c r="I23" s="130">
        <f t="shared" si="7"/>
        <v>46.33825079030558</v>
      </c>
      <c r="J23" s="130">
        <f t="shared" si="4"/>
        <v>105.54</v>
      </c>
      <c r="K23" s="128">
        <f t="shared" si="3"/>
        <v>105.53999999999999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75.56</v>
      </c>
      <c r="E24" s="128">
        <f t="shared" si="1"/>
        <v>31.96</v>
      </c>
      <c r="F24" s="128">
        <f t="shared" si="5"/>
        <v>0.45</v>
      </c>
      <c r="G24" s="130">
        <f t="shared" si="6"/>
        <v>47.405163329820866</v>
      </c>
      <c r="H24" s="128">
        <f t="shared" si="2"/>
        <v>0</v>
      </c>
      <c r="I24" s="130">
        <f t="shared" si="7"/>
        <v>47.405163329820866</v>
      </c>
      <c r="J24" s="130">
        <f t="shared" si="4"/>
        <v>107.97</v>
      </c>
      <c r="K24" s="128">
        <f t="shared" si="3"/>
        <v>107.97000000000001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</v>
      </c>
      <c r="E25" s="128">
        <f t="shared" si="1"/>
        <v>32.700000000000003</v>
      </c>
      <c r="F25" s="128">
        <f t="shared" si="5"/>
        <v>0.46</v>
      </c>
      <c r="G25" s="130">
        <f t="shared" si="6"/>
        <v>48.498419388830342</v>
      </c>
      <c r="H25" s="128">
        <f t="shared" si="2"/>
        <v>0</v>
      </c>
      <c r="I25" s="130">
        <f t="shared" si="7"/>
        <v>48.498419388830342</v>
      </c>
      <c r="J25" s="130">
        <f t="shared" si="4"/>
        <v>110.46</v>
      </c>
      <c r="K25" s="128">
        <f t="shared" si="3"/>
        <v>110.46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79.08</v>
      </c>
      <c r="E26" s="128">
        <f t="shared" si="1"/>
        <v>33.450000000000003</v>
      </c>
      <c r="F26" s="128">
        <f t="shared" si="5"/>
        <v>0.47</v>
      </c>
      <c r="G26" s="130">
        <f t="shared" si="6"/>
        <v>49.613628380751663</v>
      </c>
      <c r="H26" s="128">
        <f t="shared" si="2"/>
        <v>0</v>
      </c>
      <c r="I26" s="130">
        <f t="shared" si="7"/>
        <v>49.613628380751663</v>
      </c>
      <c r="J26" s="130">
        <f t="shared" si="4"/>
        <v>113</v>
      </c>
      <c r="K26" s="128">
        <f t="shared" si="3"/>
        <v>113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80.900000000000006</v>
      </c>
      <c r="E27" s="128">
        <f t="shared" si="1"/>
        <v>34.22</v>
      </c>
      <c r="F27" s="128">
        <f t="shared" si="5"/>
        <v>0.48</v>
      </c>
      <c r="G27" s="130">
        <f t="shared" si="6"/>
        <v>50.755180892167196</v>
      </c>
      <c r="H27" s="128">
        <f t="shared" si="2"/>
        <v>0</v>
      </c>
      <c r="I27" s="130">
        <f t="shared" si="7"/>
        <v>50.755180892167196</v>
      </c>
      <c r="J27" s="130">
        <f t="shared" si="4"/>
        <v>115.6</v>
      </c>
      <c r="K27" s="128">
        <f t="shared" si="3"/>
        <v>115.60000000000001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82.76</v>
      </c>
      <c r="E28" s="128">
        <f t="shared" si="1"/>
        <v>35.01</v>
      </c>
      <c r="F28" s="128">
        <f t="shared" si="5"/>
        <v>0.49</v>
      </c>
      <c r="G28" s="130">
        <f t="shared" si="6"/>
        <v>51.923076923076927</v>
      </c>
      <c r="H28" s="128">
        <f t="shared" si="2"/>
        <v>0</v>
      </c>
      <c r="I28" s="130">
        <f t="shared" si="7"/>
        <v>51.923076923076927</v>
      </c>
      <c r="J28" s="130">
        <f t="shared" si="4"/>
        <v>118.26</v>
      </c>
      <c r="K28" s="128">
        <f t="shared" si="3"/>
        <v>118.26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84.66</v>
      </c>
      <c r="E29" s="128">
        <f t="shared" si="1"/>
        <v>35.82</v>
      </c>
      <c r="F29" s="128">
        <f t="shared" si="5"/>
        <v>0.5</v>
      </c>
      <c r="G29" s="130">
        <f t="shared" si="6"/>
        <v>53.117316473480848</v>
      </c>
      <c r="H29" s="128">
        <f t="shared" si="2"/>
        <v>0</v>
      </c>
      <c r="I29" s="130">
        <f t="shared" si="7"/>
        <v>53.117316473480848</v>
      </c>
      <c r="J29" s="130">
        <f t="shared" si="4"/>
        <v>120.98</v>
      </c>
      <c r="K29" s="128">
        <f t="shared" si="3"/>
        <v>120.97999999999999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86.61</v>
      </c>
      <c r="E30" s="128">
        <f t="shared" si="1"/>
        <v>36.64</v>
      </c>
      <c r="F30" s="128">
        <f t="shared" si="5"/>
        <v>0.51</v>
      </c>
      <c r="G30" s="130">
        <f t="shared" si="6"/>
        <v>54.337899543378995</v>
      </c>
      <c r="H30" s="128">
        <f t="shared" si="2"/>
        <v>0</v>
      </c>
      <c r="I30" s="130">
        <f t="shared" si="7"/>
        <v>54.337899543378995</v>
      </c>
      <c r="J30" s="130">
        <f t="shared" si="4"/>
        <v>123.76</v>
      </c>
      <c r="K30" s="128">
        <f t="shared" si="3"/>
        <v>123.76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</v>
      </c>
      <c r="E31" s="128">
        <f t="shared" si="1"/>
        <v>37.479999999999997</v>
      </c>
      <c r="F31" s="128">
        <f t="shared" si="5"/>
        <v>0.52</v>
      </c>
      <c r="G31" s="130">
        <f t="shared" si="6"/>
        <v>55.584826132771326</v>
      </c>
      <c r="H31" s="128">
        <f t="shared" si="2"/>
        <v>0</v>
      </c>
      <c r="I31" s="130">
        <f t="shared" si="7"/>
        <v>55.584826132771326</v>
      </c>
      <c r="J31" s="130">
        <f t="shared" si="4"/>
        <v>126.6</v>
      </c>
      <c r="K31" s="128">
        <f t="shared" si="3"/>
        <v>126.59999999999998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90.64</v>
      </c>
      <c r="E32" s="128">
        <f t="shared" si="1"/>
        <v>38.340000000000003</v>
      </c>
      <c r="F32" s="128">
        <f t="shared" si="5"/>
        <v>0.53</v>
      </c>
      <c r="G32" s="130">
        <f t="shared" si="6"/>
        <v>56.862486828240257</v>
      </c>
      <c r="H32" s="128">
        <f t="shared" si="2"/>
        <v>0</v>
      </c>
      <c r="I32" s="130">
        <f t="shared" si="7"/>
        <v>56.862486828240257</v>
      </c>
      <c r="J32" s="130">
        <f t="shared" si="4"/>
        <v>129.51</v>
      </c>
      <c r="K32" s="128">
        <f t="shared" si="3"/>
        <v>129.51000000000002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92.72</v>
      </c>
      <c r="E33" s="128">
        <f t="shared" si="1"/>
        <v>39.22</v>
      </c>
      <c r="F33" s="128">
        <f t="shared" si="5"/>
        <v>0.54</v>
      </c>
      <c r="G33" s="130">
        <f t="shared" si="6"/>
        <v>58.166491043203365</v>
      </c>
      <c r="H33" s="128">
        <f t="shared" si="2"/>
        <v>0</v>
      </c>
      <c r="I33" s="130">
        <f t="shared" si="7"/>
        <v>58.166491043203365</v>
      </c>
      <c r="J33" s="130">
        <f t="shared" ref="J33:J37" si="8">ROUND(I33*$C$63*8.76,2)</f>
        <v>132.47999999999999</v>
      </c>
      <c r="K33" s="128">
        <f t="shared" si="3"/>
        <v>132.47999999999999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94.85</v>
      </c>
      <c r="E34" s="128">
        <f t="shared" si="1"/>
        <v>40.119999999999997</v>
      </c>
      <c r="F34" s="128">
        <f t="shared" si="5"/>
        <v>0.55000000000000004</v>
      </c>
      <c r="G34" s="130">
        <f t="shared" si="6"/>
        <v>59.501229364243066</v>
      </c>
      <c r="H34" s="128">
        <f t="shared" si="2"/>
        <v>0</v>
      </c>
      <c r="I34" s="130">
        <f t="shared" si="7"/>
        <v>59.501229364243066</v>
      </c>
      <c r="J34" s="130">
        <f t="shared" si="8"/>
        <v>135.52000000000001</v>
      </c>
      <c r="K34" s="128">
        <f t="shared" si="3"/>
        <v>135.52000000000001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96.94</v>
      </c>
      <c r="E35" s="128">
        <f t="shared" si="1"/>
        <v>41</v>
      </c>
      <c r="F35" s="128">
        <f t="shared" si="5"/>
        <v>0.56000000000000005</v>
      </c>
      <c r="G35" s="130">
        <f t="shared" si="6"/>
        <v>60.809624165788549</v>
      </c>
      <c r="H35" s="128">
        <f t="shared" si="2"/>
        <v>0</v>
      </c>
      <c r="I35" s="130">
        <f t="shared" si="7"/>
        <v>60.809624165788549</v>
      </c>
      <c r="J35" s="130">
        <f t="shared" si="8"/>
        <v>138.5</v>
      </c>
      <c r="K35" s="128">
        <f t="shared" si="3"/>
        <v>138.5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99.07</v>
      </c>
      <c r="E36" s="128">
        <f t="shared" si="1"/>
        <v>41.9</v>
      </c>
      <c r="F36" s="128">
        <f t="shared" si="5"/>
        <v>0.56999999999999995</v>
      </c>
      <c r="G36" s="130">
        <f t="shared" si="6"/>
        <v>62.144362486828236</v>
      </c>
      <c r="H36" s="128">
        <f t="shared" si="2"/>
        <v>0</v>
      </c>
      <c r="I36" s="130">
        <f t="shared" si="7"/>
        <v>62.144362486828236</v>
      </c>
      <c r="J36" s="130">
        <f t="shared" si="8"/>
        <v>141.54</v>
      </c>
      <c r="K36" s="128">
        <f t="shared" si="3"/>
        <v>141.54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101.35</v>
      </c>
      <c r="E37" s="128">
        <f t="shared" si="1"/>
        <v>42.86</v>
      </c>
      <c r="F37" s="128">
        <f t="shared" si="5"/>
        <v>0.57999999999999996</v>
      </c>
      <c r="G37" s="130">
        <f t="shared" si="6"/>
        <v>63.571303126097639</v>
      </c>
      <c r="H37" s="128">
        <f t="shared" si="2"/>
        <v>0</v>
      </c>
      <c r="I37" s="130">
        <f t="shared" si="7"/>
        <v>63.571303126097639</v>
      </c>
      <c r="J37" s="130">
        <f t="shared" si="8"/>
        <v>144.79</v>
      </c>
      <c r="K37" s="128">
        <f t="shared" si="3"/>
        <v>144.79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50">
        <v>395.2</v>
      </c>
      <c r="P55" s="117" t="s">
        <v>32</v>
      </c>
      <c r="Q55" s="274" t="s">
        <v>150</v>
      </c>
      <c r="R55" s="274" t="s">
        <v>108</v>
      </c>
      <c r="T55" s="274" t="str">
        <f>$Q$55&amp;"Proposed Station Capital Costs"</f>
        <v>L1.YK1_PVSProposed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50"/>
      <c r="P56" s="117" t="s">
        <v>32</v>
      </c>
      <c r="Q56" s="274"/>
      <c r="R56" s="119"/>
      <c r="T56" s="274" t="str">
        <f>$Q$55&amp;"Proposed Station Fixed Costs"</f>
        <v>L1.YK1_PVSProposed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L1.YK1_PVS2024</v>
      </c>
      <c r="T57" s="274" t="str">
        <f>$Q$55&amp;"Proposed Station Variable O&amp;M Costs"</f>
        <v>L1.YK1_PVSProposed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235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G26" sqref="G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T5" s="119"/>
      <c r="U5" s="119"/>
      <c r="V5" s="119"/>
      <c r="W5" s="119"/>
      <c r="X5" s="119"/>
      <c r="Y5" s="213"/>
      <c r="Z5" s="213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47">
        <v>1230.020455873758</v>
      </c>
      <c r="D18" s="128">
        <f>C18*$C$65</f>
        <v>62.546540181180596</v>
      </c>
      <c r="E18" s="128">
        <f t="shared" si="1"/>
        <v>27.85</v>
      </c>
      <c r="F18" s="128">
        <f>C63</f>
        <v>2.5818101631996475</v>
      </c>
      <c r="G18" s="130">
        <f t="shared" ref="G18:G37" si="4">(D18+E18+F18)/(8.76*$C$66)</f>
        <v>35.262348618903602</v>
      </c>
      <c r="H18" s="128">
        <f t="shared" si="2"/>
        <v>0</v>
      </c>
      <c r="I18" s="130">
        <f>(G18+H18)</f>
        <v>35.262348618903602</v>
      </c>
      <c r="J18" s="130">
        <f t="shared" ref="J18:J37" si="5">ROUND(I18*$C$66*8.76,2)</f>
        <v>92.98</v>
      </c>
      <c r="K18" s="128">
        <f t="shared" si="3"/>
        <v>92.978350344380246</v>
      </c>
      <c r="L18" s="119"/>
      <c r="N18" s="117"/>
      <c r="P18" s="280"/>
      <c r="Q18" s="153"/>
      <c r="R18" s="119"/>
      <c r="T18" s="161"/>
      <c r="U18" s="153"/>
      <c r="V18" s="153"/>
      <c r="X18" s="153"/>
      <c r="Y18" s="153"/>
      <c r="Z18" s="153"/>
      <c r="AA18" s="279"/>
      <c r="AB18" s="279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63.99</v>
      </c>
      <c r="E19" s="128">
        <f t="shared" si="1"/>
        <v>28.49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36.074576374034805</v>
      </c>
      <c r="H19" s="128">
        <f t="shared" si="2"/>
        <v>0</v>
      </c>
      <c r="I19" s="130">
        <f t="shared" ref="I19:I37" si="8">(G19+H19)</f>
        <v>36.074576374034805</v>
      </c>
      <c r="J19" s="130">
        <f t="shared" si="5"/>
        <v>95.12</v>
      </c>
      <c r="K19" s="128">
        <f t="shared" si="3"/>
        <v>95.12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65.459999999999994</v>
      </c>
      <c r="E20" s="128">
        <f t="shared" si="1"/>
        <v>29.15</v>
      </c>
      <c r="F20" s="128">
        <f t="shared" si="7"/>
        <v>2.7</v>
      </c>
      <c r="G20" s="130">
        <f t="shared" si="4"/>
        <v>36.905141158087957</v>
      </c>
      <c r="H20" s="128">
        <f t="shared" si="2"/>
        <v>0</v>
      </c>
      <c r="I20" s="130">
        <f t="shared" si="8"/>
        <v>36.905141158087957</v>
      </c>
      <c r="J20" s="130">
        <f t="shared" si="5"/>
        <v>97.31</v>
      </c>
      <c r="K20" s="128">
        <f t="shared" si="3"/>
        <v>97.309999999999988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66.97</v>
      </c>
      <c r="E21" s="128">
        <f t="shared" si="1"/>
        <v>29.82</v>
      </c>
      <c r="F21" s="128">
        <f t="shared" si="7"/>
        <v>2.76</v>
      </c>
      <c r="G21" s="130">
        <f t="shared" si="4"/>
        <v>37.754668608443701</v>
      </c>
      <c r="H21" s="128">
        <f t="shared" si="2"/>
        <v>0</v>
      </c>
      <c r="I21" s="130">
        <f t="shared" si="8"/>
        <v>37.754668608443701</v>
      </c>
      <c r="J21" s="130">
        <f t="shared" si="5"/>
        <v>99.55</v>
      </c>
      <c r="K21" s="128">
        <f t="shared" si="3"/>
        <v>99.55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68.510000000000005</v>
      </c>
      <c r="E22" s="128">
        <f t="shared" si="1"/>
        <v>30.51</v>
      </c>
      <c r="F22" s="128">
        <f t="shared" si="7"/>
        <v>2.82</v>
      </c>
      <c r="G22" s="130">
        <f t="shared" si="4"/>
        <v>38.623158725102023</v>
      </c>
      <c r="H22" s="128">
        <f t="shared" si="2"/>
        <v>0</v>
      </c>
      <c r="I22" s="130">
        <f t="shared" si="8"/>
        <v>38.623158725102023</v>
      </c>
      <c r="J22" s="130">
        <f t="shared" si="5"/>
        <v>101.84</v>
      </c>
      <c r="K22" s="128">
        <f t="shared" si="3"/>
        <v>101.84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70.150000000000006</v>
      </c>
      <c r="E23" s="128">
        <f t="shared" si="1"/>
        <v>31.24</v>
      </c>
      <c r="F23" s="128">
        <f t="shared" si="7"/>
        <v>2.89</v>
      </c>
      <c r="G23" s="130">
        <f t="shared" si="4"/>
        <v>39.548536840668099</v>
      </c>
      <c r="H23" s="128">
        <f t="shared" si="2"/>
        <v>0</v>
      </c>
      <c r="I23" s="130">
        <f t="shared" si="8"/>
        <v>39.548536840668099</v>
      </c>
      <c r="J23" s="130">
        <f t="shared" si="5"/>
        <v>104.28</v>
      </c>
      <c r="K23" s="128">
        <f t="shared" si="3"/>
        <v>104.28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71.760000000000005</v>
      </c>
      <c r="E24" s="128">
        <f t="shared" si="1"/>
        <v>31.96</v>
      </c>
      <c r="F24" s="128">
        <f t="shared" si="7"/>
        <v>2.96</v>
      </c>
      <c r="G24" s="130">
        <f t="shared" si="4"/>
        <v>40.458744823192099</v>
      </c>
      <c r="H24" s="128">
        <f t="shared" si="2"/>
        <v>0</v>
      </c>
      <c r="I24" s="130">
        <f t="shared" si="8"/>
        <v>40.458744823192099</v>
      </c>
      <c r="J24" s="130">
        <f t="shared" si="5"/>
        <v>106.68</v>
      </c>
      <c r="K24" s="128">
        <f t="shared" si="3"/>
        <v>106.67999999999999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73.41</v>
      </c>
      <c r="E25" s="128">
        <f t="shared" si="1"/>
        <v>32.700000000000003</v>
      </c>
      <c r="F25" s="128">
        <f t="shared" si="7"/>
        <v>3.03</v>
      </c>
      <c r="G25" s="130">
        <f t="shared" si="4"/>
        <v>41.391708005279213</v>
      </c>
      <c r="H25" s="128">
        <f t="shared" si="2"/>
        <v>0</v>
      </c>
      <c r="I25" s="130">
        <f t="shared" si="8"/>
        <v>41.391708005279213</v>
      </c>
      <c r="J25" s="130">
        <f t="shared" si="5"/>
        <v>109.14</v>
      </c>
      <c r="K25" s="128">
        <f t="shared" si="3"/>
        <v>109.14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75.099999999999994</v>
      </c>
      <c r="E26" s="128">
        <f t="shared" si="1"/>
        <v>33.450000000000003</v>
      </c>
      <c r="F26" s="128">
        <f t="shared" si="7"/>
        <v>3.1</v>
      </c>
      <c r="G26" s="130">
        <f t="shared" si="4"/>
        <v>42.343633853668898</v>
      </c>
      <c r="H26" s="128">
        <f t="shared" si="2"/>
        <v>0</v>
      </c>
      <c r="I26" s="130">
        <f t="shared" si="8"/>
        <v>42.343633853668898</v>
      </c>
      <c r="J26" s="130">
        <f t="shared" si="5"/>
        <v>111.65</v>
      </c>
      <c r="K26" s="128">
        <f t="shared" si="3"/>
        <v>111.64999999999999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76.83</v>
      </c>
      <c r="E27" s="128">
        <f t="shared" si="1"/>
        <v>34.22</v>
      </c>
      <c r="F27" s="128">
        <f t="shared" si="7"/>
        <v>3.17</v>
      </c>
      <c r="G27" s="130">
        <f t="shared" si="4"/>
        <v>43.31831490162169</v>
      </c>
      <c r="H27" s="128">
        <f t="shared" si="2"/>
        <v>0</v>
      </c>
      <c r="I27" s="130">
        <f t="shared" si="8"/>
        <v>43.31831490162169</v>
      </c>
      <c r="J27" s="130">
        <f t="shared" si="5"/>
        <v>114.22</v>
      </c>
      <c r="K27" s="128">
        <f t="shared" si="3"/>
        <v>114.22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78.599999999999994</v>
      </c>
      <c r="E28" s="128">
        <f t="shared" si="1"/>
        <v>35.01</v>
      </c>
      <c r="F28" s="128">
        <f t="shared" si="7"/>
        <v>3.24</v>
      </c>
      <c r="G28" s="130">
        <f t="shared" si="4"/>
        <v>44.315751149137576</v>
      </c>
      <c r="H28" s="128">
        <f t="shared" si="2"/>
        <v>0</v>
      </c>
      <c r="I28" s="130">
        <f t="shared" si="8"/>
        <v>44.315751149137576</v>
      </c>
      <c r="J28" s="130">
        <f t="shared" si="5"/>
        <v>116.85</v>
      </c>
      <c r="K28" s="128">
        <f t="shared" si="3"/>
        <v>116.84999999999998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80.41</v>
      </c>
      <c r="E29" s="128">
        <f t="shared" si="1"/>
        <v>35.82</v>
      </c>
      <c r="F29" s="128">
        <f t="shared" si="7"/>
        <v>3.31</v>
      </c>
      <c r="G29" s="130">
        <f t="shared" si="4"/>
        <v>45.335942596216569</v>
      </c>
      <c r="H29" s="128">
        <f t="shared" si="2"/>
        <v>0</v>
      </c>
      <c r="I29" s="130">
        <f t="shared" si="8"/>
        <v>45.335942596216569</v>
      </c>
      <c r="J29" s="130">
        <f t="shared" si="5"/>
        <v>119.54</v>
      </c>
      <c r="K29" s="128">
        <f t="shared" si="3"/>
        <v>119.53999999999999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82.26</v>
      </c>
      <c r="E30" s="128">
        <f t="shared" si="1"/>
        <v>36.64</v>
      </c>
      <c r="F30" s="128">
        <f t="shared" si="7"/>
        <v>3.39</v>
      </c>
      <c r="G30" s="130">
        <f t="shared" si="4"/>
        <v>46.378889242858669</v>
      </c>
      <c r="H30" s="128">
        <f t="shared" si="2"/>
        <v>0</v>
      </c>
      <c r="I30" s="130">
        <f t="shared" si="8"/>
        <v>46.378889242858669</v>
      </c>
      <c r="J30" s="130">
        <f t="shared" si="5"/>
        <v>122.29</v>
      </c>
      <c r="K30" s="128">
        <f t="shared" si="3"/>
        <v>122.29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84.15</v>
      </c>
      <c r="E31" s="128">
        <f t="shared" si="1"/>
        <v>37.479999999999997</v>
      </c>
      <c r="F31" s="128">
        <f t="shared" si="7"/>
        <v>3.47</v>
      </c>
      <c r="G31" s="130">
        <f t="shared" si="4"/>
        <v>47.444591089063856</v>
      </c>
      <c r="H31" s="128">
        <f t="shared" si="2"/>
        <v>0</v>
      </c>
      <c r="I31" s="130">
        <f t="shared" si="8"/>
        <v>47.444591089063856</v>
      </c>
      <c r="J31" s="130">
        <f t="shared" si="5"/>
        <v>125.1</v>
      </c>
      <c r="K31" s="128">
        <f t="shared" si="3"/>
        <v>125.1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86.09</v>
      </c>
      <c r="E32" s="128">
        <f t="shared" si="1"/>
        <v>38.340000000000003</v>
      </c>
      <c r="F32" s="128">
        <f t="shared" si="7"/>
        <v>3.55</v>
      </c>
      <c r="G32" s="130">
        <f t="shared" si="4"/>
        <v>48.536840668092665</v>
      </c>
      <c r="H32" s="128">
        <f t="shared" si="2"/>
        <v>0</v>
      </c>
      <c r="I32" s="130">
        <f t="shared" si="8"/>
        <v>48.536840668092665</v>
      </c>
      <c r="J32" s="130">
        <f t="shared" si="5"/>
        <v>127.98</v>
      </c>
      <c r="K32" s="128">
        <f t="shared" si="3"/>
        <v>127.98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88.07</v>
      </c>
      <c r="E33" s="128">
        <f t="shared" si="1"/>
        <v>39.22</v>
      </c>
      <c r="F33" s="128">
        <f t="shared" si="7"/>
        <v>3.63</v>
      </c>
      <c r="G33" s="130">
        <f t="shared" si="4"/>
        <v>49.651845446684568</v>
      </c>
      <c r="H33" s="128">
        <f t="shared" si="2"/>
        <v>0</v>
      </c>
      <c r="I33" s="130">
        <f t="shared" si="8"/>
        <v>49.651845446684568</v>
      </c>
      <c r="J33" s="130">
        <f t="shared" si="5"/>
        <v>130.91999999999999</v>
      </c>
      <c r="K33" s="128">
        <f t="shared" si="3"/>
        <v>130.91999999999999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90.1</v>
      </c>
      <c r="E34" s="128">
        <f t="shared" si="1"/>
        <v>40.119999999999997</v>
      </c>
      <c r="F34" s="128">
        <f t="shared" si="7"/>
        <v>3.71</v>
      </c>
      <c r="G34" s="130">
        <f t="shared" si="4"/>
        <v>50.793397958100101</v>
      </c>
      <c r="H34" s="128">
        <f t="shared" si="2"/>
        <v>0</v>
      </c>
      <c r="I34" s="130">
        <f t="shared" si="8"/>
        <v>50.793397958100101</v>
      </c>
      <c r="J34" s="130">
        <f t="shared" si="5"/>
        <v>133.93</v>
      </c>
      <c r="K34" s="128">
        <f t="shared" si="3"/>
        <v>133.93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92.08</v>
      </c>
      <c r="E35" s="128">
        <f t="shared" si="1"/>
        <v>41</v>
      </c>
      <c r="F35" s="128">
        <f t="shared" si="7"/>
        <v>3.79</v>
      </c>
      <c r="G35" s="130">
        <f t="shared" si="4"/>
        <v>51.908402736691997</v>
      </c>
      <c r="H35" s="128">
        <f t="shared" si="2"/>
        <v>0</v>
      </c>
      <c r="I35" s="130">
        <f t="shared" si="8"/>
        <v>51.908402736691997</v>
      </c>
      <c r="J35" s="130">
        <f t="shared" si="5"/>
        <v>136.87</v>
      </c>
      <c r="K35" s="128">
        <f t="shared" si="3"/>
        <v>136.86999999999998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94.11</v>
      </c>
      <c r="E36" s="128">
        <f t="shared" si="1"/>
        <v>41.9</v>
      </c>
      <c r="F36" s="128">
        <f t="shared" si="7"/>
        <v>3.87</v>
      </c>
      <c r="G36" s="130">
        <f t="shared" si="4"/>
        <v>53.04995524810753</v>
      </c>
      <c r="H36" s="128">
        <f t="shared" si="2"/>
        <v>0</v>
      </c>
      <c r="I36" s="130">
        <f t="shared" si="8"/>
        <v>53.04995524810753</v>
      </c>
      <c r="J36" s="130">
        <f t="shared" si="5"/>
        <v>139.88</v>
      </c>
      <c r="K36" s="128">
        <f t="shared" si="3"/>
        <v>139.88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96.27</v>
      </c>
      <c r="E37" s="128">
        <f t="shared" si="1"/>
        <v>42.86</v>
      </c>
      <c r="F37" s="128">
        <f t="shared" si="7"/>
        <v>3.96</v>
      </c>
      <c r="G37" s="130">
        <f t="shared" si="4"/>
        <v>54.267358424733388</v>
      </c>
      <c r="H37" s="128">
        <f t="shared" si="2"/>
        <v>0</v>
      </c>
      <c r="I37" s="130">
        <f t="shared" si="8"/>
        <v>54.267358424733388</v>
      </c>
      <c r="J37" s="130">
        <f t="shared" si="5"/>
        <v>143.09</v>
      </c>
      <c r="K37" s="128">
        <f t="shared" si="3"/>
        <v>143.09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96.27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42.86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3.96</v>
      </c>
      <c r="G38" s="130">
        <f t="shared" ref="G38:G40" si="12">(D38+E38+F38)/(8.76*$C$66)</f>
        <v>54.267358424733388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54.267358424733388</v>
      </c>
      <c r="J38" s="130">
        <f t="shared" ref="J38:J41" si="15">ROUND(I38*$C$66*8.76,2)</f>
        <v>143.09</v>
      </c>
      <c r="K38" s="128">
        <f t="shared" ref="K38:K40" si="16">(D38+E38+F38)</f>
        <v>143.09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96.27</v>
      </c>
      <c r="E39" s="128">
        <f t="shared" si="10"/>
        <v>42.86</v>
      </c>
      <c r="F39" s="128">
        <f t="shared" si="11"/>
        <v>3.96</v>
      </c>
      <c r="G39" s="130">
        <f t="shared" si="12"/>
        <v>54.267358424733388</v>
      </c>
      <c r="H39" s="128">
        <f t="shared" si="13"/>
        <v>0</v>
      </c>
      <c r="I39" s="130">
        <f t="shared" si="14"/>
        <v>54.267358424733388</v>
      </c>
      <c r="J39" s="130">
        <f t="shared" si="15"/>
        <v>143.09</v>
      </c>
      <c r="K39" s="128">
        <f t="shared" si="16"/>
        <v>143.09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96.27</v>
      </c>
      <c r="E40" s="128">
        <f t="shared" si="10"/>
        <v>42.86</v>
      </c>
      <c r="F40" s="128">
        <f t="shared" si="11"/>
        <v>3.96</v>
      </c>
      <c r="G40" s="130">
        <f t="shared" si="12"/>
        <v>54.267358424733388</v>
      </c>
      <c r="H40" s="128">
        <f t="shared" si="13"/>
        <v>0</v>
      </c>
      <c r="I40" s="130">
        <f t="shared" si="14"/>
        <v>54.267358424733388</v>
      </c>
      <c r="J40" s="130">
        <f t="shared" si="15"/>
        <v>143.09</v>
      </c>
      <c r="K40" s="128">
        <f t="shared" si="16"/>
        <v>143.09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96.27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42.86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3.96</v>
      </c>
      <c r="G41" s="130">
        <f t="shared" ref="G41" si="20">(D41+E41+F41)/(8.76*$C$66)</f>
        <v>54.267358424733388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54.267358424733388</v>
      </c>
      <c r="J41" s="130">
        <f t="shared" si="15"/>
        <v>143.09</v>
      </c>
      <c r="K41" s="128">
        <f t="shared" ref="K41" si="23">(D41+E41+F41)</f>
        <v>143.09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4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2">
        <v>342.2</v>
      </c>
      <c r="P58" s="117" t="s">
        <v>32</v>
      </c>
      <c r="Q58" s="274" t="s">
        <v>142</v>
      </c>
      <c r="R58" s="274" t="s">
        <v>108</v>
      </c>
      <c r="T58" s="274" t="str">
        <f>$Q$58&amp;"Proposed Station Capital Costs"</f>
        <v>L1.UN1_PVSProposed Station Capital Costs</v>
      </c>
    </row>
    <row r="59" spans="2:25">
      <c r="B59" s="85" t="s">
        <v>101</v>
      </c>
      <c r="C59" s="268">
        <v>24.570618817436728</v>
      </c>
      <c r="D59" s="117" t="s">
        <v>68</v>
      </c>
      <c r="R59" s="119"/>
      <c r="T59" s="274" t="str">
        <f>$Q$58&amp;"Proposed Station Fixed Costs"</f>
        <v>L1.UN1_PVSProposed Station Fixed Costs</v>
      </c>
    </row>
    <row r="60" spans="2:25" ht="24" customHeight="1">
      <c r="B60" s="85"/>
      <c r="C60" s="270"/>
      <c r="D60" s="117" t="s">
        <v>105</v>
      </c>
      <c r="Q60" s="346" t="str">
        <f>Q58&amp;Q57</f>
        <v>L1.UN1_PVS2024</v>
      </c>
      <c r="T60" s="274" t="str">
        <f>$Q$58&amp;"Proposed Station Variable O&amp;M Costs"</f>
        <v>L1.UN1_PVSProposed Station Variable O&amp;M Costs</v>
      </c>
    </row>
    <row r="61" spans="2:25">
      <c r="B61" s="85" t="s">
        <v>101</v>
      </c>
      <c r="C61" s="268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235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6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69" t="str">
        <f>LEFT(RIGHT(INDEX('Table 3 TransCost'!$39:$39,1,MATCH(F63,'Table 3 TransCost'!$4:$4,0)),6),5)</f>
        <v>2024$</v>
      </c>
      <c r="C63" s="270">
        <f>INDEX('Table 3 TransCost'!$39:$39,1,MATCH(F63,'Table 3 TransCost'!$4:$4,0)+2)</f>
        <v>2.5818101631996475</v>
      </c>
      <c r="D63" s="117" t="s">
        <v>218</v>
      </c>
      <c r="F63" s="274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99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69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7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June 30, 2021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2.3E-2</v>
      </c>
      <c r="H69" s="41"/>
      <c r="I69" s="87">
        <f>F77+1</f>
        <v>2035</v>
      </c>
      <c r="J69" s="41">
        <v>2.3E-2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2.4E-2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3.2000000000000001E-2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2.1999999999999999E-2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2.1000000000000001E-2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2.1999999999999999E-2</v>
      </c>
      <c r="N75" s="164"/>
    </row>
    <row r="76" spans="3:15" s="119" customFormat="1">
      <c r="C76" s="87">
        <f t="shared" si="24"/>
        <v>2024</v>
      </c>
      <c r="D76" s="41">
        <v>2.1999999999999999E-2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2.1999999999999999E-2</v>
      </c>
      <c r="N76" s="164"/>
    </row>
    <row r="77" spans="3:15" s="119" customFormat="1">
      <c r="C77" s="87">
        <f t="shared" si="24"/>
        <v>2025</v>
      </c>
      <c r="D77" s="41">
        <v>2.3E-2</v>
      </c>
      <c r="E77" s="86"/>
      <c r="F77" s="87">
        <f t="shared" si="25"/>
        <v>2034</v>
      </c>
      <c r="G77" s="41">
        <v>2.3E-2</v>
      </c>
      <c r="H77" s="41"/>
      <c r="I77" s="87">
        <f t="shared" si="26"/>
        <v>2043</v>
      </c>
      <c r="J77" s="41">
        <v>2.3E-2</v>
      </c>
      <c r="N77" s="164"/>
    </row>
    <row r="78" spans="3:15" s="119" customFormat="1">
      <c r="I78" s="87">
        <f t="shared" si="26"/>
        <v>2044</v>
      </c>
      <c r="J78" s="41">
        <v>2.1999999999999999E-2</v>
      </c>
      <c r="N78" s="164"/>
    </row>
    <row r="79" spans="3:15" s="119" customFormat="1">
      <c r="I79" s="87">
        <f t="shared" si="26"/>
        <v>2045</v>
      </c>
      <c r="J79" s="41">
        <v>2.3E-2</v>
      </c>
      <c r="N79" s="164"/>
    </row>
    <row r="80" spans="3:15">
      <c r="I80" s="87">
        <f t="shared" si="26"/>
        <v>2046</v>
      </c>
      <c r="J80" s="41">
        <v>2.3E-2</v>
      </c>
    </row>
    <row r="81" spans="3:10">
      <c r="I81" s="87">
        <f t="shared" si="26"/>
        <v>2047</v>
      </c>
      <c r="J81" s="41">
        <v>2.3E-2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H38" sqref="H38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31" ht="15.75">
      <c r="B2" s="1"/>
      <c r="C2" s="283"/>
      <c r="D2" s="283"/>
      <c r="E2" s="283"/>
      <c r="F2" s="283"/>
      <c r="G2" s="283"/>
      <c r="H2" s="283"/>
      <c r="I2" s="283"/>
      <c r="J2" s="283"/>
      <c r="K2" s="283"/>
    </row>
    <row r="3" spans="2:31" ht="15.75">
      <c r="B3" s="1" t="s">
        <v>56</v>
      </c>
      <c r="C3" s="283"/>
      <c r="D3" s="283"/>
      <c r="E3" s="283"/>
      <c r="F3" s="283"/>
      <c r="G3" s="283"/>
      <c r="H3" s="283"/>
      <c r="I3" s="283"/>
      <c r="J3" s="283"/>
      <c r="K3" s="283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3"/>
      <c r="D4" s="283"/>
      <c r="E4" s="283"/>
      <c r="F4" s="283"/>
      <c r="G4" s="283"/>
      <c r="H4" s="283"/>
      <c r="I4" s="283"/>
      <c r="J4" s="283"/>
      <c r="K4" s="283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31" ht="15.75">
      <c r="B6" s="1"/>
      <c r="C6" s="283"/>
      <c r="D6" s="283"/>
      <c r="E6" s="283"/>
      <c r="F6" s="283"/>
      <c r="G6" s="283"/>
      <c r="H6" s="283"/>
      <c r="I6" s="283"/>
      <c r="K6" s="284"/>
    </row>
    <row r="7" spans="2:31">
      <c r="B7" s="285"/>
      <c r="C7" s="285"/>
      <c r="D7" s="285"/>
      <c r="E7" s="285"/>
      <c r="F7" s="285"/>
      <c r="G7" s="285"/>
      <c r="H7" s="285"/>
      <c r="I7" s="283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6" t="s">
        <v>21</v>
      </c>
      <c r="J8" s="286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7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81"/>
      <c r="AA9" s="381"/>
      <c r="AB9" s="119"/>
      <c r="AC9" s="119"/>
      <c r="AD9" s="86"/>
      <c r="AE9" s="86"/>
    </row>
    <row r="10" spans="2:31">
      <c r="C10" s="288" t="s">
        <v>1</v>
      </c>
      <c r="D10" s="288" t="s">
        <v>2</v>
      </c>
      <c r="E10" s="288" t="s">
        <v>3</v>
      </c>
      <c r="F10" s="288" t="s">
        <v>4</v>
      </c>
      <c r="G10" s="288" t="s">
        <v>5</v>
      </c>
      <c r="H10" s="288" t="s">
        <v>7</v>
      </c>
      <c r="I10" s="288" t="s">
        <v>22</v>
      </c>
      <c r="J10" s="288" t="s">
        <v>23</v>
      </c>
      <c r="K10" s="288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5"/>
      <c r="J12" s="285"/>
      <c r="K12" s="285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95" customHeight="1">
      <c r="B13" s="289"/>
      <c r="C13" s="290"/>
      <c r="D13" s="291"/>
      <c r="E13" s="292"/>
      <c r="F13" s="292"/>
      <c r="G13" s="293"/>
      <c r="H13" s="293"/>
      <c r="I13" s="293"/>
      <c r="J13" s="293"/>
      <c r="K13" s="293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89">
        <v>2016</v>
      </c>
      <c r="C14" s="290"/>
      <c r="D14" s="291"/>
      <c r="E14" s="292"/>
      <c r="F14" s="292"/>
      <c r="G14" s="293"/>
      <c r="H14" s="293"/>
      <c r="I14" s="293"/>
      <c r="J14" s="293"/>
      <c r="K14" s="293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89">
        <f t="shared" ref="B15:B40" si="0">B14+1</f>
        <v>2017</v>
      </c>
      <c r="C15" s="294"/>
      <c r="D15" s="291"/>
      <c r="E15" s="291"/>
      <c r="F15" s="291"/>
      <c r="G15" s="295"/>
      <c r="H15" s="295"/>
      <c r="I15" s="293"/>
      <c r="J15" s="293"/>
      <c r="K15" s="293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89">
        <f t="shared" si="0"/>
        <v>2018</v>
      </c>
      <c r="C16" s="290"/>
      <c r="D16" s="291"/>
      <c r="E16" s="128"/>
      <c r="F16" s="292">
        <f>$J$63</f>
        <v>7.76</v>
      </c>
      <c r="G16" s="293"/>
      <c r="H16" s="293"/>
      <c r="I16" s="293"/>
      <c r="J16" s="293"/>
      <c r="K16" s="293"/>
      <c r="L16" s="128">
        <f t="shared" ref="L16:L40" si="1">(E16+F16+G16)</f>
        <v>7.76</v>
      </c>
      <c r="M16" s="41"/>
      <c r="U16" s="164"/>
      <c r="V16" s="160"/>
      <c r="W16" s="160"/>
      <c r="X16" s="382"/>
      <c r="Y16" s="119"/>
      <c r="Z16" s="160"/>
      <c r="AA16" s="160"/>
      <c r="AB16" s="119"/>
      <c r="AC16" s="119"/>
      <c r="AD16" s="86"/>
      <c r="AE16" s="86"/>
    </row>
    <row r="17" spans="2:31">
      <c r="B17" s="289">
        <f t="shared" si="0"/>
        <v>2019</v>
      </c>
      <c r="C17" s="294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3"/>
      <c r="H17" s="293"/>
      <c r="I17" s="293"/>
      <c r="J17" s="293"/>
      <c r="K17" s="293"/>
      <c r="L17" s="128">
        <f t="shared" si="1"/>
        <v>7.9</v>
      </c>
      <c r="M17" s="41"/>
      <c r="U17" s="164"/>
      <c r="V17" s="119"/>
      <c r="W17" s="160"/>
      <c r="X17" s="382"/>
      <c r="Y17" s="119"/>
      <c r="Z17" s="160"/>
      <c r="AA17" s="160"/>
      <c r="AB17" s="119"/>
      <c r="AC17" s="119"/>
      <c r="AD17" s="86"/>
      <c r="AE17" s="86"/>
    </row>
    <row r="18" spans="2:31">
      <c r="B18" s="289">
        <f t="shared" si="0"/>
        <v>2020</v>
      </c>
      <c r="C18" s="294"/>
      <c r="D18" s="128"/>
      <c r="E18" s="128"/>
      <c r="F18" s="128">
        <f t="shared" si="2"/>
        <v>7.99</v>
      </c>
      <c r="G18" s="293"/>
      <c r="H18" s="293"/>
      <c r="I18" s="293"/>
      <c r="J18" s="293"/>
      <c r="K18" s="293"/>
      <c r="L18" s="128">
        <f t="shared" si="1"/>
        <v>7.99</v>
      </c>
      <c r="M18" s="41"/>
      <c r="U18" s="164"/>
      <c r="V18" s="119"/>
      <c r="W18" s="160"/>
      <c r="X18" s="382"/>
      <c r="Y18" s="119"/>
      <c r="Z18" s="160"/>
      <c r="AA18" s="160"/>
      <c r="AB18" s="119"/>
      <c r="AC18" s="119"/>
      <c r="AD18" s="86"/>
      <c r="AE18" s="86"/>
    </row>
    <row r="19" spans="2:31">
      <c r="B19" s="289">
        <f t="shared" si="0"/>
        <v>2021</v>
      </c>
      <c r="C19" s="294"/>
      <c r="D19" s="128"/>
      <c r="E19" s="128"/>
      <c r="F19" s="128">
        <f t="shared" si="2"/>
        <v>8.25</v>
      </c>
      <c r="G19" s="293"/>
      <c r="H19" s="293"/>
      <c r="I19" s="293"/>
      <c r="J19" s="293"/>
      <c r="K19" s="293"/>
      <c r="L19" s="128">
        <f t="shared" si="1"/>
        <v>8.25</v>
      </c>
      <c r="M19" s="41"/>
      <c r="U19" s="164"/>
      <c r="V19" s="160"/>
      <c r="W19" s="160"/>
      <c r="X19" s="382"/>
      <c r="Y19" s="160"/>
      <c r="Z19" s="160"/>
      <c r="AA19" s="160"/>
      <c r="AB19" s="119"/>
      <c r="AC19" s="119"/>
      <c r="AD19" s="86"/>
      <c r="AE19" s="86"/>
    </row>
    <row r="20" spans="2:31">
      <c r="B20" s="289">
        <f t="shared" si="0"/>
        <v>2022</v>
      </c>
      <c r="C20" s="294"/>
      <c r="D20" s="128"/>
      <c r="E20" s="128"/>
      <c r="F20" s="128">
        <f t="shared" si="2"/>
        <v>8.43</v>
      </c>
      <c r="G20" s="293"/>
      <c r="H20" s="293"/>
      <c r="I20" s="293"/>
      <c r="J20" s="293"/>
      <c r="K20" s="293"/>
      <c r="L20" s="128">
        <f t="shared" si="1"/>
        <v>8.43</v>
      </c>
      <c r="M20" s="41"/>
      <c r="U20" s="164"/>
      <c r="V20" s="160"/>
      <c r="W20" s="160"/>
      <c r="X20" s="382"/>
      <c r="Y20" s="160"/>
      <c r="Z20" s="160"/>
      <c r="AA20" s="160"/>
      <c r="AB20" s="119"/>
      <c r="AC20" s="119"/>
      <c r="AD20" s="86"/>
      <c r="AE20" s="86"/>
    </row>
    <row r="21" spans="2:31">
      <c r="B21" s="289">
        <f t="shared" si="0"/>
        <v>2023</v>
      </c>
      <c r="C21" s="294"/>
      <c r="D21" s="128"/>
      <c r="E21" s="128"/>
      <c r="F21" s="128">
        <f t="shared" si="2"/>
        <v>8.61</v>
      </c>
      <c r="G21" s="293"/>
      <c r="H21" s="293"/>
      <c r="I21" s="293"/>
      <c r="J21" s="293"/>
      <c r="K21" s="293"/>
      <c r="L21" s="128">
        <f t="shared" si="1"/>
        <v>8.61</v>
      </c>
      <c r="M21" s="41"/>
      <c r="U21" s="164"/>
      <c r="V21" s="160"/>
      <c r="W21" s="160"/>
      <c r="X21" s="382"/>
      <c r="Y21" s="160"/>
      <c r="Z21" s="160"/>
      <c r="AA21" s="160"/>
      <c r="AB21" s="119"/>
      <c r="AC21" s="119"/>
      <c r="AD21" s="86"/>
      <c r="AE21" s="86"/>
    </row>
    <row r="22" spans="2:31">
      <c r="B22" s="289">
        <f t="shared" si="0"/>
        <v>2024</v>
      </c>
      <c r="C22" s="294"/>
      <c r="D22" s="128"/>
      <c r="E22" s="128"/>
      <c r="F22" s="128">
        <f t="shared" si="2"/>
        <v>8.8000000000000007</v>
      </c>
      <c r="G22" s="293"/>
      <c r="H22" s="293"/>
      <c r="I22" s="293"/>
      <c r="J22" s="293"/>
      <c r="K22" s="293"/>
      <c r="L22" s="128">
        <f t="shared" si="1"/>
        <v>8.8000000000000007</v>
      </c>
      <c r="M22" s="41"/>
      <c r="U22" s="164"/>
      <c r="V22" s="160"/>
      <c r="W22" s="160"/>
      <c r="X22" s="382"/>
      <c r="Y22" s="160"/>
      <c r="Z22" s="160"/>
      <c r="AA22" s="160"/>
      <c r="AB22" s="119"/>
      <c r="AC22" s="119"/>
      <c r="AD22" s="86"/>
      <c r="AE22" s="86"/>
    </row>
    <row r="23" spans="2:31">
      <c r="B23" s="289">
        <f t="shared" si="0"/>
        <v>2025</v>
      </c>
      <c r="C23" s="294"/>
      <c r="D23" s="128"/>
      <c r="E23" s="128"/>
      <c r="F23" s="128">
        <f t="shared" si="2"/>
        <v>9</v>
      </c>
      <c r="G23" s="293"/>
      <c r="H23" s="293"/>
      <c r="I23" s="293"/>
      <c r="J23" s="293"/>
      <c r="K23" s="293"/>
      <c r="L23" s="128">
        <f t="shared" si="1"/>
        <v>9</v>
      </c>
      <c r="M23" s="41"/>
      <c r="U23" s="164"/>
      <c r="V23" s="160"/>
      <c r="W23" s="160"/>
      <c r="X23" s="382"/>
      <c r="Y23" s="160"/>
      <c r="Z23" s="160"/>
      <c r="AA23" s="160"/>
      <c r="AB23" s="119"/>
      <c r="AC23" s="119"/>
      <c r="AD23" s="86"/>
      <c r="AE23" s="86"/>
    </row>
    <row r="24" spans="2:31">
      <c r="B24" s="289">
        <f t="shared" si="0"/>
        <v>2026</v>
      </c>
      <c r="C24" s="347">
        <v>718.66414277988076</v>
      </c>
      <c r="D24" s="291">
        <f>ROUND(C24*$C$74,2)</f>
        <v>50.01</v>
      </c>
      <c r="E24" s="268">
        <v>38.05330989724176</v>
      </c>
      <c r="F24" s="128">
        <f t="shared" si="2"/>
        <v>9.2100000000000009</v>
      </c>
      <c r="G24" s="293">
        <f t="shared" ref="G24:G36" si="3">ROUND(F24*(8.76*$G$63)+E24,2)</f>
        <v>64.680000000000007</v>
      </c>
      <c r="H24" s="293">
        <f t="shared" ref="H24:H36" si="4">ROUND(D24+G24,2)</f>
        <v>114.69</v>
      </c>
      <c r="I24" s="293">
        <f>VLOOKUP(B24,'Table 4'!$B$13:$D$43,3,FALSE)</f>
        <v>3.43</v>
      </c>
      <c r="J24" s="293">
        <f t="shared" ref="J24:J36" si="5">ROUND($K$63*I24/1000,2)</f>
        <v>33.57</v>
      </c>
      <c r="K24" s="293">
        <f t="shared" ref="K24:K36" si="6">ROUND(H24*1000/8760/$G$63+J24,2)</f>
        <v>73.239999999999995</v>
      </c>
      <c r="L24" s="128">
        <f t="shared" si="1"/>
        <v>111.94330989724176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89">
        <f t="shared" si="0"/>
        <v>2027</v>
      </c>
      <c r="C25" s="294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8">
        <f t="shared" si="2"/>
        <v>9.42</v>
      </c>
      <c r="G25" s="293">
        <f t="shared" si="3"/>
        <v>66.16</v>
      </c>
      <c r="H25" s="293">
        <f t="shared" si="4"/>
        <v>117.32</v>
      </c>
      <c r="I25" s="293">
        <f>VLOOKUP(B25,'Table 4'!$B$13:$D$43,3,FALSE)</f>
        <v>3.53</v>
      </c>
      <c r="J25" s="293">
        <f t="shared" si="5"/>
        <v>34.54</v>
      </c>
      <c r="K25" s="293">
        <f t="shared" si="6"/>
        <v>75.12</v>
      </c>
      <c r="L25" s="128">
        <f t="shared" si="1"/>
        <v>114.50999999999999</v>
      </c>
      <c r="M25" s="41"/>
      <c r="P25" s="351"/>
      <c r="U25" s="383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89">
        <f t="shared" si="0"/>
        <v>2028</v>
      </c>
      <c r="C26" s="294"/>
      <c r="D26" s="128">
        <f t="shared" si="7"/>
        <v>52.34</v>
      </c>
      <c r="E26" s="128">
        <f t="shared" si="8"/>
        <v>39.83</v>
      </c>
      <c r="F26" s="128">
        <f t="shared" si="2"/>
        <v>9.64</v>
      </c>
      <c r="G26" s="293">
        <f t="shared" si="3"/>
        <v>67.7</v>
      </c>
      <c r="H26" s="293">
        <f t="shared" si="4"/>
        <v>120.04</v>
      </c>
      <c r="I26" s="293">
        <f>VLOOKUP(B26,'Table 4'!$B$13:$D$43,3,FALSE)</f>
        <v>3.77</v>
      </c>
      <c r="J26" s="293">
        <f t="shared" si="5"/>
        <v>36.89</v>
      </c>
      <c r="K26" s="293">
        <f t="shared" si="6"/>
        <v>78.41</v>
      </c>
      <c r="L26" s="128">
        <f t="shared" si="1"/>
        <v>117.17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89">
        <f t="shared" si="0"/>
        <v>2029</v>
      </c>
      <c r="C27" s="294"/>
      <c r="D27" s="128">
        <f t="shared" si="7"/>
        <v>53.6</v>
      </c>
      <c r="E27" s="128">
        <f t="shared" si="8"/>
        <v>40.79</v>
      </c>
      <c r="F27" s="128">
        <f t="shared" si="2"/>
        <v>9.8699999999999992</v>
      </c>
      <c r="G27" s="293">
        <f t="shared" si="3"/>
        <v>69.319999999999993</v>
      </c>
      <c r="H27" s="293">
        <f t="shared" si="4"/>
        <v>122.92</v>
      </c>
      <c r="I27" s="293">
        <f>VLOOKUP(B27,'Table 4'!$B$13:$D$43,3,FALSE)</f>
        <v>4.13</v>
      </c>
      <c r="J27" s="293">
        <f t="shared" si="5"/>
        <v>40.42</v>
      </c>
      <c r="K27" s="293">
        <f t="shared" si="6"/>
        <v>82.94</v>
      </c>
      <c r="L27" s="128">
        <f t="shared" si="1"/>
        <v>119.97999999999999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8" customFormat="1">
      <c r="B28" s="296">
        <f t="shared" si="0"/>
        <v>2030</v>
      </c>
      <c r="C28" s="297"/>
      <c r="D28" s="128">
        <f t="shared" si="7"/>
        <v>54.83</v>
      </c>
      <c r="E28" s="128">
        <f t="shared" si="8"/>
        <v>41.73</v>
      </c>
      <c r="F28" s="128">
        <f t="shared" si="2"/>
        <v>10.1</v>
      </c>
      <c r="G28" s="293">
        <f t="shared" si="3"/>
        <v>70.930000000000007</v>
      </c>
      <c r="H28" s="293">
        <f t="shared" si="4"/>
        <v>125.76</v>
      </c>
      <c r="I28" s="293">
        <f>VLOOKUP(B28,'Table 4'!$B$13:$D$43,3,FALSE)</f>
        <v>4.29</v>
      </c>
      <c r="J28" s="293">
        <f t="shared" si="5"/>
        <v>41.98</v>
      </c>
      <c r="K28" s="293">
        <f t="shared" si="6"/>
        <v>85.48</v>
      </c>
      <c r="L28" s="128">
        <f t="shared" si="1"/>
        <v>122.76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84"/>
      <c r="AE28" s="384"/>
    </row>
    <row r="29" spans="2:31" s="298" customFormat="1">
      <c r="B29" s="296">
        <f t="shared" si="0"/>
        <v>2031</v>
      </c>
      <c r="C29" s="297"/>
      <c r="D29" s="128">
        <f t="shared" si="7"/>
        <v>56.09</v>
      </c>
      <c r="E29" s="128">
        <f t="shared" si="8"/>
        <v>42.69</v>
      </c>
      <c r="F29" s="128">
        <f t="shared" si="2"/>
        <v>10.33</v>
      </c>
      <c r="G29" s="293">
        <f t="shared" si="3"/>
        <v>72.55</v>
      </c>
      <c r="H29" s="293">
        <f t="shared" si="4"/>
        <v>128.63999999999999</v>
      </c>
      <c r="I29" s="293">
        <f>VLOOKUP(B29,'Table 4'!$B$13:$D$43,3,FALSE)</f>
        <v>4.41</v>
      </c>
      <c r="J29" s="293">
        <f t="shared" si="5"/>
        <v>43.16</v>
      </c>
      <c r="K29" s="293">
        <f t="shared" si="6"/>
        <v>87.66</v>
      </c>
      <c r="L29" s="128">
        <f t="shared" si="1"/>
        <v>125.57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84"/>
      <c r="AE29" s="384"/>
    </row>
    <row r="30" spans="2:31" s="298" customFormat="1">
      <c r="B30" s="296">
        <f t="shared" si="0"/>
        <v>2032</v>
      </c>
      <c r="C30" s="297"/>
      <c r="D30" s="128">
        <f t="shared" si="7"/>
        <v>57.38</v>
      </c>
      <c r="E30" s="128">
        <f t="shared" si="8"/>
        <v>43.67</v>
      </c>
      <c r="F30" s="128">
        <f t="shared" si="2"/>
        <v>10.57</v>
      </c>
      <c r="G30" s="293">
        <f t="shared" si="3"/>
        <v>74.23</v>
      </c>
      <c r="H30" s="293">
        <f t="shared" si="4"/>
        <v>131.61000000000001</v>
      </c>
      <c r="I30" s="293">
        <f>VLOOKUP(B30,'Table 4'!$B$13:$D$43,3,FALSE)</f>
        <v>4.49</v>
      </c>
      <c r="J30" s="293">
        <f t="shared" si="5"/>
        <v>43.94</v>
      </c>
      <c r="K30" s="293">
        <f t="shared" si="6"/>
        <v>89.47</v>
      </c>
      <c r="L30" s="128">
        <f t="shared" si="1"/>
        <v>128.47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84"/>
      <c r="AE30" s="384"/>
    </row>
    <row r="31" spans="2:31" s="298" customFormat="1">
      <c r="B31" s="296">
        <f t="shared" si="0"/>
        <v>2033</v>
      </c>
      <c r="C31" s="297"/>
      <c r="D31" s="128">
        <f t="shared" si="7"/>
        <v>58.7</v>
      </c>
      <c r="E31" s="128">
        <f t="shared" si="8"/>
        <v>44.67</v>
      </c>
      <c r="F31" s="128">
        <f t="shared" si="2"/>
        <v>10.81</v>
      </c>
      <c r="G31" s="293">
        <f t="shared" si="3"/>
        <v>75.92</v>
      </c>
      <c r="H31" s="293">
        <f t="shared" si="4"/>
        <v>134.62</v>
      </c>
      <c r="I31" s="293">
        <f>VLOOKUP(B31,'Table 4'!$B$13:$D$43,3,FALSE)</f>
        <v>4.74</v>
      </c>
      <c r="J31" s="293">
        <f t="shared" si="5"/>
        <v>46.39</v>
      </c>
      <c r="K31" s="293">
        <f t="shared" si="6"/>
        <v>92.96</v>
      </c>
      <c r="L31" s="128">
        <f t="shared" si="1"/>
        <v>131.4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84"/>
      <c r="AE31" s="384"/>
    </row>
    <row r="32" spans="2:31" s="298" customFormat="1">
      <c r="B32" s="296">
        <f t="shared" si="0"/>
        <v>2034</v>
      </c>
      <c r="C32" s="297"/>
      <c r="D32" s="128">
        <f t="shared" si="7"/>
        <v>60.05</v>
      </c>
      <c r="E32" s="128">
        <f t="shared" si="8"/>
        <v>45.7</v>
      </c>
      <c r="F32" s="128">
        <f t="shared" si="2"/>
        <v>11.06</v>
      </c>
      <c r="G32" s="293">
        <f t="shared" si="3"/>
        <v>77.67</v>
      </c>
      <c r="H32" s="293">
        <f t="shared" si="4"/>
        <v>137.72</v>
      </c>
      <c r="I32" s="293">
        <f>VLOOKUP(B32,'Table 4'!$B$13:$D$43,3,FALSE)</f>
        <v>4.8</v>
      </c>
      <c r="J32" s="293">
        <f t="shared" si="5"/>
        <v>46.97</v>
      </c>
      <c r="K32" s="293">
        <f t="shared" si="6"/>
        <v>94.61</v>
      </c>
      <c r="L32" s="128">
        <f t="shared" si="1"/>
        <v>134.43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84"/>
      <c r="AE32" s="384"/>
    </row>
    <row r="33" spans="2:31">
      <c r="B33" s="289">
        <f t="shared" si="0"/>
        <v>2035</v>
      </c>
      <c r="C33" s="294"/>
      <c r="D33" s="128">
        <f t="shared" si="7"/>
        <v>61.43</v>
      </c>
      <c r="E33" s="128">
        <f t="shared" si="8"/>
        <v>46.75</v>
      </c>
      <c r="F33" s="128">
        <f t="shared" si="2"/>
        <v>11.31</v>
      </c>
      <c r="G33" s="293">
        <f t="shared" si="3"/>
        <v>79.44</v>
      </c>
      <c r="H33" s="293">
        <f t="shared" si="4"/>
        <v>140.87</v>
      </c>
      <c r="I33" s="293">
        <f>VLOOKUP(B33,'Table 4'!$B$13:$D$43,3,FALSE)</f>
        <v>4.87</v>
      </c>
      <c r="J33" s="293">
        <f t="shared" si="5"/>
        <v>47.66</v>
      </c>
      <c r="K33" s="293">
        <f t="shared" si="6"/>
        <v>96.39</v>
      </c>
      <c r="L33" s="128">
        <f t="shared" si="1"/>
        <v>137.5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89">
        <f t="shared" si="0"/>
        <v>2036</v>
      </c>
      <c r="C34" s="294"/>
      <c r="D34" s="128">
        <f t="shared" si="7"/>
        <v>62.84</v>
      </c>
      <c r="E34" s="128">
        <f t="shared" si="8"/>
        <v>47.83</v>
      </c>
      <c r="F34" s="128">
        <f t="shared" si="2"/>
        <v>11.57</v>
      </c>
      <c r="G34" s="293">
        <f t="shared" si="3"/>
        <v>81.28</v>
      </c>
      <c r="H34" s="293">
        <f t="shared" si="4"/>
        <v>144.12</v>
      </c>
      <c r="I34" s="293">
        <f>VLOOKUP(B34,'Table 4'!$B$13:$D$43,3,FALSE)</f>
        <v>4.9800000000000004</v>
      </c>
      <c r="J34" s="293">
        <f t="shared" si="5"/>
        <v>48.73</v>
      </c>
      <c r="K34" s="293">
        <f t="shared" si="6"/>
        <v>98.58</v>
      </c>
      <c r="L34" s="128">
        <f t="shared" si="1"/>
        <v>140.68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89">
        <f t="shared" si="0"/>
        <v>2037</v>
      </c>
      <c r="C35" s="294"/>
      <c r="D35" s="128">
        <f t="shared" si="7"/>
        <v>64.290000000000006</v>
      </c>
      <c r="E35" s="128">
        <f t="shared" si="8"/>
        <v>48.93</v>
      </c>
      <c r="F35" s="128">
        <f t="shared" si="2"/>
        <v>11.84</v>
      </c>
      <c r="G35" s="293">
        <f t="shared" si="3"/>
        <v>83.16</v>
      </c>
      <c r="H35" s="293">
        <f t="shared" si="4"/>
        <v>147.44999999999999</v>
      </c>
      <c r="I35" s="293">
        <f>VLOOKUP(B35,'Table 4'!$B$13:$D$43,3,FALSE)</f>
        <v>5.08</v>
      </c>
      <c r="J35" s="293">
        <f t="shared" si="5"/>
        <v>49.71</v>
      </c>
      <c r="K35" s="293">
        <f t="shared" si="6"/>
        <v>100.72</v>
      </c>
      <c r="L35" s="128">
        <f t="shared" si="1"/>
        <v>143.93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89">
        <f t="shared" si="0"/>
        <v>2038</v>
      </c>
      <c r="C36" s="294"/>
      <c r="D36" s="128">
        <f t="shared" si="7"/>
        <v>65.77</v>
      </c>
      <c r="E36" s="128">
        <f t="shared" si="8"/>
        <v>50.06</v>
      </c>
      <c r="F36" s="128">
        <f t="shared" si="2"/>
        <v>12.11</v>
      </c>
      <c r="G36" s="293">
        <f t="shared" si="3"/>
        <v>85.07</v>
      </c>
      <c r="H36" s="293">
        <f t="shared" si="4"/>
        <v>150.84</v>
      </c>
      <c r="I36" s="293">
        <f>VLOOKUP(B36,'Table 4'!$B$13:$D$43,3,FALSE)</f>
        <v>5.27</v>
      </c>
      <c r="J36" s="293">
        <f t="shared" si="5"/>
        <v>51.57</v>
      </c>
      <c r="K36" s="293">
        <f t="shared" si="6"/>
        <v>103.75</v>
      </c>
      <c r="L36" s="128">
        <f t="shared" si="1"/>
        <v>147.24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89">
        <f t="shared" si="0"/>
        <v>2039</v>
      </c>
      <c r="C37" s="294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67.28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51.21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12.39</v>
      </c>
      <c r="G37" s="293">
        <f t="shared" ref="G37:G40" si="12">ROUND(F37*(8.76*$G$63)+E37,2)</f>
        <v>87.03</v>
      </c>
      <c r="H37" s="293">
        <f t="shared" ref="H37:H40" si="13">ROUND(D37+G37,2)</f>
        <v>154.31</v>
      </c>
      <c r="I37" s="293">
        <f>VLOOKUP(B37,'Table 4'!$B$13:$D$43,3,FALSE)</f>
        <v>5.57</v>
      </c>
      <c r="J37" s="293">
        <f t="shared" ref="J37:J40" si="14">ROUND($K$63*I37/1000,2)</f>
        <v>54.51</v>
      </c>
      <c r="K37" s="293">
        <f t="shared" ref="K37:K40" si="15">ROUND(H37*1000/8760/$G$63+J37,2)</f>
        <v>107.89</v>
      </c>
      <c r="L37" s="128">
        <f t="shared" si="1"/>
        <v>150.63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89">
        <f t="shared" si="0"/>
        <v>2040</v>
      </c>
      <c r="C38" s="294"/>
      <c r="D38" s="128">
        <f t="shared" si="9"/>
        <v>68.83</v>
      </c>
      <c r="E38" s="128">
        <f t="shared" si="10"/>
        <v>52.39</v>
      </c>
      <c r="F38" s="128">
        <f t="shared" si="11"/>
        <v>12.67</v>
      </c>
      <c r="G38" s="293">
        <f t="shared" si="12"/>
        <v>89.02</v>
      </c>
      <c r="H38" s="293">
        <f t="shared" si="13"/>
        <v>157.85</v>
      </c>
      <c r="I38" s="293">
        <f>VLOOKUP(B38,'Table 4'!$B$13:$D$43,3,FALSE)</f>
        <v>5.91</v>
      </c>
      <c r="J38" s="293">
        <f t="shared" si="14"/>
        <v>57.84</v>
      </c>
      <c r="K38" s="293">
        <f t="shared" si="15"/>
        <v>112.44</v>
      </c>
      <c r="L38" s="128">
        <f t="shared" si="1"/>
        <v>154.07999999999998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89">
        <f t="shared" si="0"/>
        <v>2041</v>
      </c>
      <c r="C39" s="294"/>
      <c r="D39" s="128">
        <f t="shared" si="9"/>
        <v>70.34</v>
      </c>
      <c r="E39" s="128">
        <f t="shared" si="10"/>
        <v>53.54</v>
      </c>
      <c r="F39" s="128">
        <f t="shared" si="11"/>
        <v>12.95</v>
      </c>
      <c r="G39" s="293">
        <f t="shared" si="12"/>
        <v>90.98</v>
      </c>
      <c r="H39" s="293">
        <f t="shared" si="13"/>
        <v>161.32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6.04</v>
      </c>
      <c r="J39" s="293">
        <f t="shared" si="14"/>
        <v>59.11</v>
      </c>
      <c r="K39" s="293">
        <f t="shared" si="15"/>
        <v>114.91</v>
      </c>
      <c r="L39" s="128">
        <f t="shared" si="1"/>
        <v>157.47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89">
        <f t="shared" si="0"/>
        <v>2042</v>
      </c>
      <c r="C40" s="294"/>
      <c r="D40" s="128">
        <f t="shared" si="9"/>
        <v>71.89</v>
      </c>
      <c r="E40" s="128">
        <f t="shared" si="10"/>
        <v>54.72</v>
      </c>
      <c r="F40" s="128">
        <f t="shared" si="11"/>
        <v>13.23</v>
      </c>
      <c r="G40" s="293">
        <f t="shared" si="12"/>
        <v>92.97</v>
      </c>
      <c r="H40" s="293">
        <f t="shared" si="13"/>
        <v>164.86</v>
      </c>
      <c r="I40" s="128">
        <f t="shared" si="16"/>
        <v>6.17</v>
      </c>
      <c r="J40" s="293">
        <f t="shared" si="14"/>
        <v>60.38</v>
      </c>
      <c r="K40" s="293">
        <f t="shared" si="15"/>
        <v>117.41</v>
      </c>
      <c r="L40" s="128">
        <f t="shared" si="1"/>
        <v>160.92000000000002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89"/>
      <c r="O41" s="299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89"/>
      <c r="N42" s="299"/>
      <c r="O42" s="299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0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1" t="str">
        <f>D10</f>
        <v>(b)</v>
      </c>
      <c r="D45" s="293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1" t="str">
        <f>G10</f>
        <v>(e)</v>
      </c>
      <c r="D46" s="293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1" t="str">
        <f>H10</f>
        <v>(f)</v>
      </c>
      <c r="D47" s="293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1" t="str">
        <f>I10</f>
        <v>(g)</v>
      </c>
      <c r="D48" s="302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1" t="str">
        <f>J10</f>
        <v>(h)</v>
      </c>
      <c r="D49" s="293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1" t="str">
        <f>K10</f>
        <v>(i)</v>
      </c>
      <c r="D50" s="293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3"/>
      <c r="E52" s="303"/>
      <c r="F52" s="303"/>
      <c r="G52" s="303"/>
      <c r="H52" s="303"/>
      <c r="I52" s="303"/>
      <c r="J52" s="304"/>
      <c r="K52" s="305"/>
    </row>
    <row r="53" spans="3:31" ht="5.25" customHeight="1"/>
    <row r="54" spans="3:31" ht="5.25" customHeight="1"/>
    <row r="55" spans="3:31">
      <c r="C55" s="306" t="s">
        <v>118</v>
      </c>
      <c r="D55" s="307"/>
      <c r="E55" s="306"/>
      <c r="F55" s="308" t="s">
        <v>32</v>
      </c>
      <c r="G55" s="308" t="s">
        <v>119</v>
      </c>
      <c r="H55" s="308" t="s">
        <v>120</v>
      </c>
      <c r="I55" s="308" t="s">
        <v>33</v>
      </c>
    </row>
    <row r="56" spans="3:31">
      <c r="C56" s="298" t="s">
        <v>121</v>
      </c>
      <c r="F56" s="309">
        <f>C67</f>
        <v>185</v>
      </c>
      <c r="G56" s="41">
        <f>F56/F58</f>
        <v>1</v>
      </c>
      <c r="H56" s="310">
        <f>C68</f>
        <v>745.12812495389073</v>
      </c>
      <c r="I56" s="311">
        <f>C71</f>
        <v>31.908814304665992</v>
      </c>
      <c r="P56" s="117"/>
      <c r="Q56" s="117" t="s">
        <v>103</v>
      </c>
      <c r="R56" s="274">
        <v>2026</v>
      </c>
      <c r="S56" s="117"/>
      <c r="T56" s="117"/>
      <c r="U56" s="117"/>
    </row>
    <row r="57" spans="3:31">
      <c r="C57" s="298"/>
      <c r="F57" s="312">
        <f>D67</f>
        <v>0</v>
      </c>
      <c r="G57" s="313">
        <f>1-G56</f>
        <v>0</v>
      </c>
      <c r="H57" s="314">
        <f>D68</f>
        <v>0</v>
      </c>
      <c r="I57" s="315">
        <f>D71</f>
        <v>0</v>
      </c>
      <c r="P57" s="350">
        <v>184.90000000000006</v>
      </c>
      <c r="Q57" s="117" t="s">
        <v>32</v>
      </c>
      <c r="R57" s="274" t="s">
        <v>151</v>
      </c>
      <c r="S57" s="274"/>
      <c r="T57" s="117"/>
      <c r="U57" s="274" t="str">
        <f>$R$57&amp;"Proposed Station Capital Costs"</f>
        <v>I_NTN_SC_FRMProposed Station Capital Costs</v>
      </c>
    </row>
    <row r="58" spans="3:31">
      <c r="C58" s="298" t="s">
        <v>122</v>
      </c>
      <c r="F58" s="309">
        <f>F56+F57</f>
        <v>185</v>
      </c>
      <c r="G58" s="41">
        <f>G56+G57</f>
        <v>1</v>
      </c>
      <c r="H58" s="310">
        <f>ROUND(((F56*H56)+(F57*H57))/F58,0)</f>
        <v>745</v>
      </c>
      <c r="I58" s="311">
        <f>ROUND(((F56*I56)+(F57*I57))/F58,2)</f>
        <v>31.91</v>
      </c>
      <c r="P58" s="350"/>
      <c r="Q58" s="117" t="s">
        <v>32</v>
      </c>
      <c r="R58" s="274"/>
      <c r="S58" s="119"/>
      <c r="T58" s="117"/>
      <c r="U58" s="274" t="str">
        <f>$R$57&amp;"Proposed Station Fixed Costs"</f>
        <v>I_NTN_SC_FRMProposed Station Fixed Costs</v>
      </c>
    </row>
    <row r="59" spans="3:31">
      <c r="C59" s="298"/>
      <c r="F59" s="309"/>
      <c r="G59" s="41"/>
      <c r="H59" s="316"/>
      <c r="I59" s="317"/>
      <c r="P59" s="117"/>
      <c r="Q59" s="117"/>
      <c r="R59" s="346" t="str">
        <f>R57&amp;R56</f>
        <v>I_NTN_SC_FRM2026</v>
      </c>
      <c r="S59" s="117"/>
      <c r="T59" s="117"/>
      <c r="U59" s="274" t="str">
        <f>$R$57&amp;"Proposed Station Variable O&amp;M Costs"</f>
        <v>I_NTN_SC_FRMProposed Station Variable O&amp;M Costs</v>
      </c>
    </row>
    <row r="60" spans="3:31">
      <c r="C60" s="318" t="s">
        <v>118</v>
      </c>
      <c r="D60" s="307"/>
      <c r="E60" s="306"/>
      <c r="F60" s="308" t="s">
        <v>32</v>
      </c>
      <c r="G60" s="308" t="s">
        <v>34</v>
      </c>
      <c r="H60" s="308" t="s">
        <v>123</v>
      </c>
      <c r="I60" s="308" t="s">
        <v>119</v>
      </c>
      <c r="J60" s="308" t="s">
        <v>124</v>
      </c>
      <c r="K60" s="308" t="s">
        <v>125</v>
      </c>
    </row>
    <row r="61" spans="3:31">
      <c r="C61" s="319" t="str">
        <f>C56</f>
        <v>SCCT Dry "F" - Turbine</v>
      </c>
      <c r="D61" s="320"/>
      <c r="E61" s="320"/>
      <c r="F61" s="85">
        <f>C67</f>
        <v>185</v>
      </c>
      <c r="G61" s="41">
        <f>C75</f>
        <v>0.33</v>
      </c>
      <c r="H61" s="321">
        <f>G61*F61</f>
        <v>61.050000000000004</v>
      </c>
      <c r="I61" s="41">
        <f>H61/H63</f>
        <v>1</v>
      </c>
      <c r="J61" s="317">
        <f>C72</f>
        <v>7.7612665227267676</v>
      </c>
      <c r="K61" s="322">
        <f>C73</f>
        <v>9786.4587359536672</v>
      </c>
    </row>
    <row r="62" spans="3:31">
      <c r="C62" s="319">
        <f>C57</f>
        <v>0</v>
      </c>
      <c r="D62" s="320"/>
      <c r="E62" s="320"/>
      <c r="F62" s="323">
        <f>D67</f>
        <v>0</v>
      </c>
      <c r="G62" s="313">
        <f>D75</f>
        <v>0</v>
      </c>
      <c r="H62" s="324">
        <f>G62*F62</f>
        <v>0</v>
      </c>
      <c r="I62" s="313">
        <f>1-I61</f>
        <v>0</v>
      </c>
      <c r="J62" s="325">
        <f>D72</f>
        <v>0</v>
      </c>
      <c r="K62" s="326">
        <f>D73</f>
        <v>0</v>
      </c>
    </row>
    <row r="63" spans="3:31">
      <c r="C63" s="298" t="s">
        <v>126</v>
      </c>
      <c r="F63" s="85">
        <f>F61+F62</f>
        <v>185</v>
      </c>
      <c r="G63" s="327">
        <f>ROUND(H63/F63,3)</f>
        <v>0.33</v>
      </c>
      <c r="H63" s="321">
        <f>SUM(H61:H62)</f>
        <v>61.050000000000004</v>
      </c>
      <c r="I63" s="41">
        <f>I61+I62</f>
        <v>1</v>
      </c>
      <c r="J63" s="317">
        <f>ROUND(($I61*J61)+($I62*J62),2)</f>
        <v>7.76</v>
      </c>
      <c r="K63" s="328">
        <f>ROUND(($I61*K61)+($I62*K62),0)</f>
        <v>9786</v>
      </c>
    </row>
    <row r="64" spans="3:31">
      <c r="G64" s="327"/>
      <c r="I64" s="41"/>
      <c r="J64" s="317"/>
      <c r="K64" s="329" t="s">
        <v>127</v>
      </c>
    </row>
    <row r="66" spans="2:29">
      <c r="C66" s="308" t="s">
        <v>128</v>
      </c>
      <c r="D66" s="308" t="s">
        <v>129</v>
      </c>
      <c r="E66" s="330" t="str">
        <f>D44</f>
        <v xml:space="preserve">Plant Costs  - 2019 IRP - Table 6.1 &amp; 6.2 </v>
      </c>
      <c r="F66" s="331"/>
      <c r="G66" s="331"/>
      <c r="H66" s="331"/>
      <c r="I66" s="331"/>
      <c r="J66" s="331"/>
      <c r="K66" s="332"/>
    </row>
    <row r="67" spans="2:29">
      <c r="C67" s="340">
        <v>185</v>
      </c>
      <c r="E67" s="85" t="s">
        <v>130</v>
      </c>
      <c r="H67" s="333"/>
    </row>
    <row r="68" spans="2:29">
      <c r="B68" s="85" t="s">
        <v>101</v>
      </c>
      <c r="C68" s="339">
        <v>745.12812495389073</v>
      </c>
      <c r="D68" s="316"/>
      <c r="E68" s="85" t="s">
        <v>131</v>
      </c>
      <c r="M68" s="338"/>
    </row>
    <row r="69" spans="2:29">
      <c r="B69" s="85" t="s">
        <v>101</v>
      </c>
      <c r="C69" s="342">
        <v>17.005460468665991</v>
      </c>
      <c r="D69" s="317"/>
      <c r="E69" s="85" t="s">
        <v>132</v>
      </c>
    </row>
    <row r="70" spans="2:29">
      <c r="B70" s="85" t="s">
        <v>101</v>
      </c>
      <c r="C70" s="343">
        <v>14.903353836000001</v>
      </c>
      <c r="D70" s="334"/>
      <c r="E70" s="85" t="s">
        <v>133</v>
      </c>
    </row>
    <row r="71" spans="2:29">
      <c r="B71" s="85" t="s">
        <v>101</v>
      </c>
      <c r="C71" s="317">
        <f>C69+C70</f>
        <v>31.908814304665992</v>
      </c>
      <c r="D71" s="317"/>
      <c r="E71" s="85" t="s">
        <v>134</v>
      </c>
    </row>
    <row r="72" spans="2:29">
      <c r="B72" s="85" t="s">
        <v>101</v>
      </c>
      <c r="C72" s="342">
        <v>7.7612665227267676</v>
      </c>
      <c r="D72" s="317"/>
      <c r="E72" s="85" t="s">
        <v>135</v>
      </c>
    </row>
    <row r="73" spans="2:29">
      <c r="C73" s="345">
        <v>9786.4587359536672</v>
      </c>
      <c r="D73" s="328"/>
      <c r="E73" s="85" t="s">
        <v>136</v>
      </c>
    </row>
    <row r="74" spans="2:29">
      <c r="C74" s="341">
        <v>6.9588491515316389E-2</v>
      </c>
      <c r="D74" s="335"/>
      <c r="E74" s="85" t="s">
        <v>36</v>
      </c>
      <c r="AB74" s="119"/>
      <c r="AC74" s="119"/>
    </row>
    <row r="75" spans="2:29">
      <c r="C75" s="344">
        <v>0.33</v>
      </c>
      <c r="D75" s="336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7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June 30, 2021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2.3E-2</v>
      </c>
      <c r="H81" s="41"/>
      <c r="I81" s="87">
        <f>F89+1</f>
        <v>2035</v>
      </c>
      <c r="J81" s="41">
        <v>2.3E-2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2.4E-2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3.2000000000000001E-2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2.1999999999999999E-2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2.1000000000000001E-2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2.1999999999999999E-2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2.1999999999999999E-2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2.1999999999999999E-2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2.3E-2</v>
      </c>
      <c r="F89" s="87">
        <f t="shared" si="18"/>
        <v>2034</v>
      </c>
      <c r="G89" s="41">
        <v>2.3E-2</v>
      </c>
      <c r="H89" s="41"/>
      <c r="I89" s="87">
        <f t="shared" si="19"/>
        <v>2043</v>
      </c>
      <c r="J89" s="41">
        <v>2.3E-2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7"/>
    </row>
    <row r="93" spans="3:29">
      <c r="D93" s="3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10.63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10.86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11.09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11.33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11.59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11.86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12.13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12.41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47">
        <v>1709.591836734694</v>
      </c>
      <c r="D23" s="128">
        <f>C23*$C$62</f>
        <v>117.94474081632653</v>
      </c>
      <c r="E23" s="268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12.71</v>
      </c>
      <c r="I23" s="130">
        <f>(G23+H23)</f>
        <v>56.828924791790222</v>
      </c>
      <c r="J23" s="130">
        <f t="shared" ref="J23" si="2">ROUND(I23*$C$63*8.76,2)</f>
        <v>184.69</v>
      </c>
      <c r="K23" s="128">
        <f t="shared" si="1"/>
        <v>143.38474081632654</v>
      </c>
      <c r="L23" s="119"/>
      <c r="N23" s="117"/>
      <c r="P23" s="19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68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13</v>
      </c>
      <c r="I24" s="130">
        <f t="shared" ref="I24:I37" si="5">(G24+H24)</f>
        <v>58.114464203138702</v>
      </c>
      <c r="J24" s="130">
        <f t="shared" ref="J24:J32" si="6">ROUND(I24*$C$63*8.76,2)</f>
        <v>188.87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68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13.3</v>
      </c>
      <c r="I25" s="130">
        <f t="shared" si="5"/>
        <v>59.461321671525766</v>
      </c>
      <c r="J25" s="130">
        <f t="shared" si="6"/>
        <v>193.25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68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13.61</v>
      </c>
      <c r="I26" s="130">
        <f t="shared" si="5"/>
        <v>60.836640905596077</v>
      </c>
      <c r="J26" s="130">
        <f t="shared" si="6"/>
        <v>197.72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68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13.92</v>
      </c>
      <c r="I27" s="130">
        <f t="shared" si="5"/>
        <v>62.230421905349672</v>
      </c>
      <c r="J27" s="130">
        <f t="shared" si="6"/>
        <v>202.25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132.15</v>
      </c>
      <c r="E28" s="268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49.415741631733752</v>
      </c>
      <c r="H28" s="128">
        <f>ROUND(H27*(1+(IFERROR(INDEX($D$66:$D$74,MATCH($B28,$C$66:$C$74,0),1),0)+IFERROR(INDEX($G$66:$G$74,MATCH($B28,$F$66:$F$74,0),1),0)+IFERROR(INDEX(#REF!,MATCH($B28,$I$66:$I$74,0),1),0))),2)</f>
        <v>14.24</v>
      </c>
      <c r="I28" s="130">
        <f t="shared" si="5"/>
        <v>63.655741631733754</v>
      </c>
      <c r="J28" s="130">
        <f t="shared" si="6"/>
        <v>206.88</v>
      </c>
      <c r="K28" s="128">
        <f t="shared" si="1"/>
        <v>160.59918367346941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135.19</v>
      </c>
      <c r="E29" s="268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50.542600084748301</v>
      </c>
      <c r="H29" s="128">
        <f>ROUND(H28*(1+(IFERROR(INDEX($D$66:$D$74,MATCH($B29,$C$66:$C$74,0),1),0)+IFERROR(INDEX($G$66:$G$74,MATCH($B29,$F$66:$F$74,0),1),0)+IFERROR(INDEX(#REF!,MATCH($B29,$I$66:$I$74,0),1),0))),2)</f>
        <v>14.24</v>
      </c>
      <c r="I29" s="130">
        <f t="shared" si="5"/>
        <v>64.782600084748296</v>
      </c>
      <c r="J29" s="130">
        <f t="shared" si="6"/>
        <v>210.54</v>
      </c>
      <c r="K29" s="128">
        <f t="shared" si="1"/>
        <v>164.26142857142858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138.30000000000001</v>
      </c>
      <c r="E30" s="268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51.690997264393339</v>
      </c>
      <c r="H30" s="128">
        <f>ROUND(H29*(1+(IFERROR(INDEX($D$66:$D$74,MATCH($B30,$C$66:$C$74,0),1),0)+IFERROR(INDEX($G$66:$G$74,MATCH($B30,$F$66:$F$74,0),1),0)+IFERROR(INDEX(#REF!,MATCH($B30,$I$66:$I$74,0),1),0))),2)</f>
        <v>14.24</v>
      </c>
      <c r="I30" s="130">
        <f t="shared" si="5"/>
        <v>65.930997264393341</v>
      </c>
      <c r="J30" s="130">
        <f t="shared" si="6"/>
        <v>214.27</v>
      </c>
      <c r="K30" s="128">
        <f t="shared" si="1"/>
        <v>167.99367346938777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141.47999999999999</v>
      </c>
      <c r="E31" s="268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52.89233073135469</v>
      </c>
      <c r="H31" s="128">
        <f>ROUND(H30*(1+(IFERROR(INDEX($D$66:$D$74,MATCH($B31,$C$66:$C$74,0),1),0)+IFERROR(INDEX($G$66:$G$74,MATCH($B31,$F$66:$F$74,0),1),0)+IFERROR(INDEX(#REF!,MATCH($B31,$I$66:$I$74,0),1),0))),2)</f>
        <v>14.24</v>
      </c>
      <c r="I31" s="130">
        <f t="shared" si="5"/>
        <v>67.132330731354685</v>
      </c>
      <c r="J31" s="130">
        <f t="shared" si="6"/>
        <v>218.18</v>
      </c>
      <c r="K31" s="128">
        <f t="shared" si="1"/>
        <v>171.89795918367346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144.72999999999999</v>
      </c>
      <c r="E32" s="268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54.115202924946523</v>
      </c>
      <c r="H32" s="128">
        <f>ROUND(H31*(1+(IFERROR(INDEX($D$66:$D$74,MATCH($B32,$C$66:$C$74,0),1),0)+IFERROR(INDEX($G$66:$G$74,MATCH($B32,$F$66:$F$74,0),1),0)+IFERROR(INDEX(#REF!,MATCH($B32,$I$66:$I$74,0),1),0))),2)</f>
        <v>14.24</v>
      </c>
      <c r="I32" s="130">
        <f t="shared" si="5"/>
        <v>68.355202924946525</v>
      </c>
      <c r="J32" s="130">
        <f t="shared" si="6"/>
        <v>222.15</v>
      </c>
      <c r="K32" s="128">
        <f t="shared" si="1"/>
        <v>175.87224489795918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148.06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55.36068136223215</v>
      </c>
      <c r="H33" s="128">
        <f>ROUND(H32*(1+(IFERROR(INDEX($D$66:$D$74,MATCH($B33,$C$66:$C$74,0),1),0)+IFERROR(INDEX($G$66:$G$74,MATCH($B33,$F$66:$F$74,0),1),0)+IFERROR(INDEX(#REF!,MATCH($B33,$I$66:$I$74,0),1),0))),2)</f>
        <v>14.24</v>
      </c>
      <c r="I33" s="130">
        <f t="shared" si="5"/>
        <v>69.600681362232152</v>
      </c>
      <c r="J33" s="130">
        <f t="shared" ref="J33:J37" si="7">ROUND(I33*$C$63*8.76,2)</f>
        <v>226.2</v>
      </c>
      <c r="K33" s="128">
        <f t="shared" si="1"/>
        <v>179.92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3"/>
        <v>151.47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56.634543194377784</v>
      </c>
      <c r="H34" s="128">
        <f>ROUND(H33*(1+(IFERROR(INDEX($D$66:$D$74,MATCH($B34,$C$66:$C$74,0),1),0)+IFERROR(INDEX($G$66:$G$74,MATCH($B34,$F$66:$F$74,0),1),0)+IFERROR(INDEX(#REF!,MATCH($B34,$I$66:$I$74,0),1),0))),2)</f>
        <v>14.24</v>
      </c>
      <c r="I34" s="130">
        <f t="shared" si="5"/>
        <v>70.874543194377779</v>
      </c>
      <c r="J34" s="130">
        <f t="shared" si="7"/>
        <v>230.34</v>
      </c>
      <c r="K34" s="128">
        <f t="shared" si="1"/>
        <v>184.06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3"/>
        <v>154.80000000000001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PV wS YK_2024'!$F$10:$F$38,MATCH(B35,'Table 3 PV wS YK_2024'!$B$10:$B$38,0),1)</f>
        <v>0.56000000000000005</v>
      </c>
      <c r="G35" s="130">
        <f t="shared" si="4"/>
        <v>57.877635417051302</v>
      </c>
      <c r="H35" s="128">
        <f>ROUND(H34*(1+(IFERROR(INDEX($D$66:$D$74,MATCH($B35,$C$66:$C$74,0),1),0)+IFERROR(INDEX($G$66:$G$74,MATCH($B35,$F$66:$F$74,0),1),0)+IFERROR(INDEX(#REF!,MATCH($B35,$I$66:$I$74,0),1),0))),2)</f>
        <v>14.24</v>
      </c>
      <c r="I35" s="130">
        <f t="shared" si="5"/>
        <v>72.117635417051304</v>
      </c>
      <c r="J35" s="130">
        <f t="shared" si="7"/>
        <v>234.38</v>
      </c>
      <c r="K35" s="128">
        <f t="shared" si="1"/>
        <v>188.10000000000002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3"/>
        <v>158.21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33.46</v>
      </c>
      <c r="F36" s="128">
        <f>INDEX('Table 3 PV wS YK_2024'!$F$10:$F$38,MATCH(B36,'Table 3 PV wS YK_2024'!$B$10:$B$38,0),1)</f>
        <v>0.56999999999999995</v>
      </c>
      <c r="G36" s="130">
        <f t="shared" si="4"/>
        <v>59.151497249196922</v>
      </c>
      <c r="H36" s="128">
        <f>ROUND(H35*(1+(IFERROR(INDEX($D$66:$D$74,MATCH($B36,$C$66:$C$74,0),1),0)+IFERROR(INDEX($G$66:$G$74,MATCH($B36,$F$66:$F$74,0),1),0)+IFERROR(INDEX(#REF!,MATCH($B36,$I$66:$I$74,0),1),0))),2)</f>
        <v>14.24</v>
      </c>
      <c r="I36" s="130">
        <f t="shared" si="5"/>
        <v>73.391497249196917</v>
      </c>
      <c r="J36" s="130">
        <f t="shared" si="7"/>
        <v>238.52</v>
      </c>
      <c r="K36" s="128">
        <f t="shared" si="1"/>
        <v>192.24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3"/>
        <v>161.85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34.229999999999997</v>
      </c>
      <c r="F37" s="128">
        <f>INDEX('Table 3 PV wS YK_2024'!$F$10:$F$38,MATCH(B37,'Table 3 PV wS YK_2024'!$B$10:$B$38,0),1)</f>
        <v>0.57999999999999996</v>
      </c>
      <c r="G37" s="130">
        <f t="shared" si="4"/>
        <v>60.511513987864468</v>
      </c>
      <c r="H37" s="128">
        <f>ROUND(H36*(1+(IFERROR(INDEX($D$66:$D$74,MATCH($B37,$C$66:$C$74,0),1),0)+IFERROR(INDEX($G$66:$G$74,MATCH($B37,$F$66:$F$74,0),1),0)+IFERROR(INDEX(#REF!,MATCH($B37,$I$66:$I$74,0),1),0))),2)</f>
        <v>14.24</v>
      </c>
      <c r="I37" s="130">
        <f t="shared" si="5"/>
        <v>74.75151398786447</v>
      </c>
      <c r="J37" s="130">
        <f t="shared" si="7"/>
        <v>242.94</v>
      </c>
      <c r="K37" s="128">
        <f t="shared" si="1"/>
        <v>196.66</v>
      </c>
      <c r="L37" s="119"/>
      <c r="N37" s="117"/>
      <c r="AA37" s="277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7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7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7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47">
        <v>1672.135761589404</v>
      </c>
      <c r="D26" s="128">
        <f>C26*$C$62</f>
        <v>115.36064619205297</v>
      </c>
      <c r="E26" s="268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68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120.72</v>
      </c>
      <c r="E28" s="268">
        <v>27.94701986754967</v>
      </c>
      <c r="F28" s="128">
        <f>INDEX('Table 3 ID Wind_2030'!$F$10:$F$38,MATCH(B28,'Table 3 ID Wind_2030'!$B$10:$B$38,0),1)</f>
        <v>13.25</v>
      </c>
      <c r="G28" s="130">
        <f t="shared" si="4"/>
        <v>49.821234682134452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49.821234682134452</v>
      </c>
      <c r="J28" s="130">
        <f t="shared" si="2"/>
        <v>161.91999999999999</v>
      </c>
      <c r="K28" s="128">
        <f t="shared" si="1"/>
        <v>161.91701986754967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123.5</v>
      </c>
      <c r="E29" s="268">
        <v>28.576158940397352</v>
      </c>
      <c r="F29" s="128">
        <f>INDEX('Table 3 ID Wind_2030'!$F$10:$F$38,MATCH(B29,'Table 3 ID Wind_2030'!$B$10:$B$38,0),1)</f>
        <v>13.55</v>
      </c>
      <c r="G29" s="130">
        <f t="shared" si="4"/>
        <v>50.96252228962738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50.96252228962738</v>
      </c>
      <c r="J29" s="130">
        <f t="shared" si="2"/>
        <v>165.63</v>
      </c>
      <c r="K29" s="128">
        <f t="shared" si="1"/>
        <v>165.62615894039737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126.34</v>
      </c>
      <c r="E30" s="268">
        <v>29.221854304635762</v>
      </c>
      <c r="F30" s="128">
        <f>INDEX('Table 3 ID Wind_2030'!$F$10:$F$38,MATCH(B30,'Table 3 ID Wind_2030'!$B$10:$B$38,0),1)</f>
        <v>13.86</v>
      </c>
      <c r="G30" s="130">
        <f t="shared" si="4"/>
        <v>52.130442929954761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52.130442929954761</v>
      </c>
      <c r="J30" s="130">
        <f t="shared" si="2"/>
        <v>169.42</v>
      </c>
      <c r="K30" s="128">
        <f t="shared" si="1"/>
        <v>169.42185430463576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129.25</v>
      </c>
      <c r="E31" s="268">
        <v>29.900662251655628</v>
      </c>
      <c r="F31" s="128">
        <f>INDEX('Table 3 ID Wind_2030'!$F$10:$F$38,MATCH(B31,'Table 3 ID Wind_2030'!$B$10:$B$38,0),1)</f>
        <v>14.18</v>
      </c>
      <c r="G31" s="130">
        <f t="shared" si="4"/>
        <v>53.333167870267836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53.333167870267836</v>
      </c>
      <c r="J31" s="130">
        <f t="shared" si="2"/>
        <v>173.33</v>
      </c>
      <c r="K31" s="128">
        <f t="shared" si="1"/>
        <v>173.33066225165564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132.22</v>
      </c>
      <c r="E32" s="268">
        <v>30.579470198675498</v>
      </c>
      <c r="F32" s="128">
        <f>INDEX('Table 3 ID Wind_2030'!$F$10:$F$38,MATCH(B32,'Table 3 ID Wind_2030'!$B$10:$B$38,0),1)</f>
        <v>14.51</v>
      </c>
      <c r="G32" s="130">
        <f t="shared" si="4"/>
        <v>54.557431537211379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54.557431537211379</v>
      </c>
      <c r="J32" s="130">
        <f t="shared" si="2"/>
        <v>177.31</v>
      </c>
      <c r="K32" s="128">
        <f t="shared" si="1"/>
        <v>177.30947019867548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135.26</v>
      </c>
      <c r="E33" s="128">
        <f t="shared" si="3"/>
        <v>31.28</v>
      </c>
      <c r="F33" s="128">
        <f>INDEX('Table 3 ID Wind_2030'!$F$10:$F$38,MATCH(B33,'Table 3 ID Wind_2030'!$B$10:$B$38,0),1)</f>
        <v>14.84</v>
      </c>
      <c r="G33" s="130">
        <f t="shared" si="4"/>
        <v>55.809917660525059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55.809917660525059</v>
      </c>
      <c r="J33" s="130">
        <f t="shared" ref="J33:J37" si="6">ROUND(I33*$C$63*8.76,2)</f>
        <v>181.38</v>
      </c>
      <c r="K33" s="128">
        <f t="shared" si="1"/>
        <v>181.38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138.37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15.18</v>
      </c>
      <c r="G34" s="130">
        <f t="shared" si="4"/>
        <v>57.093010375512321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57.093010375512321</v>
      </c>
      <c r="J34" s="130">
        <f t="shared" si="6"/>
        <v>185.55</v>
      </c>
      <c r="K34" s="128">
        <f t="shared" si="1"/>
        <v>185.55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141.41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32.700000000000003</v>
      </c>
      <c r="F35" s="128">
        <f>INDEX('Table 3 ID Wind_2030'!$F$10:$F$38,MATCH(B35,'Table 3 ID Wind_2030'!$B$10:$B$38,0),1)</f>
        <v>15.51</v>
      </c>
      <c r="G35" s="130">
        <f t="shared" si="4"/>
        <v>58.345333481027467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58.345333481027467</v>
      </c>
      <c r="J35" s="130">
        <f t="shared" si="6"/>
        <v>189.62</v>
      </c>
      <c r="K35" s="128">
        <f t="shared" si="1"/>
        <v>189.62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144.52000000000001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33.42</v>
      </c>
      <c r="F36" s="128">
        <f>INDEX('Table 3 ID Wind_2030'!$F$10:$F$38,MATCH(B36,'Table 3 ID Wind_2030'!$B$10:$B$38,0),1)</f>
        <v>15.85</v>
      </c>
      <c r="G36" s="130">
        <f t="shared" si="4"/>
        <v>59.628426196014722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59.628426196014722</v>
      </c>
      <c r="J36" s="130">
        <f t="shared" si="6"/>
        <v>193.79</v>
      </c>
      <c r="K36" s="128">
        <f t="shared" si="1"/>
        <v>193.79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147.84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34.19</v>
      </c>
      <c r="F37" s="128">
        <f>INDEX('Table 3 ID Wind_2030'!$F$10:$F$38,MATCH(B37,'Table 3 ID Wind_2030'!$B$10:$B$38,0),1)</f>
        <v>16.21</v>
      </c>
      <c r="G37" s="130">
        <f t="shared" si="4"/>
        <v>60.997673817523918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60.997673817523918</v>
      </c>
      <c r="J37" s="130">
        <f t="shared" si="6"/>
        <v>198.24</v>
      </c>
      <c r="K37" s="128">
        <f t="shared" si="1"/>
        <v>198.24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46" customFormat="1" ht="18.95" customHeight="1">
      <c r="B4" s="406" t="s">
        <v>179</v>
      </c>
      <c r="C4" s="407"/>
      <c r="D4" s="407"/>
      <c r="E4" s="408"/>
      <c r="F4" s="118"/>
      <c r="G4" s="406" t="s">
        <v>184</v>
      </c>
      <c r="H4" s="407"/>
      <c r="I4" s="407"/>
      <c r="J4" s="408"/>
      <c r="K4" s="118"/>
      <c r="L4" s="409" t="s">
        <v>191</v>
      </c>
      <c r="M4" s="410"/>
      <c r="N4" s="410"/>
      <c r="O4" s="411"/>
      <c r="Q4" s="409" t="s">
        <v>182</v>
      </c>
      <c r="R4" s="410"/>
      <c r="S4" s="410"/>
      <c r="T4" s="411"/>
      <c r="U4" s="118"/>
      <c r="V4" s="406" t="s">
        <v>183</v>
      </c>
      <c r="W4" s="407"/>
      <c r="X4" s="407"/>
      <c r="Y4" s="408"/>
      <c r="Z4" s="118"/>
      <c r="AA4" s="406" t="s">
        <v>221</v>
      </c>
      <c r="AB4" s="407"/>
      <c r="AC4" s="407"/>
      <c r="AD4" s="408"/>
      <c r="AE4" s="118"/>
      <c r="AF4" s="406" t="s">
        <v>222</v>
      </c>
      <c r="AG4" s="407"/>
      <c r="AH4" s="407"/>
      <c r="AI4" s="408"/>
      <c r="AJ4" s="118"/>
      <c r="AK4" s="409" t="s">
        <v>187</v>
      </c>
      <c r="AL4" s="410"/>
      <c r="AM4" s="410"/>
      <c r="AN4" s="411"/>
      <c r="AO4" s="118"/>
      <c r="AP4" s="409" t="s">
        <v>193</v>
      </c>
      <c r="AQ4" s="410"/>
      <c r="AR4" s="410"/>
      <c r="AS4" s="411"/>
      <c r="AT4" s="118"/>
      <c r="AU4" s="409" t="s">
        <v>195</v>
      </c>
      <c r="AV4" s="410"/>
      <c r="AW4" s="410"/>
      <c r="AX4" s="411"/>
      <c r="AY4" s="118"/>
      <c r="AZ4" s="409" t="s">
        <v>219</v>
      </c>
      <c r="BA4" s="410"/>
      <c r="BB4" s="410"/>
      <c r="BC4" s="411"/>
      <c r="BD4" s="365"/>
      <c r="BE4" s="409" t="s">
        <v>220</v>
      </c>
      <c r="BF4" s="410"/>
      <c r="BG4" s="410"/>
      <c r="BH4" s="411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62" t="str">
        <f>B4</f>
        <v>Aeolus_Wyoming - to - Utah S, Expansion</v>
      </c>
      <c r="D9" s="119"/>
      <c r="E9" s="119"/>
      <c r="G9" s="362" t="str">
        <f>G4</f>
        <v>Goshen - to - Utah N, Expansion</v>
      </c>
      <c r="I9" s="119"/>
      <c r="J9" s="119"/>
      <c r="L9" s="362" t="str">
        <f>L4</f>
        <v>Yakima- to - Southern Oregon/California, Expansion</v>
      </c>
      <c r="N9" s="119"/>
      <c r="O9" s="119"/>
      <c r="Q9" s="362" t="str">
        <f>Q4</f>
        <v>Utah N, Transmission Integration</v>
      </c>
      <c r="S9" s="119"/>
      <c r="T9" s="119"/>
      <c r="V9" s="362" t="str">
        <f>V4</f>
        <v>Yakima, Transmission Integration</v>
      </c>
      <c r="X9" s="119"/>
      <c r="Y9" s="119"/>
      <c r="AA9" s="362" t="s">
        <v>185</v>
      </c>
      <c r="AC9" s="119"/>
      <c r="AD9" s="119"/>
      <c r="AF9" s="362" t="s">
        <v>186</v>
      </c>
      <c r="AH9" s="119"/>
      <c r="AI9" s="119"/>
      <c r="AK9" s="362" t="str">
        <f>AK4</f>
        <v>Southern Oregon/California, Transmission Integration</v>
      </c>
      <c r="AM9" s="119"/>
      <c r="AN9" s="119"/>
      <c r="AP9" s="362" t="str">
        <f>AP4</f>
        <v>Willamette Valley, Transmission Integration</v>
      </c>
      <c r="AR9" s="119"/>
      <c r="AS9" s="119"/>
      <c r="AU9" s="362" t="str">
        <f>AU4</f>
        <v>Wyoming SW, Transmission Integration</v>
      </c>
      <c r="AW9" s="119"/>
      <c r="AX9" s="119"/>
      <c r="AZ9" s="362" t="str">
        <f>AZ4</f>
        <v>Bridger - to - Bridger West, Recovered Transmission 2029</v>
      </c>
      <c r="BB9" s="119"/>
      <c r="BC9" s="119"/>
      <c r="BE9" s="362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53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53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53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53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53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48.97</v>
      </c>
      <c r="D12" s="135">
        <v>12</v>
      </c>
      <c r="E12" s="130">
        <f t="shared" si="0"/>
        <v>48.97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5">
        <v>12</v>
      </c>
      <c r="AD12" s="130">
        <f t="shared" si="5"/>
        <v>1.53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50.1</v>
      </c>
      <c r="D13" s="135">
        <v>12</v>
      </c>
      <c r="E13" s="130">
        <f t="shared" si="0"/>
        <v>50.1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</v>
      </c>
      <c r="S13" s="135">
        <v>12</v>
      </c>
      <c r="T13" s="130">
        <f t="shared" si="3"/>
        <v>2.7000000000000006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1.57</v>
      </c>
      <c r="AC13" s="135">
        <v>12</v>
      </c>
      <c r="AD13" s="130">
        <f t="shared" si="5"/>
        <v>1.57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51.25</v>
      </c>
      <c r="D14" s="135">
        <v>12</v>
      </c>
      <c r="E14" s="130">
        <f t="shared" si="0"/>
        <v>51.25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2.76</v>
      </c>
      <c r="S14" s="135">
        <v>12</v>
      </c>
      <c r="T14" s="130">
        <f t="shared" si="3"/>
        <v>2.76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1.61</v>
      </c>
      <c r="AC14" s="135">
        <v>12</v>
      </c>
      <c r="AD14" s="130">
        <f t="shared" si="5"/>
        <v>1.61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4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52.43</v>
      </c>
      <c r="D15" s="135">
        <v>12</v>
      </c>
      <c r="E15" s="130">
        <f t="shared" si="0"/>
        <v>52.43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1.65</v>
      </c>
      <c r="AC15" s="135">
        <v>12</v>
      </c>
      <c r="AD15" s="130">
        <f t="shared" si="5"/>
        <v>1.6499999999999997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53.69</v>
      </c>
      <c r="D16" s="135">
        <v>12</v>
      </c>
      <c r="E16" s="130">
        <f t="shared" si="0"/>
        <v>53.69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2.89</v>
      </c>
      <c r="S16" s="135">
        <v>12</v>
      </c>
      <c r="T16" s="130">
        <f t="shared" si="3"/>
        <v>2.89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1.69</v>
      </c>
      <c r="AC16" s="135">
        <v>12</v>
      </c>
      <c r="AD16" s="130">
        <f t="shared" si="5"/>
        <v>1.6900000000000002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53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54.92</v>
      </c>
      <c r="D17" s="135">
        <v>12</v>
      </c>
      <c r="E17" s="130">
        <f t="shared" si="0"/>
        <v>54.919999999999995</v>
      </c>
      <c r="F17" s="119"/>
      <c r="G17" s="353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2.96</v>
      </c>
      <c r="S17" s="135">
        <v>12</v>
      </c>
      <c r="T17" s="130">
        <f t="shared" si="3"/>
        <v>2.9599999999999995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1.73</v>
      </c>
      <c r="AC17" s="135">
        <v>12</v>
      </c>
      <c r="AD17" s="130">
        <f t="shared" si="5"/>
        <v>1.7299999999999998</v>
      </c>
      <c r="AE17" s="119"/>
      <c r="AF17" s="353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56.18</v>
      </c>
      <c r="D18" s="135">
        <v>12</v>
      </c>
      <c r="E18" s="130">
        <f t="shared" si="0"/>
        <v>56.18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3.03</v>
      </c>
      <c r="S18" s="135">
        <v>12</v>
      </c>
      <c r="T18" s="130">
        <f t="shared" si="3"/>
        <v>3.03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1.77</v>
      </c>
      <c r="AC18" s="135">
        <v>12</v>
      </c>
      <c r="AD18" s="130">
        <f t="shared" si="5"/>
        <v>1.7700000000000002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57.47</v>
      </c>
      <c r="D19" s="135">
        <v>12</v>
      </c>
      <c r="E19" s="130">
        <f t="shared" si="0"/>
        <v>57.47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3.1</v>
      </c>
      <c r="S19" s="135">
        <v>12</v>
      </c>
      <c r="T19" s="130">
        <f t="shared" si="3"/>
        <v>3.1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1.81</v>
      </c>
      <c r="AC19" s="135">
        <v>12</v>
      </c>
      <c r="AD19" s="130">
        <f t="shared" si="5"/>
        <v>1.8099999999999998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58.79</v>
      </c>
      <c r="D20" s="135">
        <v>12</v>
      </c>
      <c r="E20" s="130">
        <f t="shared" si="0"/>
        <v>58.79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3.17</v>
      </c>
      <c r="S20" s="135">
        <v>12</v>
      </c>
      <c r="T20" s="130">
        <f t="shared" si="3"/>
        <v>3.17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1.85</v>
      </c>
      <c r="AC20" s="135">
        <v>12</v>
      </c>
      <c r="AD20" s="130">
        <f t="shared" si="5"/>
        <v>1.8500000000000003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53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60.14</v>
      </c>
      <c r="D21" s="135">
        <v>12</v>
      </c>
      <c r="E21" s="130">
        <f t="shared" si="0"/>
        <v>60.140000000000008</v>
      </c>
      <c r="F21" s="119"/>
      <c r="G21" s="135">
        <f t="shared" si="13"/>
        <v>2034</v>
      </c>
      <c r="H21" s="128">
        <f t="shared" si="25"/>
        <v>13.25</v>
      </c>
      <c r="I21" s="135">
        <v>12</v>
      </c>
      <c r="J21" s="130">
        <f t="shared" si="1"/>
        <v>13.25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3.24</v>
      </c>
      <c r="S21" s="135">
        <v>12</v>
      </c>
      <c r="T21" s="130">
        <f t="shared" si="3"/>
        <v>3.24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1.89</v>
      </c>
      <c r="AC21" s="135">
        <v>12</v>
      </c>
      <c r="AD21" s="130">
        <f t="shared" si="5"/>
        <v>1.89</v>
      </c>
      <c r="AE21" s="119"/>
      <c r="AF21" s="135">
        <f t="shared" si="18"/>
        <v>2034</v>
      </c>
      <c r="AG21" s="128">
        <f t="shared" si="30"/>
        <v>23.63</v>
      </c>
      <c r="AH21" s="135">
        <v>12</v>
      </c>
      <c r="AI21" s="130">
        <f t="shared" si="6"/>
        <v>23.63</v>
      </c>
      <c r="AJ21" s="119"/>
      <c r="AK21" s="135">
        <f t="shared" si="19"/>
        <v>2034</v>
      </c>
      <c r="AL21" s="128">
        <f t="shared" si="31"/>
        <v>11.52</v>
      </c>
      <c r="AM21" s="135">
        <v>12</v>
      </c>
      <c r="AN21" s="130">
        <f t="shared" si="7"/>
        <v>11.520000000000001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61.52</v>
      </c>
      <c r="D22" s="135">
        <v>12</v>
      </c>
      <c r="E22" s="130">
        <f t="shared" si="0"/>
        <v>61.52</v>
      </c>
      <c r="F22" s="119"/>
      <c r="G22" s="135">
        <f t="shared" si="13"/>
        <v>2035</v>
      </c>
      <c r="H22" s="128">
        <f t="shared" si="25"/>
        <v>13.55</v>
      </c>
      <c r="I22" s="135">
        <v>12</v>
      </c>
      <c r="J22" s="130">
        <f t="shared" si="1"/>
        <v>13.550000000000002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3.31</v>
      </c>
      <c r="S22" s="135">
        <v>12</v>
      </c>
      <c r="T22" s="130">
        <f t="shared" si="3"/>
        <v>3.31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1.93</v>
      </c>
      <c r="AC22" s="135">
        <v>12</v>
      </c>
      <c r="AD22" s="130">
        <f t="shared" si="5"/>
        <v>1.93</v>
      </c>
      <c r="AE22" s="119"/>
      <c r="AF22" s="135">
        <f t="shared" si="18"/>
        <v>2035</v>
      </c>
      <c r="AG22" s="128">
        <f t="shared" si="30"/>
        <v>24.17</v>
      </c>
      <c r="AH22" s="135">
        <v>12</v>
      </c>
      <c r="AI22" s="130">
        <f t="shared" si="6"/>
        <v>24.17</v>
      </c>
      <c r="AJ22" s="119"/>
      <c r="AK22" s="135">
        <f t="shared" si="19"/>
        <v>2035</v>
      </c>
      <c r="AL22" s="128">
        <f t="shared" si="31"/>
        <v>11.78</v>
      </c>
      <c r="AM22" s="135">
        <v>12</v>
      </c>
      <c r="AN22" s="130">
        <f t="shared" si="7"/>
        <v>11.78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62.93</v>
      </c>
      <c r="D23" s="135">
        <v>12</v>
      </c>
      <c r="E23" s="130">
        <f t="shared" si="0"/>
        <v>62.93</v>
      </c>
      <c r="F23" s="119"/>
      <c r="G23" s="135">
        <f t="shared" si="13"/>
        <v>2036</v>
      </c>
      <c r="H23" s="128">
        <f t="shared" si="25"/>
        <v>13.86</v>
      </c>
      <c r="I23" s="135">
        <v>12</v>
      </c>
      <c r="J23" s="130">
        <f t="shared" si="1"/>
        <v>13.86</v>
      </c>
      <c r="K23" s="119"/>
      <c r="L23" s="353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3.39</v>
      </c>
      <c r="S23" s="135">
        <v>12</v>
      </c>
      <c r="T23" s="130">
        <f t="shared" si="3"/>
        <v>3.39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1.97</v>
      </c>
      <c r="AC23" s="135">
        <v>12</v>
      </c>
      <c r="AD23" s="130">
        <f t="shared" si="5"/>
        <v>1.97</v>
      </c>
      <c r="AE23" s="119"/>
      <c r="AF23" s="135">
        <f t="shared" si="18"/>
        <v>2036</v>
      </c>
      <c r="AG23" s="128">
        <f t="shared" si="30"/>
        <v>24.73</v>
      </c>
      <c r="AH23" s="135">
        <v>12</v>
      </c>
      <c r="AI23" s="130">
        <f t="shared" si="6"/>
        <v>24.73</v>
      </c>
      <c r="AJ23" s="119"/>
      <c r="AK23" s="135">
        <f t="shared" si="19"/>
        <v>2036</v>
      </c>
      <c r="AL23" s="128">
        <f t="shared" si="31"/>
        <v>12.05</v>
      </c>
      <c r="AM23" s="135">
        <v>12</v>
      </c>
      <c r="AN23" s="130">
        <f t="shared" si="7"/>
        <v>12.050000000000002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64.38</v>
      </c>
      <c r="D24" s="135">
        <v>12</v>
      </c>
      <c r="E24" s="130">
        <f t="shared" si="0"/>
        <v>64.38</v>
      </c>
      <c r="F24" s="119"/>
      <c r="G24" s="135">
        <f t="shared" si="13"/>
        <v>2037</v>
      </c>
      <c r="H24" s="128">
        <f t="shared" si="25"/>
        <v>14.18</v>
      </c>
      <c r="I24" s="135">
        <v>12</v>
      </c>
      <c r="J24" s="130">
        <f t="shared" si="1"/>
        <v>14.18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3.47</v>
      </c>
      <c r="S24" s="135">
        <v>12</v>
      </c>
      <c r="T24" s="130">
        <f t="shared" si="3"/>
        <v>3.47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2.02</v>
      </c>
      <c r="AC24" s="135">
        <v>12</v>
      </c>
      <c r="AD24" s="130">
        <f t="shared" si="5"/>
        <v>2.02</v>
      </c>
      <c r="AE24" s="119"/>
      <c r="AF24" s="135">
        <f t="shared" si="18"/>
        <v>2037</v>
      </c>
      <c r="AG24" s="128">
        <f t="shared" si="30"/>
        <v>25.3</v>
      </c>
      <c r="AH24" s="135">
        <v>12</v>
      </c>
      <c r="AI24" s="130">
        <f t="shared" si="6"/>
        <v>25.3</v>
      </c>
      <c r="AJ24" s="119"/>
      <c r="AK24" s="135">
        <f t="shared" si="19"/>
        <v>2037</v>
      </c>
      <c r="AL24" s="128">
        <f t="shared" si="31"/>
        <v>12.33</v>
      </c>
      <c r="AM24" s="135">
        <v>12</v>
      </c>
      <c r="AN24" s="130">
        <f t="shared" si="7"/>
        <v>12.33</v>
      </c>
      <c r="AO24" s="119"/>
      <c r="AP24" s="353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53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65.86</v>
      </c>
      <c r="D25" s="135">
        <v>12</v>
      </c>
      <c r="E25" s="130">
        <f t="shared" si="0"/>
        <v>65.86</v>
      </c>
      <c r="F25" s="119"/>
      <c r="G25" s="135">
        <f t="shared" si="13"/>
        <v>2038</v>
      </c>
      <c r="H25" s="128">
        <f t="shared" si="25"/>
        <v>14.51</v>
      </c>
      <c r="I25" s="135">
        <v>12</v>
      </c>
      <c r="J25" s="130">
        <f t="shared" si="1"/>
        <v>14.51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3.55</v>
      </c>
      <c r="S25" s="135">
        <v>12</v>
      </c>
      <c r="T25" s="130">
        <f t="shared" si="3"/>
        <v>3.5499999999999994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2.0699999999999998</v>
      </c>
      <c r="AC25" s="135">
        <v>12</v>
      </c>
      <c r="AD25" s="130">
        <f t="shared" si="5"/>
        <v>2.0699999999999998</v>
      </c>
      <c r="AE25" s="119"/>
      <c r="AF25" s="135">
        <f t="shared" si="18"/>
        <v>2038</v>
      </c>
      <c r="AG25" s="128">
        <f t="shared" si="30"/>
        <v>25.88</v>
      </c>
      <c r="AH25" s="135">
        <v>12</v>
      </c>
      <c r="AI25" s="130">
        <f t="shared" si="6"/>
        <v>25.88</v>
      </c>
      <c r="AJ25" s="119"/>
      <c r="AK25" s="135">
        <f t="shared" si="19"/>
        <v>2038</v>
      </c>
      <c r="AL25" s="128">
        <f t="shared" si="31"/>
        <v>12.61</v>
      </c>
      <c r="AM25" s="135">
        <v>12</v>
      </c>
      <c r="AN25" s="130">
        <f t="shared" si="7"/>
        <v>12.61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67.37</v>
      </c>
      <c r="D26" s="135">
        <v>12</v>
      </c>
      <c r="E26" s="130">
        <f t="shared" si="0"/>
        <v>67.37</v>
      </c>
      <c r="F26" s="119"/>
      <c r="G26" s="135">
        <f t="shared" si="13"/>
        <v>2039</v>
      </c>
      <c r="H26" s="128">
        <f t="shared" si="25"/>
        <v>14.84</v>
      </c>
      <c r="I26" s="135">
        <v>12</v>
      </c>
      <c r="J26" s="130">
        <f t="shared" si="1"/>
        <v>14.839999999999998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3.63</v>
      </c>
      <c r="S26" s="135">
        <v>12</v>
      </c>
      <c r="T26" s="130">
        <f t="shared" si="3"/>
        <v>3.6300000000000003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2.12</v>
      </c>
      <c r="AC26" s="135">
        <v>12</v>
      </c>
      <c r="AD26" s="130">
        <f t="shared" si="5"/>
        <v>2.12</v>
      </c>
      <c r="AE26" s="119"/>
      <c r="AF26" s="135">
        <f t="shared" si="18"/>
        <v>2039</v>
      </c>
      <c r="AG26" s="128">
        <f t="shared" si="30"/>
        <v>26.48</v>
      </c>
      <c r="AH26" s="135">
        <v>12</v>
      </c>
      <c r="AI26" s="130">
        <f t="shared" si="6"/>
        <v>26.48</v>
      </c>
      <c r="AJ26" s="119"/>
      <c r="AK26" s="135">
        <f t="shared" si="19"/>
        <v>2039</v>
      </c>
      <c r="AL26" s="128">
        <f t="shared" si="31"/>
        <v>12.9</v>
      </c>
      <c r="AM26" s="135">
        <v>12</v>
      </c>
      <c r="AN26" s="130">
        <f t="shared" si="7"/>
        <v>12.9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68.92</v>
      </c>
      <c r="D27" s="135">
        <v>12</v>
      </c>
      <c r="E27" s="130">
        <f t="shared" si="0"/>
        <v>68.92</v>
      </c>
      <c r="F27" s="119"/>
      <c r="G27" s="135">
        <f t="shared" si="13"/>
        <v>2040</v>
      </c>
      <c r="H27" s="128">
        <f t="shared" si="25"/>
        <v>15.18</v>
      </c>
      <c r="I27" s="135">
        <v>12</v>
      </c>
      <c r="J27" s="130">
        <f t="shared" si="1"/>
        <v>15.18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3.71</v>
      </c>
      <c r="S27" s="135">
        <v>12</v>
      </c>
      <c r="T27" s="130">
        <f t="shared" si="3"/>
        <v>3.7099999999999995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2.17</v>
      </c>
      <c r="AC27" s="135">
        <v>12</v>
      </c>
      <c r="AD27" s="130">
        <f t="shared" si="5"/>
        <v>2.17</v>
      </c>
      <c r="AE27" s="119"/>
      <c r="AF27" s="135">
        <f t="shared" si="18"/>
        <v>2040</v>
      </c>
      <c r="AG27" s="128">
        <f t="shared" si="30"/>
        <v>27.09</v>
      </c>
      <c r="AH27" s="135">
        <v>12</v>
      </c>
      <c r="AI27" s="130">
        <f t="shared" si="6"/>
        <v>27.09</v>
      </c>
      <c r="AJ27" s="119"/>
      <c r="AK27" s="135">
        <f t="shared" si="19"/>
        <v>2040</v>
      </c>
      <c r="AL27" s="128">
        <f t="shared" si="31"/>
        <v>13.2</v>
      </c>
      <c r="AM27" s="135">
        <v>12</v>
      </c>
      <c r="AN27" s="130">
        <f t="shared" si="7"/>
        <v>13.199999999999998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70.44</v>
      </c>
      <c r="D28" s="135">
        <v>12</v>
      </c>
      <c r="E28" s="130">
        <f t="shared" si="0"/>
        <v>70.44</v>
      </c>
      <c r="F28" s="119"/>
      <c r="G28" s="135">
        <f t="shared" si="13"/>
        <v>2041</v>
      </c>
      <c r="H28" s="128">
        <f t="shared" si="25"/>
        <v>15.51</v>
      </c>
      <c r="I28" s="135">
        <v>12</v>
      </c>
      <c r="J28" s="130">
        <f t="shared" si="1"/>
        <v>15.51</v>
      </c>
      <c r="K28" s="119"/>
      <c r="L28" s="135">
        <f t="shared" si="14"/>
        <v>2041</v>
      </c>
      <c r="M28" s="128">
        <f t="shared" si="26"/>
        <v>34.81</v>
      </c>
      <c r="N28" s="135">
        <v>12</v>
      </c>
      <c r="O28" s="130">
        <f t="shared" si="2"/>
        <v>34.81</v>
      </c>
      <c r="Q28" s="135">
        <f t="shared" si="15"/>
        <v>2041</v>
      </c>
      <c r="R28" s="128">
        <f t="shared" si="27"/>
        <v>3.79</v>
      </c>
      <c r="S28" s="135">
        <v>12</v>
      </c>
      <c r="T28" s="130">
        <f t="shared" si="3"/>
        <v>3.7900000000000005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2.2200000000000002</v>
      </c>
      <c r="AC28" s="135">
        <v>12</v>
      </c>
      <c r="AD28" s="130">
        <f t="shared" si="5"/>
        <v>2.2200000000000002</v>
      </c>
      <c r="AE28" s="119"/>
      <c r="AF28" s="135">
        <f t="shared" si="18"/>
        <v>2041</v>
      </c>
      <c r="AG28" s="128">
        <f t="shared" si="30"/>
        <v>27.69</v>
      </c>
      <c r="AH28" s="135">
        <v>12</v>
      </c>
      <c r="AI28" s="130">
        <f t="shared" si="6"/>
        <v>27.69</v>
      </c>
      <c r="AJ28" s="119"/>
      <c r="AK28" s="135">
        <f t="shared" si="19"/>
        <v>2041</v>
      </c>
      <c r="AL28" s="128">
        <f t="shared" si="31"/>
        <v>13.49</v>
      </c>
      <c r="AM28" s="135">
        <v>12</v>
      </c>
      <c r="AN28" s="130">
        <f t="shared" si="7"/>
        <v>13.49</v>
      </c>
      <c r="AO28" s="119"/>
      <c r="AP28" s="135">
        <f t="shared" si="20"/>
        <v>2041</v>
      </c>
      <c r="AQ28" s="128">
        <f t="shared" si="32"/>
        <v>5.21</v>
      </c>
      <c r="AR28" s="135">
        <v>12</v>
      </c>
      <c r="AS28" s="130">
        <f t="shared" si="8"/>
        <v>5.21</v>
      </c>
      <c r="AT28" s="119"/>
      <c r="AU28" s="135">
        <f t="shared" si="21"/>
        <v>2041</v>
      </c>
      <c r="AV28" s="128">
        <f t="shared" si="33"/>
        <v>6.01</v>
      </c>
      <c r="AW28" s="135">
        <v>12</v>
      </c>
      <c r="AX28" s="130">
        <f t="shared" si="9"/>
        <v>6.0100000000000007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71.989999999999995</v>
      </c>
      <c r="D29" s="135">
        <v>12</v>
      </c>
      <c r="E29" s="130">
        <f t="shared" si="0"/>
        <v>71.989999999999995</v>
      </c>
      <c r="F29" s="119"/>
      <c r="G29" s="135">
        <f t="shared" si="13"/>
        <v>2042</v>
      </c>
      <c r="H29" s="128">
        <f t="shared" si="25"/>
        <v>15.85</v>
      </c>
      <c r="I29" s="135">
        <v>12</v>
      </c>
      <c r="J29" s="130">
        <f t="shared" si="1"/>
        <v>15.85</v>
      </c>
      <c r="K29" s="119"/>
      <c r="L29" s="135">
        <f t="shared" si="14"/>
        <v>2042</v>
      </c>
      <c r="M29" s="128">
        <f t="shared" si="26"/>
        <v>35.58</v>
      </c>
      <c r="N29" s="135">
        <v>12</v>
      </c>
      <c r="O29" s="130">
        <f t="shared" si="2"/>
        <v>35.58</v>
      </c>
      <c r="Q29" s="135">
        <f t="shared" si="15"/>
        <v>2042</v>
      </c>
      <c r="R29" s="128">
        <f t="shared" si="27"/>
        <v>3.87</v>
      </c>
      <c r="S29" s="135">
        <v>12</v>
      </c>
      <c r="T29" s="130">
        <f t="shared" si="3"/>
        <v>3.8699999999999997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2.27</v>
      </c>
      <c r="AC29" s="135">
        <v>12</v>
      </c>
      <c r="AD29" s="130">
        <f t="shared" si="5"/>
        <v>2.27</v>
      </c>
      <c r="AE29" s="119"/>
      <c r="AF29" s="135">
        <f t="shared" si="18"/>
        <v>2042</v>
      </c>
      <c r="AG29" s="128">
        <f t="shared" si="30"/>
        <v>28.3</v>
      </c>
      <c r="AH29" s="135">
        <v>12</v>
      </c>
      <c r="AI29" s="130">
        <f t="shared" si="6"/>
        <v>28.3</v>
      </c>
      <c r="AJ29" s="119"/>
      <c r="AK29" s="135">
        <f t="shared" si="19"/>
        <v>2042</v>
      </c>
      <c r="AL29" s="128">
        <f t="shared" si="31"/>
        <v>13.79</v>
      </c>
      <c r="AM29" s="135">
        <v>12</v>
      </c>
      <c r="AN29" s="130">
        <f t="shared" si="7"/>
        <v>13.79</v>
      </c>
      <c r="AO29" s="119"/>
      <c r="AP29" s="135">
        <f t="shared" si="20"/>
        <v>2042</v>
      </c>
      <c r="AQ29" s="128">
        <f t="shared" si="32"/>
        <v>5.32</v>
      </c>
      <c r="AR29" s="135">
        <v>12</v>
      </c>
      <c r="AS29" s="130">
        <f t="shared" si="8"/>
        <v>5.32</v>
      </c>
      <c r="AT29" s="119"/>
      <c r="AU29" s="135">
        <f t="shared" si="21"/>
        <v>2042</v>
      </c>
      <c r="AV29" s="128">
        <f t="shared" si="33"/>
        <v>6.14</v>
      </c>
      <c r="AW29" s="135">
        <v>12</v>
      </c>
      <c r="AX29" s="130">
        <f t="shared" si="9"/>
        <v>6.14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73.650000000000006</v>
      </c>
      <c r="D30" s="135">
        <v>12</v>
      </c>
      <c r="E30" s="130">
        <f t="shared" si="0"/>
        <v>73.650000000000006</v>
      </c>
      <c r="F30" s="119"/>
      <c r="G30" s="135">
        <f t="shared" si="13"/>
        <v>2043</v>
      </c>
      <c r="H30" s="128">
        <f t="shared" si="25"/>
        <v>16.21</v>
      </c>
      <c r="I30" s="135">
        <v>12</v>
      </c>
      <c r="J30" s="130">
        <f t="shared" si="1"/>
        <v>16.21</v>
      </c>
      <c r="K30" s="119"/>
      <c r="L30" s="135">
        <f t="shared" si="14"/>
        <v>2043</v>
      </c>
      <c r="M30" s="128">
        <f t="shared" si="26"/>
        <v>36.4</v>
      </c>
      <c r="N30" s="135">
        <v>12</v>
      </c>
      <c r="O30" s="130">
        <f t="shared" si="2"/>
        <v>36.4</v>
      </c>
      <c r="Q30" s="135">
        <f t="shared" si="15"/>
        <v>2043</v>
      </c>
      <c r="R30" s="128">
        <f t="shared" si="27"/>
        <v>3.96</v>
      </c>
      <c r="S30" s="135">
        <v>12</v>
      </c>
      <c r="T30" s="130">
        <f t="shared" si="3"/>
        <v>3.9599999999999995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2.3199999999999998</v>
      </c>
      <c r="AC30" s="135">
        <v>12</v>
      </c>
      <c r="AD30" s="130">
        <f t="shared" si="5"/>
        <v>2.3199999999999998</v>
      </c>
      <c r="AE30" s="119"/>
      <c r="AF30" s="135">
        <f t="shared" si="18"/>
        <v>2043</v>
      </c>
      <c r="AG30" s="128">
        <f t="shared" si="30"/>
        <v>28.95</v>
      </c>
      <c r="AH30" s="135">
        <v>12</v>
      </c>
      <c r="AI30" s="130">
        <f t="shared" si="6"/>
        <v>28.95</v>
      </c>
      <c r="AJ30" s="119"/>
      <c r="AK30" s="135">
        <f t="shared" si="19"/>
        <v>2043</v>
      </c>
      <c r="AL30" s="128">
        <f t="shared" si="31"/>
        <v>14.11</v>
      </c>
      <c r="AM30" s="135">
        <v>12</v>
      </c>
      <c r="AN30" s="130">
        <f t="shared" si="7"/>
        <v>14.11</v>
      </c>
      <c r="AO30" s="119"/>
      <c r="AP30" s="135">
        <f t="shared" si="20"/>
        <v>2043</v>
      </c>
      <c r="AQ30" s="128">
        <f t="shared" si="32"/>
        <v>5.44</v>
      </c>
      <c r="AR30" s="135">
        <v>12</v>
      </c>
      <c r="AS30" s="130">
        <f t="shared" si="8"/>
        <v>5.44</v>
      </c>
      <c r="AT30" s="119"/>
      <c r="AU30" s="135">
        <f t="shared" si="21"/>
        <v>2043</v>
      </c>
      <c r="AV30" s="128">
        <f t="shared" si="33"/>
        <v>6.28</v>
      </c>
      <c r="AW30" s="135">
        <v>12</v>
      </c>
      <c r="AX30" s="130">
        <f t="shared" si="9"/>
        <v>6.28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75.27</v>
      </c>
      <c r="D31" s="135">
        <v>12</v>
      </c>
      <c r="E31" s="130">
        <f t="shared" si="0"/>
        <v>75.27</v>
      </c>
      <c r="F31" s="119"/>
      <c r="G31" s="135">
        <f t="shared" si="13"/>
        <v>2044</v>
      </c>
      <c r="H31" s="128">
        <f t="shared" si="25"/>
        <v>16.57</v>
      </c>
      <c r="I31" s="135">
        <v>12</v>
      </c>
      <c r="J31" s="130">
        <f t="shared" si="1"/>
        <v>16.57</v>
      </c>
      <c r="K31" s="119"/>
      <c r="L31" s="135">
        <f t="shared" si="14"/>
        <v>2044</v>
      </c>
      <c r="M31" s="128">
        <f t="shared" si="26"/>
        <v>37.200000000000003</v>
      </c>
      <c r="N31" s="135">
        <v>12</v>
      </c>
      <c r="O31" s="130">
        <f t="shared" si="2"/>
        <v>37.200000000000003</v>
      </c>
      <c r="Q31" s="135">
        <f t="shared" si="15"/>
        <v>2044</v>
      </c>
      <c r="R31" s="128">
        <f t="shared" si="27"/>
        <v>4.05</v>
      </c>
      <c r="S31" s="135">
        <v>12</v>
      </c>
      <c r="T31" s="130">
        <f t="shared" si="3"/>
        <v>4.05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2.37</v>
      </c>
      <c r="AC31" s="135">
        <v>12</v>
      </c>
      <c r="AD31" s="130">
        <f t="shared" si="5"/>
        <v>2.37</v>
      </c>
      <c r="AE31" s="119"/>
      <c r="AF31" s="135">
        <f t="shared" si="18"/>
        <v>2044</v>
      </c>
      <c r="AG31" s="128">
        <f t="shared" si="30"/>
        <v>29.59</v>
      </c>
      <c r="AH31" s="135">
        <v>12</v>
      </c>
      <c r="AI31" s="130">
        <f t="shared" si="6"/>
        <v>29.59</v>
      </c>
      <c r="AJ31" s="119"/>
      <c r="AK31" s="135">
        <f t="shared" si="19"/>
        <v>2044</v>
      </c>
      <c r="AL31" s="128">
        <f t="shared" si="31"/>
        <v>14.42</v>
      </c>
      <c r="AM31" s="135">
        <v>12</v>
      </c>
      <c r="AN31" s="130">
        <f t="shared" si="7"/>
        <v>14.42</v>
      </c>
      <c r="AO31" s="119"/>
      <c r="AP31" s="135">
        <f t="shared" si="20"/>
        <v>2044</v>
      </c>
      <c r="AQ31" s="128">
        <f t="shared" si="32"/>
        <v>5.56</v>
      </c>
      <c r="AR31" s="135">
        <v>12</v>
      </c>
      <c r="AS31" s="130">
        <f t="shared" si="8"/>
        <v>5.56</v>
      </c>
      <c r="AT31" s="119"/>
      <c r="AU31" s="135">
        <f t="shared" si="21"/>
        <v>2044</v>
      </c>
      <c r="AV31" s="128">
        <f t="shared" si="33"/>
        <v>6.42</v>
      </c>
      <c r="AW31" s="135">
        <v>12</v>
      </c>
      <c r="AX31" s="130">
        <f t="shared" si="9"/>
        <v>6.419999999999999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77</v>
      </c>
      <c r="D32" s="135">
        <v>12</v>
      </c>
      <c r="E32" s="130">
        <f t="shared" si="0"/>
        <v>77</v>
      </c>
      <c r="F32" s="119"/>
      <c r="G32" s="135">
        <f t="shared" si="13"/>
        <v>2045</v>
      </c>
      <c r="H32" s="128">
        <f t="shared" si="25"/>
        <v>16.95</v>
      </c>
      <c r="I32" s="135">
        <v>12</v>
      </c>
      <c r="J32" s="130">
        <f t="shared" si="1"/>
        <v>16.95</v>
      </c>
      <c r="K32" s="119"/>
      <c r="L32" s="135">
        <f t="shared" si="14"/>
        <v>2045</v>
      </c>
      <c r="M32" s="128">
        <f t="shared" si="26"/>
        <v>38.06</v>
      </c>
      <c r="N32" s="135">
        <v>12</v>
      </c>
      <c r="O32" s="130">
        <f t="shared" si="2"/>
        <v>38.06</v>
      </c>
      <c r="Q32" s="135">
        <f t="shared" si="15"/>
        <v>2045</v>
      </c>
      <c r="R32" s="128">
        <f t="shared" si="27"/>
        <v>4.1399999999999997</v>
      </c>
      <c r="S32" s="135">
        <v>12</v>
      </c>
      <c r="T32" s="130">
        <f t="shared" si="3"/>
        <v>4.1399999999999997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2.42</v>
      </c>
      <c r="AC32" s="135">
        <v>12</v>
      </c>
      <c r="AD32" s="130">
        <f t="shared" si="5"/>
        <v>2.42</v>
      </c>
      <c r="AE32" s="119"/>
      <c r="AF32" s="135">
        <f t="shared" si="18"/>
        <v>2045</v>
      </c>
      <c r="AG32" s="128">
        <f t="shared" si="30"/>
        <v>30.27</v>
      </c>
      <c r="AH32" s="135">
        <v>12</v>
      </c>
      <c r="AI32" s="130">
        <f t="shared" si="6"/>
        <v>30.27</v>
      </c>
      <c r="AJ32" s="119"/>
      <c r="AK32" s="135">
        <f t="shared" si="19"/>
        <v>2045</v>
      </c>
      <c r="AL32" s="128">
        <f t="shared" si="31"/>
        <v>14.75</v>
      </c>
      <c r="AM32" s="135">
        <v>12</v>
      </c>
      <c r="AN32" s="130">
        <f t="shared" si="7"/>
        <v>14.75</v>
      </c>
      <c r="AO32" s="119"/>
      <c r="AP32" s="135">
        <f t="shared" si="20"/>
        <v>2045</v>
      </c>
      <c r="AQ32" s="128">
        <f t="shared" si="32"/>
        <v>5.69</v>
      </c>
      <c r="AR32" s="135">
        <v>12</v>
      </c>
      <c r="AS32" s="130">
        <f t="shared" si="8"/>
        <v>5.69</v>
      </c>
      <c r="AT32" s="119"/>
      <c r="AU32" s="135">
        <f t="shared" si="21"/>
        <v>2045</v>
      </c>
      <c r="AV32" s="128">
        <f t="shared" si="33"/>
        <v>6.57</v>
      </c>
      <c r="AW32" s="135">
        <v>12</v>
      </c>
      <c r="AX32" s="130">
        <f t="shared" si="9"/>
        <v>6.57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61">
        <v>2024</v>
      </c>
      <c r="H35" s="128" t="s">
        <v>103</v>
      </c>
      <c r="I35" s="361">
        <v>2030</v>
      </c>
      <c r="M35" s="128" t="s">
        <v>103</v>
      </c>
      <c r="N35" s="361">
        <v>2036</v>
      </c>
      <c r="R35" s="128" t="s">
        <v>103</v>
      </c>
      <c r="S35" s="361">
        <v>2024</v>
      </c>
      <c r="W35" s="128" t="s">
        <v>103</v>
      </c>
      <c r="X35" s="361">
        <v>2024</v>
      </c>
      <c r="AB35" s="128" t="s">
        <v>103</v>
      </c>
      <c r="AC35" s="361">
        <v>2023</v>
      </c>
      <c r="AG35" s="128" t="s">
        <v>103</v>
      </c>
      <c r="AH35" s="363">
        <v>2030</v>
      </c>
      <c r="AL35" s="128" t="s">
        <v>103</v>
      </c>
      <c r="AM35" s="361">
        <v>2033</v>
      </c>
      <c r="AQ35" s="128" t="s">
        <v>103</v>
      </c>
      <c r="AR35" s="361">
        <v>2037</v>
      </c>
      <c r="AV35" s="128" t="s">
        <v>103</v>
      </c>
      <c r="AW35" s="361">
        <v>2037</v>
      </c>
      <c r="BA35" s="128" t="s">
        <v>103</v>
      </c>
      <c r="BB35" s="363">
        <v>2029</v>
      </c>
      <c r="BF35" s="128" t="s">
        <v>103</v>
      </c>
      <c r="BG35" s="363">
        <v>2024</v>
      </c>
    </row>
    <row r="36" spans="2:60">
      <c r="C36" s="185" t="s">
        <v>84</v>
      </c>
      <c r="D36" s="361">
        <v>1920</v>
      </c>
      <c r="H36" s="185" t="s">
        <v>84</v>
      </c>
      <c r="I36" s="361">
        <v>1100</v>
      </c>
      <c r="M36" s="185" t="s">
        <v>84</v>
      </c>
      <c r="N36" s="361">
        <v>430</v>
      </c>
      <c r="R36" s="185" t="s">
        <v>84</v>
      </c>
      <c r="S36" s="361">
        <v>600</v>
      </c>
      <c r="W36" s="185" t="s">
        <v>84</v>
      </c>
      <c r="X36" s="361">
        <v>405</v>
      </c>
      <c r="AB36" s="185" t="s">
        <v>84</v>
      </c>
      <c r="AC36" s="361">
        <v>300</v>
      </c>
      <c r="AG36" s="185" t="s">
        <v>84</v>
      </c>
      <c r="AH36" s="363">
        <v>500</v>
      </c>
      <c r="AL36" s="185" t="s">
        <v>84</v>
      </c>
      <c r="AM36" s="361">
        <v>475</v>
      </c>
      <c r="AQ36" s="185" t="s">
        <v>84</v>
      </c>
      <c r="AR36" s="361">
        <v>442.8</v>
      </c>
      <c r="AV36" s="185" t="s">
        <v>84</v>
      </c>
      <c r="AW36" s="361">
        <v>369.8</v>
      </c>
      <c r="BA36" s="185" t="s">
        <v>84</v>
      </c>
      <c r="BB36" s="363">
        <v>359.4</v>
      </c>
      <c r="BF36" s="185" t="s">
        <v>84</v>
      </c>
      <c r="BG36" s="363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64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64">
        <v>0</v>
      </c>
      <c r="BE37" s="129"/>
      <c r="BF37" s="128" t="s">
        <v>177</v>
      </c>
      <c r="BG37" s="364">
        <v>0</v>
      </c>
    </row>
    <row r="38" spans="2:60">
      <c r="B38" s="129"/>
      <c r="C38" s="128" t="s">
        <v>178</v>
      </c>
      <c r="D38" s="359">
        <v>5.9603158827233105E-2</v>
      </c>
      <c r="G38" s="129"/>
      <c r="H38" s="128" t="s">
        <v>178</v>
      </c>
      <c r="I38" s="359">
        <v>5.9603158827233105E-2</v>
      </c>
      <c r="L38" s="129"/>
      <c r="M38" s="128" t="s">
        <v>178</v>
      </c>
      <c r="N38" s="359">
        <v>5.9603158827233105E-2</v>
      </c>
      <c r="Q38" s="129"/>
      <c r="R38" s="128" t="s">
        <v>178</v>
      </c>
      <c r="S38" s="359">
        <v>5.9603158827233105E-2</v>
      </c>
      <c r="V38" s="129"/>
      <c r="W38" s="128" t="s">
        <v>178</v>
      </c>
      <c r="X38" s="359">
        <v>5.9603158827233105E-2</v>
      </c>
      <c r="AA38" s="129"/>
      <c r="AB38" s="128" t="s">
        <v>178</v>
      </c>
      <c r="AC38" s="359">
        <v>5.9603158827233105E-2</v>
      </c>
      <c r="AF38" s="129"/>
      <c r="AG38" s="128" t="s">
        <v>178</v>
      </c>
      <c r="AH38" s="359">
        <v>5.9603158827233105E-2</v>
      </c>
      <c r="AK38" s="129"/>
      <c r="AL38" s="128" t="s">
        <v>178</v>
      </c>
      <c r="AM38" s="359">
        <v>5.9603158827233105E-2</v>
      </c>
      <c r="AP38" s="129"/>
      <c r="AQ38" s="128" t="s">
        <v>178</v>
      </c>
      <c r="AR38" s="359">
        <v>5.9603158827233105E-2</v>
      </c>
      <c r="AU38" s="129"/>
      <c r="AV38" s="128" t="s">
        <v>178</v>
      </c>
      <c r="AW38" s="359">
        <v>5.9603158827233105E-2</v>
      </c>
      <c r="AZ38" s="129"/>
      <c r="BA38" s="128" t="s">
        <v>178</v>
      </c>
      <c r="BB38" s="359">
        <v>5.9603158827233105E-2</v>
      </c>
      <c r="BE38" s="129"/>
      <c r="BF38" s="128" t="s">
        <v>178</v>
      </c>
      <c r="BG38" s="359">
        <v>5.9603158827233105E-2</v>
      </c>
    </row>
    <row r="39" spans="2:60" ht="41.25" customHeight="1">
      <c r="B39" s="405" t="s">
        <v>176</v>
      </c>
      <c r="C39" s="405"/>
      <c r="D39" s="360">
        <f>D37*1000000*D38/(D36*1000)</f>
        <v>47.870308055404152</v>
      </c>
      <c r="G39" s="405" t="s">
        <v>190</v>
      </c>
      <c r="H39" s="405"/>
      <c r="I39" s="360">
        <f>I37*1000000*I38/(I36*1000)</f>
        <v>12.097273854334603</v>
      </c>
      <c r="L39" s="405" t="s">
        <v>192</v>
      </c>
      <c r="M39" s="405"/>
      <c r="N39" s="360">
        <f>N37*1000000*N38/(N36*1000)</f>
        <v>31.092888780208423</v>
      </c>
      <c r="Q39" s="405" t="s">
        <v>176</v>
      </c>
      <c r="R39" s="405"/>
      <c r="S39" s="360">
        <f>S37*1000000*S38/(S36*1000)</f>
        <v>2.5818101631996475</v>
      </c>
      <c r="V39" s="405" t="s">
        <v>176</v>
      </c>
      <c r="W39" s="405"/>
      <c r="X39" s="360">
        <f>X37*1000000*X38/(X36*1000)</f>
        <v>0.39132049215213044</v>
      </c>
      <c r="AA39" s="405" t="s">
        <v>181</v>
      </c>
      <c r="AB39" s="405"/>
      <c r="AC39" s="360">
        <f>AC37*1000000*AC38/(AC36*1000)</f>
        <v>1.4680258019147514</v>
      </c>
      <c r="AF39" s="405" t="s">
        <v>190</v>
      </c>
      <c r="AG39" s="405"/>
      <c r="AH39" s="360">
        <f>AH37*1000000*AH38/(AH36*1000)</f>
        <v>21.577297145999619</v>
      </c>
      <c r="AK39" s="405" t="s">
        <v>189</v>
      </c>
      <c r="AL39" s="405"/>
      <c r="AM39" s="360">
        <f>AM37*1000000*AM38/(AM36*1000)</f>
        <v>11.261107127981489</v>
      </c>
      <c r="AP39" s="405" t="s">
        <v>194</v>
      </c>
      <c r="AQ39" s="405"/>
      <c r="AR39" s="360">
        <f>AR37*1000000*AR38/(AR36*1000)</f>
        <v>4.7728292811563495</v>
      </c>
      <c r="AU39" s="405" t="s">
        <v>194</v>
      </c>
      <c r="AV39" s="405"/>
      <c r="AW39" s="360">
        <f>AW37*1000000*AW38/(AW36*1000)</f>
        <v>5.4972551057881001</v>
      </c>
      <c r="AZ39" s="405" t="s">
        <v>188</v>
      </c>
      <c r="BA39" s="405"/>
      <c r="BB39" s="360">
        <f>BB37*1000000*BB38/(BB36*1000)</f>
        <v>0</v>
      </c>
      <c r="BE39" s="405" t="s">
        <v>176</v>
      </c>
      <c r="BF39" s="405"/>
      <c r="BG39" s="360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June 30, 2021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2.4E-2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3.2000000000000001E-2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2.1999999999999999E-2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2.1000000000000001E-2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2.1999999999999999E-2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2.3E-2</v>
      </c>
      <c r="E50" s="86"/>
      <c r="F50" s="87">
        <f t="shared" si="37"/>
        <v>2034</v>
      </c>
      <c r="G50" s="41">
        <v>2.3E-2</v>
      </c>
      <c r="H50" s="86"/>
      <c r="I50" s="87">
        <f t="shared" si="38"/>
        <v>2043</v>
      </c>
      <c r="J50" s="41">
        <v>2.3E-2</v>
      </c>
      <c r="BG50" s="164"/>
    </row>
    <row r="51" spans="2:59" s="119" customFormat="1">
      <c r="C51" s="87">
        <f t="shared" si="36"/>
        <v>2026</v>
      </c>
      <c r="D51" s="41">
        <v>2.3E-2</v>
      </c>
      <c r="E51" s="86"/>
      <c r="F51" s="87">
        <f t="shared" si="37"/>
        <v>2035</v>
      </c>
      <c r="G51" s="41">
        <v>2.3E-2</v>
      </c>
      <c r="H51" s="86"/>
      <c r="I51" s="87">
        <f t="shared" si="38"/>
        <v>2044</v>
      </c>
      <c r="J51" s="41">
        <v>2.1999999999999999E-2</v>
      </c>
      <c r="BG51" s="164"/>
    </row>
    <row r="52" spans="2:59">
      <c r="B52" s="119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2.3E-2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opLeftCell="A2" zoomScale="80" zoomScaleNormal="80" workbookViewId="0">
      <selection activeCell="B13" sqref="B1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3" customFormat="1" ht="15.75" hidden="1">
      <c r="B1" s="1" t="s">
        <v>35</v>
      </c>
      <c r="C1" s="1"/>
      <c r="D1" s="1"/>
      <c r="E1" s="1"/>
      <c r="F1" s="1"/>
      <c r="G1" s="220"/>
      <c r="H1" s="1"/>
      <c r="I1" s="1"/>
      <c r="J1" s="1"/>
      <c r="K1" s="1"/>
      <c r="L1" s="221"/>
      <c r="M1" s="222"/>
      <c r="N1" s="222"/>
      <c r="O1" s="222"/>
      <c r="P1" s="222"/>
    </row>
    <row r="2" spans="2:16" s="223" customFormat="1" ht="5.25" customHeight="1">
      <c r="B2" s="1"/>
      <c r="C2" s="1"/>
      <c r="D2" s="1"/>
      <c r="E2" s="1"/>
      <c r="F2" s="1"/>
      <c r="G2" s="220"/>
      <c r="H2" s="1"/>
      <c r="I2" s="1"/>
      <c r="J2" s="1"/>
      <c r="K2" s="1"/>
      <c r="L2" s="221"/>
      <c r="M2" s="222"/>
      <c r="N2" s="222"/>
      <c r="O2" s="222"/>
      <c r="P2" s="222"/>
    </row>
    <row r="3" spans="2:16" s="223" customFormat="1" ht="15.75">
      <c r="B3" s="1" t="s">
        <v>94</v>
      </c>
      <c r="C3" s="1"/>
      <c r="D3" s="1"/>
      <c r="E3" s="1"/>
      <c r="F3" s="1"/>
      <c r="G3" s="220"/>
      <c r="H3" s="1"/>
      <c r="I3" s="1"/>
      <c r="J3" s="1"/>
      <c r="K3" s="1"/>
      <c r="L3" s="221"/>
      <c r="M3" s="222"/>
      <c r="N3" s="222"/>
      <c r="O3" s="222"/>
      <c r="P3" s="222"/>
    </row>
    <row r="4" spans="2:16" s="225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4"/>
      <c r="N4" s="224"/>
      <c r="O4" s="224"/>
      <c r="P4" s="224"/>
    </row>
    <row r="5" spans="2:16" s="225" customFormat="1" ht="15">
      <c r="B5" s="4" t="str">
        <f ca="1">'Table 1'!B5</f>
        <v>Kennecott Smelter Non Firm - 31.8 MW and 58.2%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5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4"/>
      <c r="N6" s="224"/>
      <c r="O6" s="224"/>
      <c r="P6" s="224"/>
    </row>
    <row r="7" spans="2:16">
      <c r="D7" s="226"/>
      <c r="E7" s="226"/>
      <c r="F7" s="226"/>
      <c r="G7" s="227"/>
      <c r="H7" s="227"/>
      <c r="I7" s="227"/>
      <c r="J7" s="227"/>
      <c r="K7" s="227"/>
      <c r="L7" s="227"/>
      <c r="M7" s="228"/>
    </row>
    <row r="8" spans="2:16">
      <c r="B8" s="229"/>
      <c r="C8" s="229"/>
      <c r="D8" s="230" t="s">
        <v>96</v>
      </c>
      <c r="E8" s="231"/>
      <c r="F8" s="231"/>
      <c r="G8" s="230"/>
      <c r="H8" s="230"/>
      <c r="I8" s="232" t="s">
        <v>97</v>
      </c>
      <c r="J8" s="233"/>
      <c r="K8" s="233"/>
      <c r="L8" s="234"/>
      <c r="M8" s="235" t="s">
        <v>96</v>
      </c>
      <c r="N8" s="236"/>
      <c r="O8" s="237"/>
    </row>
    <row r="9" spans="2:16">
      <c r="B9" s="238" t="str">
        <f>'[11]Avoided Costs'!B4</f>
        <v>Year</v>
      </c>
      <c r="C9" s="238" t="str">
        <f>'[11]Avoided Costs'!C4</f>
        <v>Annual</v>
      </c>
      <c r="D9" s="239" t="str">
        <f>'[11]Avoided Costs'!D4</f>
        <v>Jan</v>
      </c>
      <c r="E9" s="240" t="str">
        <f>'[11]Avoided Costs'!E4</f>
        <v>Feb</v>
      </c>
      <c r="F9" s="240" t="str">
        <f>'[11]Avoided Costs'!F4</f>
        <v>Mar</v>
      </c>
      <c r="G9" s="240" t="str">
        <f>'[11]Avoided Costs'!G4</f>
        <v>Apr</v>
      </c>
      <c r="H9" s="241" t="str">
        <f>'[11]Avoided Costs'!H4</f>
        <v>May</v>
      </c>
      <c r="I9" s="171" t="str">
        <f>'[11]Avoided Costs'!I4</f>
        <v>Jun</v>
      </c>
      <c r="J9" s="171" t="str">
        <f>'[11]Avoided Costs'!J4</f>
        <v>Jul</v>
      </c>
      <c r="K9" s="171" t="str">
        <f>'[11]Avoided Costs'!K4</f>
        <v>Aug</v>
      </c>
      <c r="L9" s="171" t="str">
        <f>'[11]Avoided Costs'!L4</f>
        <v>Sep</v>
      </c>
      <c r="M9" s="239" t="str">
        <f>'[11]Avoided Costs'!M4</f>
        <v>Oct</v>
      </c>
      <c r="N9" s="240" t="str">
        <f>'[11]Avoided Costs'!N4</f>
        <v>Nov</v>
      </c>
      <c r="O9" s="241" t="str">
        <f>'[11]Avoided Costs'!O4</f>
        <v>Dec</v>
      </c>
    </row>
    <row r="10" spans="2:16" ht="12.75" customHeight="1">
      <c r="B10" s="219"/>
      <c r="C10" s="219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5"/>
    </row>
    <row r="11" spans="2:16" ht="12.75" customHeight="1">
      <c r="B11" s="243" t="s">
        <v>98</v>
      </c>
      <c r="C11" s="24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</row>
    <row r="12" spans="2:16" ht="12.75" hidden="1" customHeight="1">
      <c r="B12" s="244"/>
      <c r="C12" s="245"/>
      <c r="D12" s="8"/>
      <c r="E12" s="8"/>
      <c r="F12" s="8"/>
      <c r="G12" s="8"/>
      <c r="H12" s="13"/>
      <c r="I12" s="246"/>
      <c r="J12" s="247"/>
      <c r="K12" s="247"/>
      <c r="L12" s="248"/>
      <c r="M12" s="246"/>
      <c r="N12" s="247"/>
      <c r="O12" s="248"/>
    </row>
    <row r="13" spans="2:16" ht="12.75" customHeight="1">
      <c r="B13" s="249">
        <f>'[11]Avoided Costs'!B7</f>
        <v>2022</v>
      </c>
      <c r="C13" s="250">
        <f>'[11]Avoided Costs'!C7</f>
        <v>25.390551521252014</v>
      </c>
      <c r="D13" s="251">
        <f>'[11]Avoided Costs'!D7</f>
        <v>24.623666461042905</v>
      </c>
      <c r="E13" s="251">
        <f>'[11]Avoided Costs'!E7</f>
        <v>26.072106531594653</v>
      </c>
      <c r="F13" s="251">
        <f>'[11]Avoided Costs'!F7</f>
        <v>21.953421119519337</v>
      </c>
      <c r="G13" s="251">
        <f>'[11]Avoided Costs'!G7</f>
        <v>17.175287766694218</v>
      </c>
      <c r="H13" s="252">
        <f>'[11]Avoided Costs'!H7</f>
        <v>16.399453000089469</v>
      </c>
      <c r="I13" s="253">
        <f>'[11]Avoided Costs'!I7</f>
        <v>21.384094549442555</v>
      </c>
      <c r="J13" s="251">
        <f>'[11]Avoided Costs'!J7</f>
        <v>37.683841321908588</v>
      </c>
      <c r="K13" s="251">
        <f>'[11]Avoided Costs'!K7</f>
        <v>44.841818264632792</v>
      </c>
      <c r="L13" s="252">
        <f>'[11]Avoided Costs'!L7</f>
        <v>29.222340374444428</v>
      </c>
      <c r="M13" s="253">
        <f>'[11]Avoided Costs'!M7</f>
        <v>20.021987641622676</v>
      </c>
      <c r="N13" s="251">
        <f>'[11]Avoided Costs'!N7</f>
        <v>20.865009088645333</v>
      </c>
      <c r="O13" s="252">
        <f>'[11]Avoided Costs'!O7</f>
        <v>24.092920868464013</v>
      </c>
    </row>
    <row r="14" spans="2:16" ht="12.75" hidden="1" customHeight="1">
      <c r="B14" s="266">
        <f>'[11]Avoided Costs'!B8</f>
        <v>2023</v>
      </c>
      <c r="C14" s="254"/>
      <c r="D14" s="255"/>
      <c r="E14" s="255"/>
      <c r="F14" s="255"/>
      <c r="G14" s="255"/>
      <c r="H14" s="256"/>
      <c r="I14" s="257"/>
      <c r="J14" s="255"/>
      <c r="K14" s="255"/>
      <c r="L14" s="256"/>
      <c r="M14" s="257"/>
      <c r="N14" s="255"/>
      <c r="O14" s="256"/>
    </row>
    <row r="15" spans="2:16" ht="12.75" hidden="1" customHeight="1">
      <c r="B15" s="266">
        <f>'[11]Avoided Costs'!B9</f>
        <v>2024</v>
      </c>
      <c r="C15" s="254"/>
      <c r="D15" s="255"/>
      <c r="E15" s="255"/>
      <c r="F15" s="255"/>
      <c r="G15" s="255"/>
      <c r="H15" s="256"/>
      <c r="I15" s="257"/>
      <c r="J15" s="255"/>
      <c r="K15" s="255"/>
      <c r="L15" s="256"/>
      <c r="M15" s="257"/>
      <c r="N15" s="255"/>
      <c r="O15" s="256"/>
    </row>
    <row r="16" spans="2:16" ht="12.75" hidden="1" customHeight="1">
      <c r="B16" s="266">
        <f>'[11]Avoided Costs'!B10</f>
        <v>2025</v>
      </c>
      <c r="C16" s="254"/>
      <c r="D16" s="255"/>
      <c r="E16" s="255"/>
      <c r="F16" s="255"/>
      <c r="G16" s="255"/>
      <c r="H16" s="256"/>
      <c r="I16" s="257"/>
      <c r="J16" s="255"/>
      <c r="K16" s="255"/>
      <c r="L16" s="256"/>
      <c r="M16" s="257"/>
      <c r="N16" s="255"/>
      <c r="O16" s="256"/>
    </row>
    <row r="17" spans="2:15" ht="12.75" hidden="1" customHeight="1">
      <c r="B17" s="266">
        <f>'[11]Avoided Costs'!B11</f>
        <v>2026</v>
      </c>
      <c r="C17" s="254"/>
      <c r="D17" s="255"/>
      <c r="E17" s="255"/>
      <c r="F17" s="255"/>
      <c r="G17" s="255"/>
      <c r="H17" s="256"/>
      <c r="I17" s="257"/>
      <c r="J17" s="255"/>
      <c r="K17" s="255"/>
      <c r="L17" s="256"/>
      <c r="M17" s="257"/>
      <c r="N17" s="255"/>
      <c r="O17" s="256"/>
    </row>
    <row r="18" spans="2:15" ht="12.75" hidden="1" customHeight="1">
      <c r="B18" s="266">
        <f>'[11]Avoided Costs'!B12</f>
        <v>2027</v>
      </c>
      <c r="C18" s="254"/>
      <c r="D18" s="255"/>
      <c r="E18" s="255"/>
      <c r="F18" s="255"/>
      <c r="G18" s="255"/>
      <c r="H18" s="256"/>
      <c r="I18" s="257"/>
      <c r="J18" s="255"/>
      <c r="K18" s="255"/>
      <c r="L18" s="256"/>
      <c r="M18" s="257"/>
      <c r="N18" s="255"/>
      <c r="O18" s="256"/>
    </row>
    <row r="19" spans="2:15" ht="12.75" hidden="1" customHeight="1">
      <c r="B19" s="266">
        <f>'[11]Avoided Costs'!B13</f>
        <v>2028</v>
      </c>
      <c r="C19" s="254"/>
      <c r="D19" s="255"/>
      <c r="E19" s="255"/>
      <c r="F19" s="255"/>
      <c r="G19" s="255"/>
      <c r="H19" s="256"/>
      <c r="I19" s="257"/>
      <c r="J19" s="255"/>
      <c r="K19" s="255"/>
      <c r="L19" s="256"/>
      <c r="M19" s="257"/>
      <c r="N19" s="255"/>
      <c r="O19" s="256"/>
    </row>
    <row r="20" spans="2:15" ht="12.75" hidden="1" customHeight="1">
      <c r="B20" s="266">
        <f>'[11]Avoided Costs'!B14</f>
        <v>2029</v>
      </c>
      <c r="C20" s="254"/>
      <c r="D20" s="255"/>
      <c r="E20" s="255"/>
      <c r="F20" s="255"/>
      <c r="G20" s="255"/>
      <c r="H20" s="256"/>
      <c r="I20" s="257"/>
      <c r="J20" s="255"/>
      <c r="K20" s="255"/>
      <c r="L20" s="256"/>
      <c r="M20" s="257"/>
      <c r="N20" s="255"/>
      <c r="O20" s="256"/>
    </row>
    <row r="21" spans="2:15" ht="12.75" hidden="1" customHeight="1">
      <c r="B21" s="266">
        <f>'[11]Avoided Costs'!B15</f>
        <v>2030</v>
      </c>
      <c r="C21" s="254"/>
      <c r="D21" s="255"/>
      <c r="E21" s="255"/>
      <c r="F21" s="255"/>
      <c r="G21" s="255"/>
      <c r="H21" s="256"/>
      <c r="I21" s="257"/>
      <c r="J21" s="255"/>
      <c r="K21" s="255"/>
      <c r="L21" s="256"/>
      <c r="M21" s="257"/>
      <c r="N21" s="255"/>
      <c r="O21" s="256"/>
    </row>
    <row r="22" spans="2:15" ht="12.75" hidden="1" customHeight="1">
      <c r="B22" s="266">
        <f>'[11]Avoided Costs'!B16</f>
        <v>2031</v>
      </c>
      <c r="C22" s="254"/>
      <c r="D22" s="255"/>
      <c r="E22" s="255"/>
      <c r="F22" s="255"/>
      <c r="G22" s="255"/>
      <c r="H22" s="256"/>
      <c r="I22" s="257"/>
      <c r="J22" s="255"/>
      <c r="K22" s="255"/>
      <c r="L22" s="256"/>
      <c r="M22" s="257"/>
      <c r="N22" s="255"/>
      <c r="O22" s="256"/>
    </row>
    <row r="23" spans="2:15" ht="12.75" hidden="1" customHeight="1">
      <c r="B23" s="266">
        <f>'[11]Avoided Costs'!B17</f>
        <v>2032</v>
      </c>
      <c r="C23" s="254"/>
      <c r="D23" s="255"/>
      <c r="E23" s="255"/>
      <c r="F23" s="255"/>
      <c r="G23" s="255"/>
      <c r="H23" s="256"/>
      <c r="I23" s="257"/>
      <c r="J23" s="255"/>
      <c r="K23" s="255"/>
      <c r="L23" s="256"/>
      <c r="M23" s="257"/>
      <c r="N23" s="255"/>
      <c r="O23" s="256"/>
    </row>
    <row r="24" spans="2:15" ht="12.75" hidden="1" customHeight="1">
      <c r="B24" s="266">
        <f>'[11]Avoided Costs'!B18</f>
        <v>2033</v>
      </c>
      <c r="C24" s="254"/>
      <c r="D24" s="255"/>
      <c r="E24" s="255"/>
      <c r="F24" s="255"/>
      <c r="G24" s="255"/>
      <c r="H24" s="256"/>
      <c r="I24" s="257"/>
      <c r="J24" s="255"/>
      <c r="K24" s="255"/>
      <c r="L24" s="256"/>
      <c r="M24" s="257"/>
      <c r="N24" s="255"/>
      <c r="O24" s="256"/>
    </row>
    <row r="25" spans="2:15" ht="12.75" hidden="1" customHeight="1">
      <c r="B25" s="266">
        <f>'[11]Avoided Costs'!B19</f>
        <v>2034</v>
      </c>
      <c r="C25" s="254"/>
      <c r="D25" s="255"/>
      <c r="E25" s="255"/>
      <c r="F25" s="255"/>
      <c r="G25" s="255"/>
      <c r="H25" s="256"/>
      <c r="I25" s="257"/>
      <c r="J25" s="255"/>
      <c r="K25" s="255"/>
      <c r="L25" s="256"/>
      <c r="M25" s="257"/>
      <c r="N25" s="255"/>
      <c r="O25" s="256"/>
    </row>
    <row r="26" spans="2:15" ht="12.75" hidden="1" customHeight="1">
      <c r="B26" s="266">
        <f>'[11]Avoided Costs'!B20</f>
        <v>2035</v>
      </c>
      <c r="C26" s="254"/>
      <c r="D26" s="255"/>
      <c r="E26" s="255"/>
      <c r="F26" s="255"/>
      <c r="G26" s="255"/>
      <c r="H26" s="256"/>
      <c r="I26" s="257"/>
      <c r="J26" s="255"/>
      <c r="K26" s="255"/>
      <c r="L26" s="256"/>
      <c r="M26" s="257"/>
      <c r="N26" s="255"/>
      <c r="O26" s="256"/>
    </row>
    <row r="27" spans="2:15" ht="12.75" hidden="1" customHeight="1">
      <c r="B27" s="266">
        <f>'[11]Avoided Costs'!B21</f>
        <v>2036</v>
      </c>
      <c r="C27" s="254"/>
      <c r="D27" s="255"/>
      <c r="E27" s="255"/>
      <c r="F27" s="255"/>
      <c r="G27" s="255"/>
      <c r="H27" s="256"/>
      <c r="I27" s="257"/>
      <c r="J27" s="255"/>
      <c r="K27" s="255"/>
      <c r="L27" s="256"/>
      <c r="M27" s="257"/>
      <c r="N27" s="255"/>
      <c r="O27" s="256"/>
    </row>
    <row r="28" spans="2:15" ht="12.75" hidden="1" customHeight="1">
      <c r="B28" s="266">
        <f>'[11]Avoided Costs'!B22</f>
        <v>2037</v>
      </c>
      <c r="C28" s="254"/>
      <c r="D28" s="255"/>
      <c r="E28" s="255"/>
      <c r="F28" s="255"/>
      <c r="G28" s="255"/>
      <c r="H28" s="256"/>
      <c r="I28" s="257"/>
      <c r="J28" s="255"/>
      <c r="K28" s="255"/>
      <c r="L28" s="256"/>
      <c r="M28" s="257"/>
      <c r="N28" s="255"/>
      <c r="O28" s="256"/>
    </row>
    <row r="29" spans="2:15" ht="12.75" hidden="1" customHeight="1">
      <c r="B29" s="266">
        <f>'[11]Avoided Costs'!B23</f>
        <v>2038</v>
      </c>
      <c r="C29" s="254"/>
      <c r="D29" s="255"/>
      <c r="E29" s="255"/>
      <c r="F29" s="255"/>
      <c r="G29" s="255"/>
      <c r="H29" s="256"/>
      <c r="I29" s="257"/>
      <c r="J29" s="255"/>
      <c r="K29" s="255"/>
      <c r="L29" s="256"/>
      <c r="M29" s="257"/>
      <c r="N29" s="255"/>
      <c r="O29" s="256"/>
    </row>
    <row r="30" spans="2:15" ht="12.75" hidden="1" customHeight="1">
      <c r="B30" s="267">
        <f>'[11]Avoided Costs'!B24</f>
        <v>2039</v>
      </c>
      <c r="C30" s="259"/>
      <c r="D30" s="260"/>
      <c r="E30" s="260"/>
      <c r="F30" s="260"/>
      <c r="G30" s="260"/>
      <c r="H30" s="261"/>
      <c r="I30" s="262"/>
      <c r="J30" s="260"/>
      <c r="K30" s="260"/>
      <c r="L30" s="261"/>
      <c r="M30" s="262"/>
      <c r="N30" s="260"/>
      <c r="O30" s="261"/>
    </row>
    <row r="31" spans="2:15" ht="12.75" hidden="1" customHeight="1">
      <c r="B31" s="15"/>
      <c r="C31" s="254"/>
      <c r="D31" s="255"/>
      <c r="E31" s="255"/>
      <c r="F31" s="255"/>
      <c r="G31" s="255"/>
      <c r="H31" s="256"/>
      <c r="I31" s="257"/>
      <c r="J31" s="255"/>
      <c r="K31" s="255"/>
      <c r="L31" s="256"/>
      <c r="M31" s="257"/>
      <c r="N31" s="255"/>
      <c r="O31" s="256"/>
    </row>
    <row r="32" spans="2:15" ht="12.75" hidden="1" customHeight="1">
      <c r="B32" s="258"/>
      <c r="C32" s="259"/>
      <c r="D32" s="260"/>
      <c r="E32" s="260"/>
      <c r="F32" s="260"/>
      <c r="G32" s="260"/>
      <c r="H32" s="261"/>
      <c r="I32" s="262"/>
      <c r="J32" s="260"/>
      <c r="K32" s="260"/>
      <c r="L32" s="261"/>
      <c r="M32" s="262"/>
      <c r="N32" s="260"/>
      <c r="O32" s="261"/>
    </row>
    <row r="33" spans="2:16" ht="12.75" hidden="1" customHeight="1">
      <c r="D33" s="10"/>
      <c r="E33" s="10"/>
      <c r="F33" s="10"/>
      <c r="M33" s="263"/>
    </row>
    <row r="34" spans="2:16" hidden="1">
      <c r="B34" s="264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2:16" hidden="1"/>
    <row r="36" spans="2:16" hidden="1"/>
    <row r="38" spans="2:16" hidden="1">
      <c r="C38" s="26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5"/>
    </row>
    <row r="40" spans="2:16">
      <c r="C40" s="265"/>
    </row>
    <row r="41" spans="2:16">
      <c r="C41" s="26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view="pageBreakPreview" topLeftCell="A2" zoomScale="80" zoomScaleNormal="100" zoomScaleSheetLayoutView="80" workbookViewId="0">
      <selection activeCell="B42" sqref="B42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Kennecott Smelter Non Firm - 31.8 MW and 58.2% CF</v>
      </c>
      <c r="C5" s="1"/>
      <c r="D5" s="1"/>
      <c r="H5" s="96">
        <v>44377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4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hidden="1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 hidden="1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 hidden="1">
      <c r="B19" s="26">
        <f t="shared" si="5"/>
        <v>2021</v>
      </c>
      <c r="C19" s="27">
        <f t="shared" si="0"/>
        <v>3.75</v>
      </c>
      <c r="D19" s="27">
        <f t="shared" si="1"/>
        <v>3.76</v>
      </c>
      <c r="E19" s="27">
        <f t="shared" si="2"/>
        <v>3.6</v>
      </c>
      <c r="F19" s="27">
        <f t="shared" si="3"/>
        <v>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3.22</v>
      </c>
      <c r="D20" s="27">
        <f t="shared" si="1"/>
        <v>3.23</v>
      </c>
      <c r="E20" s="27">
        <f t="shared" si="2"/>
        <v>3.29</v>
      </c>
      <c r="F20" s="27">
        <f t="shared" si="3"/>
        <v>2.96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 hidden="1">
      <c r="B21" s="26">
        <f t="shared" si="5"/>
        <v>2023</v>
      </c>
      <c r="C21" s="27">
        <f t="shared" si="0"/>
        <v>2.8</v>
      </c>
      <c r="D21" s="27">
        <f t="shared" si="1"/>
        <v>2.81</v>
      </c>
      <c r="E21" s="27">
        <f t="shared" si="2"/>
        <v>2.86</v>
      </c>
      <c r="F21" s="27">
        <f t="shared" si="3"/>
        <v>2.56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 hidden="1">
      <c r="B22" s="26">
        <f t="shared" si="5"/>
        <v>2024</v>
      </c>
      <c r="C22" s="27">
        <f t="shared" si="0"/>
        <v>2.87</v>
      </c>
      <c r="D22" s="27">
        <f t="shared" si="1"/>
        <v>2.88</v>
      </c>
      <c r="E22" s="27">
        <f t="shared" si="2"/>
        <v>2.88</v>
      </c>
      <c r="F22" s="27">
        <f t="shared" si="3"/>
        <v>2.62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 hidden="1">
      <c r="B23" s="26">
        <f t="shared" si="5"/>
        <v>2025</v>
      </c>
      <c r="C23" s="27">
        <f t="shared" si="0"/>
        <v>3.21</v>
      </c>
      <c r="D23" s="27">
        <f t="shared" si="1"/>
        <v>3.22</v>
      </c>
      <c r="E23" s="27">
        <f t="shared" si="2"/>
        <v>3.16</v>
      </c>
      <c r="F23" s="27">
        <f t="shared" si="3"/>
        <v>2.96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 hidden="1">
      <c r="B24" s="26">
        <f t="shared" si="5"/>
        <v>2026</v>
      </c>
      <c r="C24" s="27">
        <f t="shared" si="0"/>
        <v>3.42</v>
      </c>
      <c r="D24" s="27">
        <f t="shared" si="1"/>
        <v>3.43</v>
      </c>
      <c r="E24" s="27">
        <f t="shared" si="2"/>
        <v>3.33</v>
      </c>
      <c r="F24" s="27">
        <f t="shared" si="3"/>
        <v>3.17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 hidden="1">
      <c r="B25" s="26">
        <f t="shared" si="5"/>
        <v>2027</v>
      </c>
      <c r="C25" s="27">
        <f t="shared" si="0"/>
        <v>3.52</v>
      </c>
      <c r="D25" s="27">
        <f t="shared" si="1"/>
        <v>3.53</v>
      </c>
      <c r="E25" s="27">
        <f t="shared" si="2"/>
        <v>3.49</v>
      </c>
      <c r="F25" s="27">
        <f t="shared" si="3"/>
        <v>3.27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 hidden="1">
      <c r="B26" s="26">
        <f t="shared" si="5"/>
        <v>2028</v>
      </c>
      <c r="C26" s="27">
        <f t="shared" si="0"/>
        <v>3.76</v>
      </c>
      <c r="D26" s="27">
        <f t="shared" si="1"/>
        <v>3.77</v>
      </c>
      <c r="E26" s="27">
        <f t="shared" si="2"/>
        <v>3.71</v>
      </c>
      <c r="F26" s="27">
        <f t="shared" si="3"/>
        <v>3.51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 hidden="1">
      <c r="B27" s="26">
        <f t="shared" si="5"/>
        <v>2029</v>
      </c>
      <c r="C27" s="27">
        <f t="shared" si="0"/>
        <v>4.12</v>
      </c>
      <c r="D27" s="27">
        <f t="shared" si="1"/>
        <v>4.13</v>
      </c>
      <c r="E27" s="27">
        <f t="shared" si="2"/>
        <v>4.04</v>
      </c>
      <c r="F27" s="27">
        <f t="shared" si="3"/>
        <v>3.86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 hidden="1">
      <c r="B28" s="26">
        <f t="shared" si="5"/>
        <v>2030</v>
      </c>
      <c r="C28" s="27">
        <f t="shared" si="0"/>
        <v>4.28</v>
      </c>
      <c r="D28" s="27">
        <f t="shared" si="1"/>
        <v>4.29</v>
      </c>
      <c r="E28" s="27">
        <f t="shared" si="2"/>
        <v>4.1900000000000004</v>
      </c>
      <c r="F28" s="27">
        <f t="shared" si="3"/>
        <v>4.0199999999999996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 hidden="1">
      <c r="B29" s="26">
        <f t="shared" si="5"/>
        <v>2031</v>
      </c>
      <c r="C29" s="27">
        <f t="shared" si="0"/>
        <v>4.4000000000000004</v>
      </c>
      <c r="D29" s="27">
        <f t="shared" si="1"/>
        <v>4.41</v>
      </c>
      <c r="E29" s="27">
        <f t="shared" si="2"/>
        <v>4.33</v>
      </c>
      <c r="F29" s="27">
        <f t="shared" si="3"/>
        <v>4.1399999999999997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 hidden="1">
      <c r="B30" s="26">
        <f t="shared" si="5"/>
        <v>2032</v>
      </c>
      <c r="C30" s="27">
        <f t="shared" si="0"/>
        <v>4.4800000000000004</v>
      </c>
      <c r="D30" s="27">
        <f t="shared" si="1"/>
        <v>4.49</v>
      </c>
      <c r="E30" s="27">
        <f t="shared" si="2"/>
        <v>4.38</v>
      </c>
      <c r="F30" s="27">
        <f t="shared" si="3"/>
        <v>4.22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 hidden="1">
      <c r="B31" s="26">
        <f t="shared" si="5"/>
        <v>2033</v>
      </c>
      <c r="C31" s="27">
        <f t="shared" si="0"/>
        <v>4.7300000000000004</v>
      </c>
      <c r="D31" s="27">
        <f t="shared" si="1"/>
        <v>4.74</v>
      </c>
      <c r="E31" s="27">
        <f t="shared" si="2"/>
        <v>4.58</v>
      </c>
      <c r="F31" s="27">
        <f t="shared" si="3"/>
        <v>4.47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 hidden="1">
      <c r="B32" s="26">
        <f t="shared" si="5"/>
        <v>2034</v>
      </c>
      <c r="C32" s="27">
        <f t="shared" si="0"/>
        <v>4.79</v>
      </c>
      <c r="D32" s="27">
        <f t="shared" si="1"/>
        <v>4.8</v>
      </c>
      <c r="E32" s="27">
        <f t="shared" si="2"/>
        <v>4.6100000000000003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 hidden="1">
      <c r="B33" s="26">
        <f t="shared" si="5"/>
        <v>2035</v>
      </c>
      <c r="C33" s="27">
        <f t="shared" si="0"/>
        <v>4.8600000000000003</v>
      </c>
      <c r="D33" s="27">
        <f t="shared" si="1"/>
        <v>4.87</v>
      </c>
      <c r="E33" s="27">
        <f t="shared" si="2"/>
        <v>4.63</v>
      </c>
      <c r="F33" s="27">
        <f t="shared" si="3"/>
        <v>4.5999999999999996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 hidden="1">
      <c r="B34" s="26">
        <f t="shared" si="5"/>
        <v>2036</v>
      </c>
      <c r="C34" s="27">
        <f t="shared" si="0"/>
        <v>4.97</v>
      </c>
      <c r="D34" s="27">
        <f t="shared" si="1"/>
        <v>4.9800000000000004</v>
      </c>
      <c r="E34" s="27">
        <f t="shared" si="2"/>
        <v>4.7</v>
      </c>
      <c r="F34" s="27">
        <f t="shared" si="3"/>
        <v>4.71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 hidden="1">
      <c r="B35" s="26">
        <f t="shared" si="5"/>
        <v>2037</v>
      </c>
      <c r="C35" s="27">
        <f t="shared" si="0"/>
        <v>5.07</v>
      </c>
      <c r="D35" s="27">
        <f t="shared" si="1"/>
        <v>5.08</v>
      </c>
      <c r="E35" s="27">
        <f t="shared" si="2"/>
        <v>4.83</v>
      </c>
      <c r="F35" s="27">
        <f t="shared" si="3"/>
        <v>4.8099999999999996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 hidden="1">
      <c r="B36" s="26">
        <f t="shared" si="5"/>
        <v>2038</v>
      </c>
      <c r="C36" s="27">
        <f t="shared" si="0"/>
        <v>5.26</v>
      </c>
      <c r="D36" s="27">
        <f t="shared" si="1"/>
        <v>5.27</v>
      </c>
      <c r="E36" s="27">
        <f t="shared" si="2"/>
        <v>4.93</v>
      </c>
      <c r="F36" s="27">
        <f t="shared" si="3"/>
        <v>4.99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 hidden="1">
      <c r="B37" s="26">
        <f t="shared" si="5"/>
        <v>2039</v>
      </c>
      <c r="C37" s="27">
        <f t="shared" si="0"/>
        <v>5.56</v>
      </c>
      <c r="D37" s="27">
        <f t="shared" si="1"/>
        <v>5.57</v>
      </c>
      <c r="E37" s="27">
        <f t="shared" si="2"/>
        <v>5.19</v>
      </c>
      <c r="F37" s="27">
        <f t="shared" si="3"/>
        <v>5.29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 hidden="1">
      <c r="B38" s="26">
        <f t="shared" si="5"/>
        <v>2040</v>
      </c>
      <c r="C38" s="27">
        <f t="shared" si="0"/>
        <v>5.9</v>
      </c>
      <c r="D38" s="27">
        <f t="shared" si="1"/>
        <v>5.91</v>
      </c>
      <c r="E38" s="27">
        <f t="shared" si="2"/>
        <v>5.43</v>
      </c>
      <c r="F38" s="27">
        <f t="shared" si="3"/>
        <v>5.63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3.9196143272837882</v>
      </c>
      <c r="J83" s="35">
        <v>3.9297532302544869</v>
      </c>
      <c r="K83" s="35">
        <v>3.860771085864092</v>
      </c>
      <c r="L83" s="35">
        <v>3.4320081501555757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3.9986977704552369</v>
      </c>
      <c r="J84" s="35">
        <v>4.008836673425936</v>
      </c>
      <c r="K84" s="35">
        <v>4.0047227456323613</v>
      </c>
      <c r="L84" s="35">
        <v>3.5148145337749672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3.8151836266855925</v>
      </c>
      <c r="J85" s="35">
        <v>3.8253225296562916</v>
      </c>
      <c r="K85" s="35">
        <v>3.9195427167407058</v>
      </c>
      <c r="L85" s="35">
        <v>3.5037736826257149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3.6124055672716215</v>
      </c>
      <c r="J86" s="35">
        <v>3.6225444702423202</v>
      </c>
      <c r="K86" s="35">
        <v>3.8845904252502086</v>
      </c>
      <c r="L86" s="35">
        <v>3.3983837398373984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3.9434407492649295</v>
      </c>
      <c r="J87" s="35">
        <v>3.9535796522356286</v>
      </c>
      <c r="K87" s="35">
        <v>4.2182165201735744</v>
      </c>
      <c r="L87" s="35">
        <v>3.4952421158285656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4.4579900750278822</v>
      </c>
      <c r="J88" s="35">
        <v>4.46812897799858</v>
      </c>
      <c r="K88" s="35">
        <v>4.6829007628931603</v>
      </c>
      <c r="L88" s="35">
        <v>3.8565790625313658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4.4569761847308129</v>
      </c>
      <c r="J89" s="35">
        <v>4.4671150877015107</v>
      </c>
      <c r="K89" s="35">
        <v>4.5634415977545277</v>
      </c>
      <c r="L89" s="35">
        <v>3.9710024289872528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4.2521703447227015</v>
      </c>
      <c r="J90" s="35">
        <v>4.2623092476934001</v>
      </c>
      <c r="K90" s="35">
        <v>4.3322386621914628</v>
      </c>
      <c r="L90" s="35">
        <v>3.8636050587172539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3.5176068244955898</v>
      </c>
      <c r="J91" s="35">
        <v>3.5277457274662885</v>
      </c>
      <c r="K91" s="35">
        <v>3.5890234921720499</v>
      </c>
      <c r="L91" s="35">
        <v>3.3195922111813707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2.703959861097029</v>
      </c>
      <c r="J92" s="35">
        <v>2.7140987640677281</v>
      </c>
      <c r="K92" s="35">
        <v>2.7890561570065859</v>
      </c>
      <c r="L92" s="35">
        <v>2.6420854361136206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2.5787444094089018</v>
      </c>
      <c r="J93" s="35">
        <v>2.5888833123796005</v>
      </c>
      <c r="K93" s="35">
        <v>2.5678987689237527</v>
      </c>
      <c r="L93" s="35">
        <v>2.5156175047676403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2.6988904096116801</v>
      </c>
      <c r="J94" s="35">
        <v>2.7090293125823788</v>
      </c>
      <c r="K94" s="35">
        <v>2.614294699554101</v>
      </c>
      <c r="L94" s="35">
        <v>2.5366954933253036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2.9285365618980026</v>
      </c>
      <c r="J95" s="35">
        <v>2.9386754648687017</v>
      </c>
      <c r="K95" s="35">
        <v>2.9187162131431856</v>
      </c>
      <c r="L95" s="35">
        <v>2.6812302720064234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2.9716268995234718</v>
      </c>
      <c r="J96" s="35">
        <v>2.9817658024941704</v>
      </c>
      <c r="K96" s="35">
        <v>2.9666655789508893</v>
      </c>
      <c r="L96" s="35">
        <v>2.7013045468232457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2.9310712876406773</v>
      </c>
      <c r="J97" s="35">
        <v>2.9412101906113759</v>
      </c>
      <c r="K97" s="35">
        <v>2.9310401322168715</v>
      </c>
      <c r="L97" s="35">
        <v>2.6812302720064234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2.84184894149853</v>
      </c>
      <c r="J98" s="35">
        <v>2.8519878444692286</v>
      </c>
      <c r="K98" s="35">
        <v>2.9570860620238641</v>
      </c>
      <c r="L98" s="35">
        <v>2.6681819933754891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3.2134397353746329</v>
      </c>
      <c r="J99" s="35">
        <v>3.2235786383453315</v>
      </c>
      <c r="K99" s="35">
        <v>3.4421203055668057</v>
      </c>
      <c r="L99" s="35">
        <v>2.8378096155776369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3.600745828855318</v>
      </c>
      <c r="J100" s="35">
        <v>3.6108847318260167</v>
      </c>
      <c r="K100" s="35">
        <v>3.7768855862868991</v>
      </c>
      <c r="L100" s="35">
        <v>3.1384218809595503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3.6362319892527628</v>
      </c>
      <c r="J101" s="35">
        <v>3.6463708922234619</v>
      </c>
      <c r="K101" s="35">
        <v>3.8150483104772639</v>
      </c>
      <c r="L101" s="35">
        <v>3.2663953829167922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3.5226762759809387</v>
      </c>
      <c r="J102" s="35">
        <v>3.5328151789516378</v>
      </c>
      <c r="K102" s="35">
        <v>3.6382673872942171</v>
      </c>
      <c r="L102" s="35">
        <v>3.1866001405199236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3.0522311781405254</v>
      </c>
      <c r="J103" s="35">
        <v>3.062370081111224</v>
      </c>
      <c r="K103" s="35">
        <v>3.1544758918931599</v>
      </c>
      <c r="L103" s="35">
        <v>2.7409512395864701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2.3313551769238567</v>
      </c>
      <c r="J104" s="35">
        <v>2.3414940798945558</v>
      </c>
      <c r="K104" s="35">
        <v>2.3281519398852324</v>
      </c>
      <c r="L104" s="35">
        <v>2.2581649302418949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2.2918134553381324</v>
      </c>
      <c r="J105" s="35">
        <v>2.301952358308831</v>
      </c>
      <c r="K105" s="35">
        <v>2.221120256165444</v>
      </c>
      <c r="L105" s="35">
        <v>2.0960651610960555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2.3318621220723914</v>
      </c>
      <c r="J106" s="35">
        <v>2.3420010250430905</v>
      </c>
      <c r="K106" s="35">
        <v>2.2581437945590812</v>
      </c>
      <c r="L106" s="35">
        <v>2.2009532470139512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2.5802652448545067</v>
      </c>
      <c r="J107" s="35">
        <v>2.5904041478252053</v>
      </c>
      <c r="K107" s="35">
        <v>2.5979318490192904</v>
      </c>
      <c r="L107" s="35">
        <v>2.3690752986048378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2.5919249832708102</v>
      </c>
      <c r="J108" s="35">
        <v>2.6020638862415093</v>
      </c>
      <c r="K108" s="35">
        <v>2.6228385930295559</v>
      </c>
      <c r="L108" s="35">
        <v>2.3781087222724082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2.5670846709925987</v>
      </c>
      <c r="J109" s="35">
        <v>2.5772235739632974</v>
      </c>
      <c r="K109" s="35">
        <v>2.616210602939506</v>
      </c>
      <c r="L109" s="35">
        <v>2.3685734417344175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2.4717789830680323</v>
      </c>
      <c r="J110" s="35">
        <v>2.481917886038731</v>
      </c>
      <c r="K110" s="35">
        <v>2.540868996837768</v>
      </c>
      <c r="L110" s="35">
        <v>2.3545214493626414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2.989369979722194</v>
      </c>
      <c r="J111" s="35">
        <v>2.9995088826928931</v>
      </c>
      <c r="K111" s="35">
        <v>3.1032125310404313</v>
      </c>
      <c r="L111" s="35">
        <v>2.6461002910769849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3.2859328916151274</v>
      </c>
      <c r="J112" s="35">
        <v>3.296071794585826</v>
      </c>
      <c r="K112" s="35">
        <v>3.3847985475223905</v>
      </c>
      <c r="L112" s="35">
        <v>2.8920101575830572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3.3266912815573355</v>
      </c>
      <c r="J113" s="35">
        <v>3.3368301845280346</v>
      </c>
      <c r="K113" s="35">
        <v>3.5696055524551076</v>
      </c>
      <c r="L113" s="35">
        <v>3.0184780889290375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3.2355425438507552</v>
      </c>
      <c r="J114" s="35">
        <v>3.2456814468214543</v>
      </c>
      <c r="K114" s="35">
        <v>3.4166439686581764</v>
      </c>
      <c r="L114" s="35">
        <v>2.9617682625715145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2.7955141549224374</v>
      </c>
      <c r="J115" s="35">
        <v>2.805653057893136</v>
      </c>
      <c r="K115" s="35">
        <v>2.9804911520293524</v>
      </c>
      <c r="L115" s="35">
        <v>2.5622901937167519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2.2534884021088919</v>
      </c>
      <c r="J116" s="35">
        <v>2.2636273050795905</v>
      </c>
      <c r="K116" s="35">
        <v>2.2328745823407661</v>
      </c>
      <c r="L116" s="35">
        <v>2.1557861286761013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2.2122230670181486</v>
      </c>
      <c r="J117" s="35">
        <v>2.2223619699888473</v>
      </c>
      <c r="K117" s="35">
        <v>2.1434484972976731</v>
      </c>
      <c r="L117" s="35">
        <v>2.0107494931245609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2.2978967971205515</v>
      </c>
      <c r="J118" s="35">
        <v>2.3080357000912506</v>
      </c>
      <c r="K118" s="35">
        <v>2.1804720356913099</v>
      </c>
      <c r="L118" s="35">
        <v>2.1156375790424571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2.5970958237858661</v>
      </c>
      <c r="J119" s="35">
        <v>2.6072347267565652</v>
      </c>
      <c r="K119" s="35">
        <v>2.5171532197968083</v>
      </c>
      <c r="L119" s="35">
        <v>2.2807484894108203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2.934112958531887</v>
      </c>
      <c r="J120" s="35">
        <v>2.9442518615025857</v>
      </c>
      <c r="K120" s="35">
        <v>2.9049424212373007</v>
      </c>
      <c r="L120" s="35">
        <v>2.7168621098062831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2.9102865365507449</v>
      </c>
      <c r="J121" s="35">
        <v>2.920425439521444</v>
      </c>
      <c r="K121" s="35">
        <v>2.8287205352017279</v>
      </c>
      <c r="L121" s="35">
        <v>2.7083305430091338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2.8511767322315724</v>
      </c>
      <c r="J122" s="35">
        <v>2.8613156352022711</v>
      </c>
      <c r="K122" s="35">
        <v>2.8056779134042893</v>
      </c>
      <c r="L122" s="35">
        <v>2.7301111311853856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3.3268940596167496</v>
      </c>
      <c r="J123" s="35">
        <v>3.3370329625874486</v>
      </c>
      <c r="K123" s="35">
        <v>3.3841771734514481</v>
      </c>
      <c r="L123" s="35">
        <v>2.980236595402991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3.6406931065598704</v>
      </c>
      <c r="J124" s="35">
        <v>3.6508320095305691</v>
      </c>
      <c r="K124" s="35">
        <v>3.6356783286652909</v>
      </c>
      <c r="L124" s="35">
        <v>3.2432095955033624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3.5845235841022003</v>
      </c>
      <c r="J125" s="35">
        <v>3.5946624870728989</v>
      </c>
      <c r="K125" s="35">
        <v>3.73991382906584</v>
      </c>
      <c r="L125" s="35">
        <v>3.2737224932249318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3.4571789627902261</v>
      </c>
      <c r="J126" s="35">
        <v>3.4673178657609247</v>
      </c>
      <c r="K126" s="35">
        <v>3.5501358315655858</v>
      </c>
      <c r="L126" s="35">
        <v>3.1811800863193813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2.9373574074825108</v>
      </c>
      <c r="J127" s="35">
        <v>2.9474963104532095</v>
      </c>
      <c r="K127" s="35">
        <v>3.1382166037035066</v>
      </c>
      <c r="L127" s="35">
        <v>2.7027097460604237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2.6625931369765792</v>
      </c>
      <c r="J128" s="35">
        <v>2.6727320399472778</v>
      </c>
      <c r="K128" s="35">
        <v>2.6063203989770098</v>
      </c>
      <c r="L128" s="35">
        <v>2.5607846231054903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2.6535695133326578</v>
      </c>
      <c r="J129" s="35">
        <v>2.6637084163033564</v>
      </c>
      <c r="K129" s="35">
        <v>2.5735946979073892</v>
      </c>
      <c r="L129" s="35">
        <v>2.4476660845126967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2.7314362881476226</v>
      </c>
      <c r="J130" s="35">
        <v>2.7415751911183213</v>
      </c>
      <c r="K130" s="35">
        <v>2.6129483890670597</v>
      </c>
      <c r="L130" s="35">
        <v>2.5449259460002009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3.06216730305181</v>
      </c>
      <c r="J131" s="35">
        <v>3.072306206022509</v>
      </c>
      <c r="K131" s="35">
        <v>2.7992052668319749</v>
      </c>
      <c r="L131" s="35">
        <v>2.741151982334638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3.2763009337929638</v>
      </c>
      <c r="J132" s="35">
        <v>3.2864398367636625</v>
      </c>
      <c r="K132" s="35">
        <v>3.1870980306176238</v>
      </c>
      <c r="L132" s="35">
        <v>3.0556154973401584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3.2533870130791849</v>
      </c>
      <c r="J133" s="35">
        <v>3.2635259160498835</v>
      </c>
      <c r="K133" s="35">
        <v>3.0413340298091063</v>
      </c>
      <c r="L133" s="35">
        <v>3.0479872729097659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3.2305744813951129</v>
      </c>
      <c r="J134" s="35">
        <v>3.2407133843658116</v>
      </c>
      <c r="K134" s="35">
        <v>3.070435048798231</v>
      </c>
      <c r="L134" s="35">
        <v>3.1057008130081298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3.6644181395113051</v>
      </c>
      <c r="J135" s="35">
        <v>3.6745570424820038</v>
      </c>
      <c r="K135" s="35">
        <v>3.6650900346898876</v>
      </c>
      <c r="L135" s="35">
        <v>3.3143728997289972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3.9954533215046131</v>
      </c>
      <c r="J136" s="35">
        <v>4.0055922244753122</v>
      </c>
      <c r="K136" s="35">
        <v>3.8866616721533487</v>
      </c>
      <c r="L136" s="35">
        <v>3.5944090334236676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3.8423558866470651</v>
      </c>
      <c r="J137" s="35">
        <v>3.8524947896177637</v>
      </c>
      <c r="K137" s="35">
        <v>3.9101703245039943</v>
      </c>
      <c r="L137" s="35">
        <v>3.528966897520827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3.6788153817296969</v>
      </c>
      <c r="J138" s="35">
        <v>3.6889542847003955</v>
      </c>
      <c r="K138" s="35">
        <v>3.6835759133004169</v>
      </c>
      <c r="L138" s="35">
        <v>3.400591910067249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3.2331092071377876</v>
      </c>
      <c r="J139" s="35">
        <v>3.2432481101084862</v>
      </c>
      <c r="K139" s="35">
        <v>3.2958902742050822</v>
      </c>
      <c r="L139" s="35">
        <v>2.9954930442637759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3.0715964828145594</v>
      </c>
      <c r="J140" s="35">
        <v>3.0817353857852581</v>
      </c>
      <c r="K140" s="35">
        <v>2.9798179967858314</v>
      </c>
      <c r="L140" s="35">
        <v>2.9656827461607951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3.0950173486768735</v>
      </c>
      <c r="J141" s="35">
        <v>3.1051562516475721</v>
      </c>
      <c r="K141" s="35">
        <v>3.003689117344527</v>
      </c>
      <c r="L141" s="35">
        <v>2.8846830472749172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3.1650771682044003</v>
      </c>
      <c r="J142" s="35">
        <v>3.175216071175099</v>
      </c>
      <c r="K142" s="35">
        <v>3.0454247424428091</v>
      </c>
      <c r="L142" s="35">
        <v>2.9741139415838602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3.3928983179559968</v>
      </c>
      <c r="J143" s="35">
        <v>3.4030372209266959</v>
      </c>
      <c r="K143" s="35">
        <v>3.0812055326945624</v>
      </c>
      <c r="L143" s="35">
        <v>3.0685634045970089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3.328516284092061</v>
      </c>
      <c r="J144" s="35">
        <v>3.3386551870627601</v>
      </c>
      <c r="K144" s="35">
        <v>3.1289477738119524</v>
      </c>
      <c r="L144" s="35">
        <v>3.1073067549934756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3.3051968072594544</v>
      </c>
      <c r="J145" s="35">
        <v>3.3153357102301531</v>
      </c>
      <c r="K145" s="35">
        <v>3.0752506978480332</v>
      </c>
      <c r="L145" s="35">
        <v>3.0992770450667466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3.328516284092061</v>
      </c>
      <c r="J146" s="35">
        <v>3.3386551870627601</v>
      </c>
      <c r="K146" s="35">
        <v>3.1646767828911271</v>
      </c>
      <c r="L146" s="35">
        <v>3.2026595603733816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3.6554959048970903</v>
      </c>
      <c r="J147" s="35">
        <v>3.6656348078677889</v>
      </c>
      <c r="K147" s="35">
        <v>3.6597047927417217</v>
      </c>
      <c r="L147" s="35">
        <v>3.3055402188095955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3.9591560488695121</v>
      </c>
      <c r="J148" s="35">
        <v>3.9692949518402112</v>
      </c>
      <c r="K148" s="35">
        <v>3.9579125656213847</v>
      </c>
      <c r="L148" s="35">
        <v>3.5584760815015555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3.9070420876001219</v>
      </c>
      <c r="J149" s="35">
        <v>3.9171809905708206</v>
      </c>
      <c r="K149" s="35">
        <v>4.018237631675353</v>
      </c>
      <c r="L149" s="35">
        <v>3.5931042055605737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3.8115336216161411</v>
      </c>
      <c r="J150" s="35">
        <v>3.8216725245868397</v>
      </c>
      <c r="K150" s="35">
        <v>3.8656902972590506</v>
      </c>
      <c r="L150" s="35">
        <v>3.5318776673692662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3.2515620105444594</v>
      </c>
      <c r="J151" s="35">
        <v>3.261700913515158</v>
      </c>
      <c r="K151" s="35">
        <v>3.499597407128956</v>
      </c>
      <c r="L151" s="35">
        <v>3.0137606343470842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3.1663952255905912</v>
      </c>
      <c r="J152" s="35">
        <v>3.1765341285612898</v>
      </c>
      <c r="K152" s="35">
        <v>3.1762757655487146</v>
      </c>
      <c r="L152" s="35">
        <v>3.0595299809294385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3.1186409925986007</v>
      </c>
      <c r="J153" s="35">
        <v>3.1287798955692998</v>
      </c>
      <c r="K153" s="35">
        <v>3.0359487878609412</v>
      </c>
      <c r="L153" s="35">
        <v>2.9080695774365153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3.1783591310960153</v>
      </c>
      <c r="J154" s="35">
        <v>3.1884980340667144</v>
      </c>
      <c r="K154" s="35">
        <v>3.0725062957013725</v>
      </c>
      <c r="L154" s="35">
        <v>2.9872625915888791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3.4442011669877322</v>
      </c>
      <c r="J155" s="35">
        <v>3.4543400699584308</v>
      </c>
      <c r="K155" s="35">
        <v>3.1030571875226953</v>
      </c>
      <c r="L155" s="35">
        <v>3.119351319883569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3.4291955905910978</v>
      </c>
      <c r="J156" s="35">
        <v>3.4393344935617969</v>
      </c>
      <c r="K156" s="35">
        <v>3.1884961222772441</v>
      </c>
      <c r="L156" s="35">
        <v>3.2069755294589979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3.4411594960965224</v>
      </c>
      <c r="J157" s="35">
        <v>3.451298399067221</v>
      </c>
      <c r="K157" s="35">
        <v>3.1579970116284986</v>
      </c>
      <c r="L157" s="35">
        <v>3.23387505771354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3.4053691686099565</v>
      </c>
      <c r="J158" s="35">
        <v>3.4155080715806552</v>
      </c>
      <c r="K158" s="35">
        <v>3.408100075182722</v>
      </c>
      <c r="L158" s="35">
        <v>3.2787410619291379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3.7995697161107169</v>
      </c>
      <c r="J159" s="35">
        <v>3.8097086190814156</v>
      </c>
      <c r="K159" s="35">
        <v>3.9632978075695497</v>
      </c>
      <c r="L159" s="35">
        <v>3.4481679413831174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4.2534884021088919</v>
      </c>
      <c r="J160" s="35">
        <v>4.2636273050795905</v>
      </c>
      <c r="K160" s="35">
        <v>4.3659482055400751</v>
      </c>
      <c r="L160" s="35">
        <v>3.8498541804677306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4.2416258856331748</v>
      </c>
      <c r="J161" s="35">
        <v>4.2517647886038725</v>
      </c>
      <c r="K161" s="35">
        <v>4.3787899363395475</v>
      </c>
      <c r="L161" s="35">
        <v>3.924229368664057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4.0216116911690154</v>
      </c>
      <c r="J162" s="35">
        <v>4.0317505941397149</v>
      </c>
      <c r="K162" s="35">
        <v>4.0854495936822648</v>
      </c>
      <c r="L162" s="35">
        <v>3.7399475258456287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3.5744860701612087</v>
      </c>
      <c r="J163" s="35">
        <v>3.5846249731319073</v>
      </c>
      <c r="K163" s="35">
        <v>3.7858437291429823</v>
      </c>
      <c r="L163" s="35">
        <v>3.3334434608049786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3.3250690570820236</v>
      </c>
      <c r="J164" s="35">
        <v>3.3352079600527222</v>
      </c>
      <c r="K164" s="35">
        <v>3.3551797168074806</v>
      </c>
      <c r="L164" s="35">
        <v>3.2166111813710732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3.3128009844874784</v>
      </c>
      <c r="J165" s="35">
        <v>3.3229398874581775</v>
      </c>
      <c r="K165" s="35">
        <v>3.1742045186455741</v>
      </c>
      <c r="L165" s="35">
        <v>3.1003811301816722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3.3739385694007908</v>
      </c>
      <c r="J166" s="35">
        <v>3.3840774723714895</v>
      </c>
      <c r="K166" s="35">
        <v>3.2116423064198396</v>
      </c>
      <c r="L166" s="35">
        <v>3.1808789721971293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3.679423715907939</v>
      </c>
      <c r="J167" s="35">
        <v>3.6895626188786377</v>
      </c>
      <c r="K167" s="35">
        <v>3.261559356785527</v>
      </c>
      <c r="L167" s="35">
        <v>3.3522129077587071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3.6305542035891718</v>
      </c>
      <c r="J168" s="35">
        <v>3.6406931065598709</v>
      </c>
      <c r="K168" s="35">
        <v>3.3364349323340585</v>
      </c>
      <c r="L168" s="35">
        <v>3.4063130783900433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3.6305542035891718</v>
      </c>
      <c r="J169" s="35">
        <v>3.6406931065598709</v>
      </c>
      <c r="K169" s="35">
        <v>3.3240074509152153</v>
      </c>
      <c r="L169" s="35">
        <v>3.4213687845026595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3.5939527638649498</v>
      </c>
      <c r="J170" s="35">
        <v>3.6040916668356489</v>
      </c>
      <c r="K170" s="35">
        <v>3.5923374872170748</v>
      </c>
      <c r="L170" s="35">
        <v>3.4654318177255847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4.1804883007198619</v>
      </c>
      <c r="J171" s="35">
        <v>4.1906272036905605</v>
      </c>
      <c r="K171" s="35">
        <v>4.3600969330387036</v>
      </c>
      <c r="L171" s="35">
        <v>3.8252631938171233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4.5838138608942511</v>
      </c>
      <c r="J172" s="35">
        <v>4.5939527638649498</v>
      </c>
      <c r="K172" s="35">
        <v>4.7095680667710944</v>
      </c>
      <c r="L172" s="35">
        <v>4.1768641172337651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4.5939527638649498</v>
      </c>
      <c r="J173" s="35">
        <v>4.6040916668356484</v>
      </c>
      <c r="K173" s="35">
        <v>4.7456595440583191</v>
      </c>
      <c r="L173" s="35">
        <v>4.2730198936063433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4.2561245168812736</v>
      </c>
      <c r="J174" s="35">
        <v>4.2662634198519722</v>
      </c>
      <c r="K174" s="35">
        <v>4.3366400618606367</v>
      </c>
      <c r="L174" s="35">
        <v>3.9720061427280937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3.8269447541316031</v>
      </c>
      <c r="J175" s="35">
        <v>3.8370836571023017</v>
      </c>
      <c r="K175" s="35">
        <v>4.0682064632136195</v>
      </c>
      <c r="L175" s="35">
        <v>3.5833681822744152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3.642923665213424</v>
      </c>
      <c r="J176" s="35">
        <v>3.6530625681841231</v>
      </c>
      <c r="K176" s="35">
        <v>3.6527661156162012</v>
      </c>
      <c r="L176" s="35">
        <v>3.5312754391247614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3.6679667555510496</v>
      </c>
      <c r="J177" s="35">
        <v>3.6781056585217482</v>
      </c>
      <c r="K177" s="35">
        <v>3.4866003328117494</v>
      </c>
      <c r="L177" s="35">
        <v>3.4518816822242298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3.7305237868802594</v>
      </c>
      <c r="J178" s="35">
        <v>3.7406626898509585</v>
      </c>
      <c r="K178" s="35">
        <v>3.5569191651733716</v>
      </c>
      <c r="L178" s="35">
        <v>3.5338850948509486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4.1276646162425221</v>
      </c>
      <c r="J179" s="35">
        <v>4.1378035192132208</v>
      </c>
      <c r="K179" s="35">
        <v>3.6399761659893084</v>
      </c>
      <c r="L179" s="35">
        <v>3.7960551239586469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4.093395124201562</v>
      </c>
      <c r="J180" s="35">
        <v>4.1035340271722598</v>
      </c>
      <c r="K180" s="35">
        <v>3.7166640825780872</v>
      </c>
      <c r="L180" s="35">
        <v>3.8645084010840107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4.093395124201562</v>
      </c>
      <c r="J181" s="35">
        <v>4.1035340271722598</v>
      </c>
      <c r="K181" s="35">
        <v>3.7167158637506654</v>
      </c>
      <c r="L181" s="35">
        <v>3.8795641071966274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4.043308943526311</v>
      </c>
      <c r="J182" s="35">
        <v>4.0534478464970096</v>
      </c>
      <c r="K182" s="35">
        <v>4.0170466647060472</v>
      </c>
      <c r="L182" s="35">
        <v>3.9102777476663655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4.5438665831896987</v>
      </c>
      <c r="J183" s="35">
        <v>4.5540054861603974</v>
      </c>
      <c r="K183" s="35">
        <v>4.6370226439885966</v>
      </c>
      <c r="L183" s="35">
        <v>4.1849941985345778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4.8066669481902062</v>
      </c>
      <c r="J184" s="35">
        <v>4.8168058511609049</v>
      </c>
      <c r="K184" s="35">
        <v>4.8607173095277769</v>
      </c>
      <c r="L184" s="35">
        <v>4.397480397470642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4.7126793176518298</v>
      </c>
      <c r="J185" s="35">
        <v>4.7228182206225284</v>
      </c>
      <c r="K185" s="35">
        <v>4.8284576390113632</v>
      </c>
      <c r="L185" s="35">
        <v>4.3905547726588372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4.4694470353847713</v>
      </c>
      <c r="J186" s="35">
        <v>4.4795859383554699</v>
      </c>
      <c r="K186" s="35">
        <v>4.4949868876057328</v>
      </c>
      <c r="L186" s="35">
        <v>4.1832878851751483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4.0979576305383754</v>
      </c>
      <c r="J187" s="35">
        <v>4.108096533509074</v>
      </c>
      <c r="K187" s="35">
        <v>4.2857909503885363</v>
      </c>
      <c r="L187" s="35">
        <v>3.8516608652012443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3.9061295863327588</v>
      </c>
      <c r="J188" s="35">
        <v>3.9162684893034578</v>
      </c>
      <c r="K188" s="35">
        <v>3.8673472947815632</v>
      </c>
      <c r="L188" s="35">
        <v>3.7918395262471138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3.9190059931055461</v>
      </c>
      <c r="J189" s="35">
        <v>3.9291448960762452</v>
      </c>
      <c r="K189" s="35">
        <v>3.7365480528482364</v>
      </c>
      <c r="L189" s="35">
        <v>3.7004012044564889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3.9190059931055461</v>
      </c>
      <c r="J190" s="35">
        <v>3.9291448960762452</v>
      </c>
      <c r="K190" s="35">
        <v>3.7234991973584513</v>
      </c>
      <c r="L190" s="35">
        <v>3.7204754792733112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4.2453772797323328</v>
      </c>
      <c r="J191" s="35">
        <v>4.2555161827030314</v>
      </c>
      <c r="K191" s="35">
        <v>3.7758499628353288</v>
      </c>
      <c r="L191" s="35">
        <v>3.9125862892703003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4.2389897708607922</v>
      </c>
      <c r="J192" s="35">
        <v>4.2491286738314908</v>
      </c>
      <c r="K192" s="35">
        <v>3.8869723591888201</v>
      </c>
      <c r="L192" s="35">
        <v>4.0086416942687944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4.2262147531177128</v>
      </c>
      <c r="J193" s="35">
        <v>4.2363536560884105</v>
      </c>
      <c r="K193" s="35">
        <v>3.8411978026294133</v>
      </c>
      <c r="L193" s="35">
        <v>4.0110506072468137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4.1877883108587657</v>
      </c>
      <c r="J194" s="35">
        <v>4.1979272138294634</v>
      </c>
      <c r="K194" s="35">
        <v>4.1942418372697228</v>
      </c>
      <c r="L194" s="35">
        <v>4.0533069557362245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4.5206484953867987</v>
      </c>
      <c r="J195" s="35">
        <v>4.5307873983574973</v>
      </c>
      <c r="K195" s="35">
        <v>4.6061610651318023</v>
      </c>
      <c r="L195" s="35">
        <v>4.1620091538693167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4.8662836976579138</v>
      </c>
      <c r="J196" s="35">
        <v>4.8764226006286124</v>
      </c>
      <c r="K196" s="35">
        <v>5.0180285118213037</v>
      </c>
      <c r="L196" s="35">
        <v>4.4564987654320989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4.9261032251850354</v>
      </c>
      <c r="J197" s="35">
        <v>4.936242128155734</v>
      </c>
      <c r="K197" s="35">
        <v>5.1198820782832408</v>
      </c>
      <c r="L197" s="35">
        <v>4.6018365151058918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4.7296112856128962</v>
      </c>
      <c r="J198" s="35">
        <v>4.7397501885835949</v>
      </c>
      <c r="K198" s="35">
        <v>4.7988388082964537</v>
      </c>
      <c r="L198" s="35">
        <v>4.4408408310749774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4.1567632677684276</v>
      </c>
      <c r="J199" s="35">
        <v>4.1669021707391263</v>
      </c>
      <c r="K199" s="35">
        <v>4.3574043120646202</v>
      </c>
      <c r="L199" s="35">
        <v>3.9098762621700294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4.0224228034066716</v>
      </c>
      <c r="J200" s="35">
        <v>4.0325617063773702</v>
      </c>
      <c r="K200" s="35">
        <v>4.0630283459557681</v>
      </c>
      <c r="L200" s="35">
        <v>3.9069654923215897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4.0093436185744702</v>
      </c>
      <c r="J201" s="35">
        <v>4.0194825215451688</v>
      </c>
      <c r="K201" s="35">
        <v>3.7955268084151643</v>
      </c>
      <c r="L201" s="35">
        <v>3.7899324701395161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4.0617617469329819</v>
      </c>
      <c r="J202" s="35">
        <v>4.0719006499036805</v>
      </c>
      <c r="K202" s="35">
        <v>3.8891471684371179</v>
      </c>
      <c r="L202" s="35">
        <v>3.8617983739837398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4.3925941508668762</v>
      </c>
      <c r="J203" s="35">
        <v>4.4027330538375749</v>
      </c>
      <c r="K203" s="35">
        <v>3.9225978059228384</v>
      </c>
      <c r="L203" s="35">
        <v>4.0582251530663456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4.3760677390246379</v>
      </c>
      <c r="J204" s="35">
        <v>4.3862066419953356</v>
      </c>
      <c r="K204" s="35">
        <v>3.9961788521569064</v>
      </c>
      <c r="L204" s="35">
        <v>4.1443437920305133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4.2713328713373215</v>
      </c>
      <c r="J205" s="35">
        <v>4.2814717743080193</v>
      </c>
      <c r="K205" s="35">
        <v>3.8891471684371175</v>
      </c>
      <c r="L205" s="35">
        <v>4.0557158687142429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4.2974912410017243</v>
      </c>
      <c r="J206" s="35">
        <v>4.3076301439724221</v>
      </c>
      <c r="K206" s="35">
        <v>4.283771484657974</v>
      </c>
      <c r="L206" s="35">
        <v>4.1619087824952326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4.5724582895670682</v>
      </c>
      <c r="J207" s="35">
        <v>4.5825971925377669</v>
      </c>
      <c r="K207" s="35">
        <v>4.7185262096271776</v>
      </c>
      <c r="L207" s="35">
        <v>4.2132989260262974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4.9785213535435462</v>
      </c>
      <c r="J208" s="35">
        <v>4.9886602565142448</v>
      </c>
      <c r="K208" s="35">
        <v>5.1265618495458689</v>
      </c>
      <c r="L208" s="35">
        <v>4.5676098765432096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5.0396589384568591</v>
      </c>
      <c r="J209" s="35">
        <v>5.0497978414275577</v>
      </c>
      <c r="K209" s="35">
        <v>5.2305384440835239</v>
      </c>
      <c r="L209" s="35">
        <v>4.7142524540800963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4.5305846202980842</v>
      </c>
      <c r="J210" s="35">
        <v>4.5407235232687819</v>
      </c>
      <c r="K210" s="35">
        <v>4.6284269693405635</v>
      </c>
      <c r="L210" s="35">
        <v>4.2437114523737831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4.0685548119233497</v>
      </c>
      <c r="J211" s="35">
        <v>4.0786937148940483</v>
      </c>
      <c r="K211" s="35">
        <v>4.2178540519655261</v>
      </c>
      <c r="L211" s="35">
        <v>3.8225531667168524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4.0482770059819533</v>
      </c>
      <c r="J212" s="35">
        <v>4.0584159089526519</v>
      </c>
      <c r="K212" s="35">
        <v>4.0126452650368734</v>
      </c>
      <c r="L212" s="35">
        <v>3.932560192713038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4.0616603579032757</v>
      </c>
      <c r="J213" s="35">
        <v>4.0717992608739735</v>
      </c>
      <c r="K213" s="35">
        <v>3.8894578554725889</v>
      </c>
      <c r="L213" s="35">
        <v>3.8416237277928333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4.0884270617459197</v>
      </c>
      <c r="J214" s="35">
        <v>4.0985659647166175</v>
      </c>
      <c r="K214" s="35">
        <v>3.8894578554725885</v>
      </c>
      <c r="L214" s="35">
        <v>3.8881960453678608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4.4774567687316233</v>
      </c>
      <c r="J215" s="35">
        <v>4.487595671702322</v>
      </c>
      <c r="K215" s="35">
        <v>3.9579125656213843</v>
      </c>
      <c r="L215" s="35">
        <v>4.1422359931747463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4.5037165274257331</v>
      </c>
      <c r="J216" s="35">
        <v>4.5138554303964318</v>
      </c>
      <c r="K216" s="35">
        <v>4.046820838938693</v>
      </c>
      <c r="L216" s="35">
        <v>4.2707113520024089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4.3831649711041267</v>
      </c>
      <c r="J217" s="35">
        <v>4.3933038740748254</v>
      </c>
      <c r="K217" s="35">
        <v>3.9783661287898973</v>
      </c>
      <c r="L217" s="35">
        <v>4.1664254943290171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4.3965483230254483</v>
      </c>
      <c r="J218" s="35">
        <v>4.4066872259961469</v>
      </c>
      <c r="K218" s="35">
        <v>4.334206346749446</v>
      </c>
      <c r="L218" s="35">
        <v>4.2599716149754085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4.8387058815776136</v>
      </c>
      <c r="J219" s="35">
        <v>4.8488447845483122</v>
      </c>
      <c r="K219" s="35">
        <v>4.9637100617864416</v>
      </c>
      <c r="L219" s="35">
        <v>4.4768741543711732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5.280863440129778</v>
      </c>
      <c r="J220" s="35">
        <v>5.2910023431004767</v>
      </c>
      <c r="K220" s="35">
        <v>5.4563561376984238</v>
      </c>
      <c r="L220" s="35">
        <v>4.8669173140620297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5.3476788107066815</v>
      </c>
      <c r="J221" s="35">
        <v>5.3578177136773801</v>
      </c>
      <c r="K221" s="35">
        <v>5.5605916380989733</v>
      </c>
      <c r="L221" s="35">
        <v>5.0192810599217097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4.9776088522761839</v>
      </c>
      <c r="J222" s="35">
        <v>4.9877477552468825</v>
      </c>
      <c r="K222" s="35">
        <v>5.0706381831610736</v>
      </c>
      <c r="L222" s="35">
        <v>4.6863492120847132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4.4812081628307814</v>
      </c>
      <c r="J223" s="35">
        <v>4.49134706580148</v>
      </c>
      <c r="K223" s="35">
        <v>4.6016561031174712</v>
      </c>
      <c r="L223" s="35">
        <v>4.2310646592391841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4.196406378383859</v>
      </c>
      <c r="J224" s="35">
        <v>4.2065452813545567</v>
      </c>
      <c r="K224" s="35">
        <v>4.1256835647757697</v>
      </c>
      <c r="L224" s="35">
        <v>4.0792027702499238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4.2100938973943025</v>
      </c>
      <c r="J225" s="35">
        <v>4.2202328003650011</v>
      </c>
      <c r="K225" s="35">
        <v>4.0066904301903445</v>
      </c>
      <c r="L225" s="35">
        <v>3.9886677908260566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4.2512578434553383</v>
      </c>
      <c r="J226" s="35">
        <v>4.2613967464260361</v>
      </c>
      <c r="K226" s="35">
        <v>3.9436727431622929</v>
      </c>
      <c r="L226" s="35">
        <v>4.0493924721469439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4.6735431521849335</v>
      </c>
      <c r="J227" s="35">
        <v>4.6836820551556322</v>
      </c>
      <c r="K227" s="35">
        <v>4.0976699504107934</v>
      </c>
      <c r="L227" s="35">
        <v>4.3363542306534182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4.6898667859677579</v>
      </c>
      <c r="J228" s="35">
        <v>4.7000056889384565</v>
      </c>
      <c r="K228" s="35">
        <v>4.174668554035045</v>
      </c>
      <c r="L228" s="35">
        <v>4.4549931948208368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4.552788817803914</v>
      </c>
      <c r="J229" s="35">
        <v>4.5629277207746126</v>
      </c>
      <c r="K229" s="35">
        <v>4.0347040445553208</v>
      </c>
      <c r="L229" s="35">
        <v>4.3343468031717345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4.5664763368143566</v>
      </c>
      <c r="J230" s="35">
        <v>4.5766152397850552</v>
      </c>
      <c r="K230" s="35">
        <v>4.4056643649077962</v>
      </c>
      <c r="L230" s="35">
        <v>4.4281940379403792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5.2243897505829873</v>
      </c>
      <c r="J231" s="35">
        <v>5.2345286535536859</v>
      </c>
      <c r="K231" s="35">
        <v>5.1966217760445987</v>
      </c>
      <c r="L231" s="35">
        <v>4.8586868613871319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5.5944597090134849</v>
      </c>
      <c r="J232" s="35">
        <v>5.6045986119841826</v>
      </c>
      <c r="K232" s="35">
        <v>5.7636256157793273</v>
      </c>
      <c r="L232" s="35">
        <v>5.1773659741041849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5.6672570323431009</v>
      </c>
      <c r="J233" s="35">
        <v>5.6773959353137995</v>
      </c>
      <c r="K233" s="35">
        <v>5.8744373250973467</v>
      </c>
      <c r="L233" s="35">
        <v>5.3355512596607451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5.1625424424617261</v>
      </c>
      <c r="J234" s="35">
        <v>5.1726813454324247</v>
      </c>
      <c r="K234" s="35">
        <v>5.2515098189778229</v>
      </c>
      <c r="L234" s="35">
        <v>4.8693262270400481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4.6301486474703442</v>
      </c>
      <c r="J235" s="35">
        <v>4.6402875504410428</v>
      </c>
      <c r="K235" s="35">
        <v>4.7144354969934748</v>
      </c>
      <c r="L235" s="35">
        <v>4.3785102077687439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4.307224587853594</v>
      </c>
      <c r="J236" s="35">
        <v>4.3173634908242926</v>
      </c>
      <c r="K236" s="35">
        <v>4.1344345829415392</v>
      </c>
      <c r="L236" s="35">
        <v>4.1889086821238584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4.2932329017540303</v>
      </c>
      <c r="J237" s="35">
        <v>4.3033718047247289</v>
      </c>
      <c r="K237" s="35">
        <v>4.0484778364612062</v>
      </c>
      <c r="L237" s="35">
        <v>4.0708719462009437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4.3353093490824293</v>
      </c>
      <c r="J238" s="35">
        <v>4.3454482520531279</v>
      </c>
      <c r="K238" s="35">
        <v>4.0412802534727916</v>
      </c>
      <c r="L238" s="35">
        <v>4.1326003412626715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4.6800320500861812</v>
      </c>
      <c r="J239" s="35">
        <v>4.6901709530568789</v>
      </c>
      <c r="K239" s="35">
        <v>4.084258626712959</v>
      </c>
      <c r="L239" s="35">
        <v>4.3427779985948005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4.755871044307006</v>
      </c>
      <c r="J240" s="35">
        <v>4.7660099472777047</v>
      </c>
      <c r="K240" s="35">
        <v>4.1773611750091266</v>
      </c>
      <c r="L240" s="35">
        <v>4.5203349593495936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4.5595818827942818</v>
      </c>
      <c r="J241" s="35">
        <v>4.5697207857649804</v>
      </c>
      <c r="K241" s="35">
        <v>4.0126452650368742</v>
      </c>
      <c r="L241" s="35">
        <v>4.341071685235371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4.6016583301226808</v>
      </c>
      <c r="J242" s="35">
        <v>4.6117972330933794</v>
      </c>
      <c r="K242" s="35">
        <v>4.3635662716014636</v>
      </c>
      <c r="L242" s="35">
        <v>4.4630229047475662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5.0223214143769646</v>
      </c>
      <c r="J243" s="35">
        <v>5.0324603173476632</v>
      </c>
      <c r="K243" s="35">
        <v>5.0581589205696513</v>
      </c>
      <c r="L243" s="35">
        <v>4.6586467128374984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5.4288914235019776</v>
      </c>
      <c r="J244" s="35">
        <v>5.4390303264726754</v>
      </c>
      <c r="K244" s="35">
        <v>5.5736922747613376</v>
      </c>
      <c r="L244" s="35">
        <v>5.0134595202248322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5.4966192953462434</v>
      </c>
      <c r="J245" s="35">
        <v>5.506758198316942</v>
      </c>
      <c r="K245" s="35">
        <v>5.628424974176828</v>
      </c>
      <c r="L245" s="35">
        <v>5.1667266084512695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4.9946422092669573</v>
      </c>
      <c r="J246" s="35">
        <v>5.004781112237656</v>
      </c>
      <c r="K246" s="35">
        <v>5.079026733118793</v>
      </c>
      <c r="L246" s="35">
        <v>4.7032116029308444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4.4966192953462434</v>
      </c>
      <c r="J247" s="35">
        <v>4.506758198316942</v>
      </c>
      <c r="K247" s="35">
        <v>4.5662377810737675</v>
      </c>
      <c r="L247" s="35">
        <v>4.2463211080999699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4.4782678809692795</v>
      </c>
      <c r="J248" s="35">
        <v>4.4884067839399782</v>
      </c>
      <c r="K248" s="35">
        <v>4.1560273319067793</v>
      </c>
      <c r="L248" s="35">
        <v>4.3582351902037537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4.4495747855622021</v>
      </c>
      <c r="J249" s="35">
        <v>4.4597136885328998</v>
      </c>
      <c r="K249" s="35">
        <v>4.1194180428937699</v>
      </c>
      <c r="L249" s="35">
        <v>4.2257449764127273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4.4782678809692795</v>
      </c>
      <c r="J250" s="35">
        <v>4.4884067839399782</v>
      </c>
      <c r="K250" s="35">
        <v>4.1413732600670592</v>
      </c>
      <c r="L250" s="35">
        <v>4.2741239787212688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4.870846203994728</v>
      </c>
      <c r="J251" s="35">
        <v>4.8809851069654266</v>
      </c>
      <c r="K251" s="35">
        <v>4.2073424739320862</v>
      </c>
      <c r="L251" s="35">
        <v>4.5316769246210979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4.8798698276386494</v>
      </c>
      <c r="J252" s="35">
        <v>4.890008730609348</v>
      </c>
      <c r="K252" s="35">
        <v>4.295163342625246</v>
      </c>
      <c r="L252" s="35">
        <v>4.643089149854462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4.7364043506032649</v>
      </c>
      <c r="J253" s="35">
        <v>4.7465432535739636</v>
      </c>
      <c r="K253" s="35">
        <v>4.1413732600670601</v>
      </c>
      <c r="L253" s="35">
        <v>4.5161193616380606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4.7508015928216567</v>
      </c>
      <c r="J254" s="35">
        <v>4.7609404957923553</v>
      </c>
      <c r="K254" s="35">
        <v>4.449056987528591</v>
      </c>
      <c r="L254" s="35">
        <v>4.6106691960252935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5.0807214954881887</v>
      </c>
      <c r="J255" s="35">
        <v>5.0908603984588865</v>
      </c>
      <c r="K255" s="35">
        <v>5.0643726612790729</v>
      </c>
      <c r="L255" s="35">
        <v>4.7164606243099465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5.5826985815674748</v>
      </c>
      <c r="J256" s="35">
        <v>5.5928374845381725</v>
      </c>
      <c r="K256" s="35">
        <v>5.7383046223884335</v>
      </c>
      <c r="L256" s="35">
        <v>5.1657228947104281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5.652657012065295</v>
      </c>
      <c r="J257" s="35">
        <v>5.6627959150359928</v>
      </c>
      <c r="K257" s="35">
        <v>5.9000690055237124</v>
      </c>
      <c r="L257" s="35">
        <v>5.3211981531667165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5.2418286636925888</v>
      </c>
      <c r="J258" s="35">
        <v>5.2519675666632875</v>
      </c>
      <c r="K258" s="35">
        <v>5.2855818305344853</v>
      </c>
      <c r="L258" s="35">
        <v>4.947917012947908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4.8239030832403937</v>
      </c>
      <c r="J259" s="35">
        <v>4.8340419862110915</v>
      </c>
      <c r="K259" s="35">
        <v>4.9183497546076635</v>
      </c>
      <c r="L259" s="35">
        <v>4.5703199036434805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4.4494733965324951</v>
      </c>
      <c r="J260" s="35">
        <v>4.4596122995031937</v>
      </c>
      <c r="K260" s="35">
        <v>4.191445653950483</v>
      </c>
      <c r="L260" s="35">
        <v>4.3297297199638658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4.4494733965324951</v>
      </c>
      <c r="J261" s="35">
        <v>4.4596122995031937</v>
      </c>
      <c r="K261" s="35">
        <v>4.0640639694073375</v>
      </c>
      <c r="L261" s="35">
        <v>4.225544233664559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4.4934762354253275</v>
      </c>
      <c r="J262" s="35">
        <v>4.5036151383960252</v>
      </c>
      <c r="K262" s="35">
        <v>4.0640121882347593</v>
      </c>
      <c r="L262" s="35">
        <v>4.2892800562079696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4.9213379407888063</v>
      </c>
      <c r="J263" s="35">
        <v>4.9314768437595049</v>
      </c>
      <c r="K263" s="35">
        <v>4.1464478149797541</v>
      </c>
      <c r="L263" s="35">
        <v>4.581762240289069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4.9190059931055456</v>
      </c>
      <c r="J264" s="35">
        <v>4.9291448960762443</v>
      </c>
      <c r="K264" s="35">
        <v>4.2139186828495578</v>
      </c>
      <c r="L264" s="35">
        <v>4.6818325002509287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4.8162989060123698</v>
      </c>
      <c r="J265" s="35">
        <v>4.8264378089830684</v>
      </c>
      <c r="K265" s="35">
        <v>4.0790287282825286</v>
      </c>
      <c r="L265" s="35">
        <v>4.5952120044163403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4.8603017449052013</v>
      </c>
      <c r="J266" s="35">
        <v>4.870440647875899</v>
      </c>
      <c r="K266" s="35">
        <v>4.4087194540899279</v>
      </c>
      <c r="L266" s="35">
        <v>4.7190702800361333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5.2858315025854203</v>
      </c>
      <c r="J267" s="35">
        <v>5.295970405556119</v>
      </c>
      <c r="K267" s="35">
        <v>5.2555487504389466</v>
      </c>
      <c r="L267" s="35">
        <v>4.9195119140821033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5.7700655084659846</v>
      </c>
      <c r="J268" s="35">
        <v>5.7802044114366824</v>
      </c>
      <c r="K268" s="35">
        <v>5.9150337643989026</v>
      </c>
      <c r="L268" s="35">
        <v>5.3512091940178665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5.8429642208253076</v>
      </c>
      <c r="J269" s="35">
        <v>5.8531031237960054</v>
      </c>
      <c r="K269" s="35">
        <v>6.1351555290301665</v>
      </c>
      <c r="L269" s="35">
        <v>5.5095952223225932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5.5427513038629224</v>
      </c>
      <c r="J270" s="35">
        <v>5.552890206833621</v>
      </c>
      <c r="K270" s="35">
        <v>5.5678927834325442</v>
      </c>
      <c r="L270" s="35">
        <v>5.2458192512295492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4.9536810412653356</v>
      </c>
      <c r="J271" s="35">
        <v>4.9638199442360333</v>
      </c>
      <c r="K271" s="35">
        <v>5.0235690972872042</v>
      </c>
      <c r="L271" s="35">
        <v>4.6987952624711431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4.6121014001825005</v>
      </c>
      <c r="J272" s="35">
        <v>4.6222403031531991</v>
      </c>
      <c r="K272" s="35">
        <v>4.3105941320536427</v>
      </c>
      <c r="L272" s="35">
        <v>4.4907254039947802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4.5970958237858666</v>
      </c>
      <c r="J273" s="35">
        <v>4.6072347267565643</v>
      </c>
      <c r="K273" s="35">
        <v>4.233957996637443</v>
      </c>
      <c r="L273" s="35">
        <v>4.371684954331025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4.5820902473892327</v>
      </c>
      <c r="J274" s="35">
        <v>4.5922291503599304</v>
      </c>
      <c r="K274" s="35">
        <v>4.2186307695542027</v>
      </c>
      <c r="L274" s="35">
        <v>4.3769042657833985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4.9567227121565445</v>
      </c>
      <c r="J275" s="35">
        <v>4.9668616151272431</v>
      </c>
      <c r="K275" s="35">
        <v>4.287603291428784</v>
      </c>
      <c r="L275" s="35">
        <v>4.6166914784703401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4.9573310463347875</v>
      </c>
      <c r="J276" s="35">
        <v>4.9674699493054852</v>
      </c>
      <c r="K276" s="35">
        <v>4.3565758133033636</v>
      </c>
      <c r="L276" s="35">
        <v>4.7197728796547223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4.882303164351617</v>
      </c>
      <c r="J277" s="35">
        <v>4.8924420673223157</v>
      </c>
      <c r="K277" s="35">
        <v>4.1879245342151439</v>
      </c>
      <c r="L277" s="35">
        <v>4.6605537689450962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4.9273198935415188</v>
      </c>
      <c r="J278" s="35">
        <v>4.9374587965122174</v>
      </c>
      <c r="K278" s="35">
        <v>4.4639699652312022</v>
      </c>
      <c r="L278" s="35">
        <v>4.7854157583057315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5.3326732343100476</v>
      </c>
      <c r="J279" s="35">
        <v>5.3428121372807462</v>
      </c>
      <c r="K279" s="35">
        <v>5.3148899742139246</v>
      </c>
      <c r="L279" s="35">
        <v>4.9658834889089629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5.6779028804623337</v>
      </c>
      <c r="J280" s="35">
        <v>5.6880417834330324</v>
      </c>
      <c r="K280" s="35">
        <v>5.8285592061927831</v>
      </c>
      <c r="L280" s="35">
        <v>5.2599716149754085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5.7473543658116188</v>
      </c>
      <c r="J281" s="35">
        <v>5.7574932687823175</v>
      </c>
      <c r="K281" s="35">
        <v>6.0408102325921131</v>
      </c>
      <c r="L281" s="35">
        <v>5.4148446451871921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5.6090597292912907</v>
      </c>
      <c r="J282" s="35">
        <v>5.6191986322619893</v>
      </c>
      <c r="K282" s="35">
        <v>5.5780936744305114</v>
      </c>
      <c r="L282" s="35">
        <v>5.3114621298805575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5.0253630852681743</v>
      </c>
      <c r="J283" s="35">
        <v>5.035501988238873</v>
      </c>
      <c r="K283" s="35">
        <v>5.1310668115601992</v>
      </c>
      <c r="L283" s="35">
        <v>4.76975782394861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4.7799002443475613</v>
      </c>
      <c r="J284" s="35">
        <v>4.79003914731826</v>
      </c>
      <c r="K284" s="35">
        <v>4.370349605209249</v>
      </c>
      <c r="L284" s="35">
        <v>4.6568400281039848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4.7491793683463452</v>
      </c>
      <c r="J285" s="35">
        <v>4.7593182713170439</v>
      </c>
      <c r="K285" s="35">
        <v>4.2762114334615102</v>
      </c>
      <c r="L285" s="35">
        <v>4.5222420154571914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4.7952099878333163</v>
      </c>
      <c r="J286" s="35">
        <v>4.8053488908040149</v>
      </c>
      <c r="K286" s="35">
        <v>4.3075390428715119</v>
      </c>
      <c r="L286" s="35">
        <v>4.5879852654822848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5.2367592122072395</v>
      </c>
      <c r="J287" s="35">
        <v>5.2468981151779381</v>
      </c>
      <c r="K287" s="35">
        <v>4.3860393005005385</v>
      </c>
      <c r="L287" s="35">
        <v>4.8939172136906546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5.2252008628206434</v>
      </c>
      <c r="J288" s="35">
        <v>5.2353397657913412</v>
      </c>
      <c r="K288" s="35">
        <v>4.4487463004931191</v>
      </c>
      <c r="L288" s="35">
        <v>4.9849540499849443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5.1637591108182095</v>
      </c>
      <c r="J289" s="35">
        <v>5.1738980137889081</v>
      </c>
      <c r="K289" s="35">
        <v>4.3781685622686046</v>
      </c>
      <c r="L289" s="35">
        <v>4.9391847034025895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5.1944799868194265</v>
      </c>
      <c r="J290" s="35">
        <v>5.2046188897901242</v>
      </c>
      <c r="K290" s="35">
        <v>4.6447898198753741</v>
      </c>
      <c r="L290" s="35">
        <v>5.0498943290173637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5.5783388532900746</v>
      </c>
      <c r="J291" s="35">
        <v>5.5884777562607724</v>
      </c>
      <c r="K291" s="35">
        <v>5.5780418932579332</v>
      </c>
      <c r="L291" s="35">
        <v>5.2090833283147644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5.9622991087904289</v>
      </c>
      <c r="J292" s="35">
        <v>5.9724380117611267</v>
      </c>
      <c r="K292" s="35">
        <v>6.0643188849427592</v>
      </c>
      <c r="L292" s="35">
        <v>5.5415133192813402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6.0211047460204812</v>
      </c>
      <c r="J293" s="35">
        <v>6.0312436489911798</v>
      </c>
      <c r="K293" s="35">
        <v>6.059192548857486</v>
      </c>
      <c r="L293" s="35">
        <v>5.6859477265883767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5.989674146811315</v>
      </c>
      <c r="J294" s="35">
        <v>5.9998130497820137</v>
      </c>
      <c r="K294" s="35">
        <v>5.8024097140406345</v>
      </c>
      <c r="L294" s="35">
        <v>5.688256268192311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5.4903331755044107</v>
      </c>
      <c r="J295" s="35">
        <v>5.5004720784751093</v>
      </c>
      <c r="K295" s="35">
        <v>5.5777829873950413</v>
      </c>
      <c r="L295" s="35">
        <v>5.2300609454983435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5.0000158278414277</v>
      </c>
      <c r="J296" s="35">
        <v>5.0101547308121264</v>
      </c>
      <c r="K296" s="35">
        <v>4.5107283640696005</v>
      </c>
      <c r="L296" s="35">
        <v>4.87474628124059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5.0000158278414277</v>
      </c>
      <c r="J297" s="35">
        <v>5.0101547308121264</v>
      </c>
      <c r="K297" s="35">
        <v>4.5267805275689392</v>
      </c>
      <c r="L297" s="35">
        <v>4.7706611663153664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5.1257382246780896</v>
      </c>
      <c r="J298" s="35">
        <v>5.1358771276487882</v>
      </c>
      <c r="K298" s="35">
        <v>4.5428326910682797</v>
      </c>
      <c r="L298" s="35">
        <v>4.9150955736224029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5.5115234827131712</v>
      </c>
      <c r="J299" s="35">
        <v>5.5216623856838689</v>
      </c>
      <c r="K299" s="35">
        <v>4.6150156456427283</v>
      </c>
      <c r="L299" s="35">
        <v>5.1659236374585964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5.518417936733246</v>
      </c>
      <c r="J300" s="35">
        <v>5.5285568397039446</v>
      </c>
      <c r="K300" s="35">
        <v>4.6952764631394244</v>
      </c>
      <c r="L300" s="35">
        <v>5.2752280638361935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5.4242275281354564</v>
      </c>
      <c r="J301" s="35">
        <v>5.4343664311061541</v>
      </c>
      <c r="K301" s="35">
        <v>4.7032507637165164</v>
      </c>
      <c r="L301" s="35">
        <v>5.1970387634246711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5.4712720379194977</v>
      </c>
      <c r="J302" s="35">
        <v>5.4814109408901963</v>
      </c>
      <c r="K302" s="35">
        <v>4.9519557356111186</v>
      </c>
      <c r="L302" s="35">
        <v>5.3239081802669874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5.8954837382135263</v>
      </c>
      <c r="J303" s="35">
        <v>5.9056226411842241</v>
      </c>
      <c r="K303" s="35">
        <v>5.9307752408627712</v>
      </c>
      <c r="L303" s="35">
        <v>5.5230449864498645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6.2254036408800566</v>
      </c>
      <c r="J304" s="35">
        <v>6.2355425438507552</v>
      </c>
      <c r="K304" s="35">
        <v>6.3159236025017584</v>
      </c>
      <c r="L304" s="35">
        <v>5.8019770350296094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6.3527482621920308</v>
      </c>
      <c r="J305" s="35">
        <v>6.3628871651627295</v>
      </c>
      <c r="K305" s="35">
        <v>6.2721685116729136</v>
      </c>
      <c r="L305" s="35">
        <v>6.0141621198434203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6.1920466501064588</v>
      </c>
      <c r="J306" s="35">
        <v>6.2021855530771575</v>
      </c>
      <c r="K306" s="35">
        <v>5.6648271384995219</v>
      </c>
      <c r="L306" s="35">
        <v>5.8884971594901128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5.652555623035588</v>
      </c>
      <c r="J307" s="35">
        <v>5.6626945260062866</v>
      </c>
      <c r="K307" s="35">
        <v>5.4103744564487046</v>
      </c>
      <c r="L307" s="35">
        <v>5.3906551440329213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5.3885385896785971</v>
      </c>
      <c r="J308" s="35">
        <v>5.3986774926492958</v>
      </c>
      <c r="K308" s="35">
        <v>4.8029813021027339</v>
      </c>
      <c r="L308" s="35">
        <v>5.2592690153568196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5.3885385896785971</v>
      </c>
      <c r="J309" s="35">
        <v>5.3986774926492958</v>
      </c>
      <c r="K309" s="35">
        <v>4.8276291402501075</v>
      </c>
      <c r="L309" s="35">
        <v>5.155183900431596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5.4688387012065292</v>
      </c>
      <c r="J310" s="35">
        <v>5.4789776041772278</v>
      </c>
      <c r="K310" s="35">
        <v>4.8358623466900905</v>
      </c>
      <c r="L310" s="35">
        <v>5.254752303523035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5.9246837787691371</v>
      </c>
      <c r="J311" s="35">
        <v>5.9348226817398357</v>
      </c>
      <c r="K311" s="35">
        <v>4.934350136934424</v>
      </c>
      <c r="L311" s="35">
        <v>5.5749369868513501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5.9188032150461325</v>
      </c>
      <c r="J312" s="35">
        <v>5.9289421180168311</v>
      </c>
      <c r="K312" s="35">
        <v>5.0081900890313857</v>
      </c>
      <c r="L312" s="35">
        <v>5.671594620094349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5.7581016029605596</v>
      </c>
      <c r="J313" s="35">
        <v>5.7682405059312583</v>
      </c>
      <c r="K313" s="35">
        <v>4.9753608256166082</v>
      </c>
      <c r="L313" s="35">
        <v>5.5275616982836491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5.8385031035181996</v>
      </c>
      <c r="J314" s="35">
        <v>5.8486420064888982</v>
      </c>
      <c r="K314" s="35">
        <v>5.2872906092295757</v>
      </c>
      <c r="L314" s="35">
        <v>5.6874532971996388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6.2884676173578029</v>
      </c>
      <c r="J315" s="35">
        <v>6.2986065203285007</v>
      </c>
      <c r="K315" s="35">
        <v>6.3624230954772631</v>
      </c>
      <c r="L315" s="35">
        <v>5.9120844323998796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6.6580306306397654</v>
      </c>
      <c r="J316" s="35">
        <v>6.6681695336104632</v>
      </c>
      <c r="K316" s="35">
        <v>6.7317781994798054</v>
      </c>
      <c r="L316" s="35">
        <v>6.2302616882465118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6.7227168315928214</v>
      </c>
      <c r="J317" s="35">
        <v>6.73285573456352</v>
      </c>
      <c r="K317" s="35">
        <v>6.7035574604245145</v>
      </c>
      <c r="L317" s="35">
        <v>6.3804172638763417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6.6405917175301639</v>
      </c>
      <c r="J318" s="35">
        <v>6.6507306205008616</v>
      </c>
      <c r="K318" s="35">
        <v>6.4686780616083759</v>
      </c>
      <c r="L318" s="35">
        <v>6.3325401184382208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6.0597339663388423</v>
      </c>
      <c r="J319" s="35">
        <v>6.069872869309541</v>
      </c>
      <c r="K319" s="35">
        <v>5.7220971153713593</v>
      </c>
      <c r="L319" s="35">
        <v>5.7937465823547125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5.7536404856534524</v>
      </c>
      <c r="J320" s="35">
        <v>5.7637793886241502</v>
      </c>
      <c r="K320" s="35">
        <v>5.2104473491230614</v>
      </c>
      <c r="L320" s="35">
        <v>5.620806704807789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5.7372154628409211</v>
      </c>
      <c r="J321" s="35">
        <v>5.7473543658116188</v>
      </c>
      <c r="K321" s="35">
        <v>5.185281699249904</v>
      </c>
      <c r="L321" s="35">
        <v>5.500361055906855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5.8029155540910473</v>
      </c>
      <c r="J322" s="35">
        <v>5.8130544570617459</v>
      </c>
      <c r="K322" s="35">
        <v>5.2020587991653429</v>
      </c>
      <c r="L322" s="35">
        <v>5.5854759811301813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6.2658578637331441</v>
      </c>
      <c r="J323" s="35">
        <v>6.2759967667038428</v>
      </c>
      <c r="K323" s="35">
        <v>5.2775557487848159</v>
      </c>
      <c r="L323" s="35">
        <v>5.9126866606443844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6.2628161928419344</v>
      </c>
      <c r="J324" s="35">
        <v>6.272955095812633</v>
      </c>
      <c r="K324" s="35">
        <v>5.3362238173162719</v>
      </c>
      <c r="L324" s="35">
        <v>6.0121546923617384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6.0821409419040862</v>
      </c>
      <c r="J325" s="35">
        <v>6.0922798448747848</v>
      </c>
      <c r="K325" s="35">
        <v>5.2942810675276757</v>
      </c>
      <c r="L325" s="35">
        <v>5.8483486098564681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6.1478410331542133</v>
      </c>
      <c r="J326" s="35">
        <v>6.1579799361249119</v>
      </c>
      <c r="K326" s="35">
        <v>5.4284978668511847</v>
      </c>
      <c r="L326" s="35">
        <v>5.993686359530261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6.3942163753421877</v>
      </c>
      <c r="J327" s="35">
        <v>6.4043552783128863</v>
      </c>
      <c r="K327" s="35">
        <v>6.3260727123271474</v>
      </c>
      <c r="L327" s="35">
        <v>6.016771775569608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6.8868656706884313</v>
      </c>
      <c r="J328" s="35">
        <v>6.8970045736591299</v>
      </c>
      <c r="K328" s="35">
        <v>6.7622773101285505</v>
      </c>
      <c r="L328" s="35">
        <v>6.4567998795543504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7.0386450481597898</v>
      </c>
      <c r="J329" s="35">
        <v>7.0487839511304875</v>
      </c>
      <c r="K329" s="35">
        <v>6.7650217122752112</v>
      </c>
      <c r="L329" s="35">
        <v>6.6932748368965163</v>
      </c>
      <c r="M329" s="104">
        <f t="shared" ref="M329:M340" si="13">YEAR(H329)</f>
        <v>2042</v>
      </c>
    </row>
    <row r="330" spans="8:15">
      <c r="H330" s="31">
        <v>51898</v>
      </c>
      <c r="I330" s="35">
        <v>6.870846203994728</v>
      </c>
      <c r="J330" s="35">
        <v>6.8809851069654266</v>
      </c>
      <c r="K330" s="35">
        <v>6.4307742432809025</v>
      </c>
      <c r="L330" s="35">
        <v>6.5604835089832374</v>
      </c>
      <c r="M330" s="104">
        <f t="shared" si="13"/>
        <v>2042</v>
      </c>
    </row>
    <row r="331" spans="8:15">
      <c r="H331" s="31">
        <v>51926</v>
      </c>
      <c r="I331" s="35">
        <v>6.2134397353746325</v>
      </c>
      <c r="J331" s="35">
        <v>6.2235786383453311</v>
      </c>
      <c r="K331" s="35">
        <v>5.8563656958674466</v>
      </c>
      <c r="L331" s="35">
        <v>5.9459095854662252</v>
      </c>
      <c r="M331" s="104">
        <f t="shared" si="13"/>
        <v>2042</v>
      </c>
    </row>
    <row r="332" spans="8:15">
      <c r="H332" s="31">
        <v>51957</v>
      </c>
      <c r="I332" s="35">
        <v>6.0483783950116594</v>
      </c>
      <c r="J332" s="35">
        <v>6.0585172979823581</v>
      </c>
      <c r="K332" s="35">
        <v>5.4019859064909852</v>
      </c>
      <c r="L332" s="35">
        <v>5.9124859178962152</v>
      </c>
      <c r="M332" s="104">
        <f t="shared" si="13"/>
        <v>2042</v>
      </c>
    </row>
    <row r="333" spans="8:15">
      <c r="H333" s="31">
        <v>51987</v>
      </c>
      <c r="I333" s="35">
        <v>6.0819381638446721</v>
      </c>
      <c r="J333" s="35">
        <v>6.0920770668153708</v>
      </c>
      <c r="K333" s="35">
        <v>5.4191254746144732</v>
      </c>
      <c r="L333" s="35">
        <v>5.8416237277928333</v>
      </c>
      <c r="M333" s="104">
        <f t="shared" si="13"/>
        <v>2042</v>
      </c>
    </row>
    <row r="334" spans="8:15">
      <c r="H334" s="31">
        <v>52018</v>
      </c>
      <c r="I334" s="35">
        <v>6.1490577015106966</v>
      </c>
      <c r="J334" s="35">
        <v>6.1591966044813953</v>
      </c>
      <c r="K334" s="35">
        <v>5.4448607173859953</v>
      </c>
      <c r="L334" s="35">
        <v>5.9281438522533367</v>
      </c>
      <c r="M334" s="104">
        <f t="shared" si="13"/>
        <v>2042</v>
      </c>
    </row>
    <row r="335" spans="8:15">
      <c r="H335" s="31">
        <v>52048</v>
      </c>
      <c r="I335" s="35">
        <v>6.6694875909966544</v>
      </c>
      <c r="J335" s="35">
        <v>6.6796264939673531</v>
      </c>
      <c r="K335" s="35">
        <v>5.5820290435464788</v>
      </c>
      <c r="L335" s="35">
        <v>6.3123654722473157</v>
      </c>
      <c r="M335" s="104">
        <f t="shared" si="13"/>
        <v>2042</v>
      </c>
    </row>
    <row r="336" spans="8:15">
      <c r="H336" s="31">
        <v>52079</v>
      </c>
      <c r="I336" s="35">
        <v>6.6693862019669474</v>
      </c>
      <c r="J336" s="35">
        <v>6.6795251049376452</v>
      </c>
      <c r="K336" s="35">
        <v>5.6420434225649769</v>
      </c>
      <c r="L336" s="35">
        <v>6.4146439024390238</v>
      </c>
      <c r="M336" s="104">
        <f t="shared" si="13"/>
        <v>2042</v>
      </c>
    </row>
    <row r="337" spans="8:13">
      <c r="H337" s="31">
        <v>52110</v>
      </c>
      <c r="I337" s="35">
        <v>6.5183165477035381</v>
      </c>
      <c r="J337" s="35">
        <v>6.5284554506742367</v>
      </c>
      <c r="K337" s="35">
        <v>5.5991686116699668</v>
      </c>
      <c r="L337" s="35">
        <v>6.2801462611663146</v>
      </c>
      <c r="M337" s="104">
        <f t="shared" si="13"/>
        <v>2042</v>
      </c>
    </row>
    <row r="338" spans="8:13">
      <c r="H338" s="31">
        <v>52140</v>
      </c>
      <c r="I338" s="35">
        <v>6.5854360853695635</v>
      </c>
      <c r="J338" s="35">
        <v>6.5955749883402612</v>
      </c>
      <c r="K338" s="35">
        <v>5.8392261277439585</v>
      </c>
      <c r="L338" s="35">
        <v>6.4268892100772854</v>
      </c>
      <c r="M338" s="104">
        <f t="shared" si="13"/>
        <v>2042</v>
      </c>
    </row>
    <row r="339" spans="8:13">
      <c r="H339" s="31">
        <v>52171</v>
      </c>
      <c r="I339" s="35">
        <v>7.1394257436885331</v>
      </c>
      <c r="J339" s="35">
        <v>7.1495646466592317</v>
      </c>
      <c r="K339" s="35">
        <v>6.7993526296947655</v>
      </c>
      <c r="L339" s="35">
        <v>6.7545013750878242</v>
      </c>
      <c r="M339" s="104">
        <f t="shared" si="13"/>
        <v>2042</v>
      </c>
    </row>
    <row r="340" spans="8:13">
      <c r="H340" s="31">
        <v>52201</v>
      </c>
      <c r="I340" s="35">
        <v>7.4918540109500151</v>
      </c>
      <c r="J340" s="35">
        <v>7.5019929139207138</v>
      </c>
      <c r="K340" s="35">
        <v>7.1936662588801505</v>
      </c>
      <c r="L340" s="35">
        <v>7.0557158687142429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04" t="s">
        <v>159</v>
      </c>
      <c r="C1" s="404"/>
      <c r="D1" s="404"/>
      <c r="E1" s="404"/>
      <c r="F1" s="404"/>
      <c r="G1" s="404"/>
      <c r="H1" s="404"/>
      <c r="I1" s="404"/>
      <c r="J1" s="404"/>
      <c r="K1" s="404"/>
      <c r="M1" s="358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55" t="s">
        <v>103</v>
      </c>
      <c r="B3" s="356">
        <v>2024</v>
      </c>
      <c r="C3" s="356">
        <v>2030</v>
      </c>
      <c r="D3" s="356">
        <v>2024</v>
      </c>
      <c r="E3" s="356">
        <v>2024</v>
      </c>
      <c r="F3" s="356">
        <v>2024</v>
      </c>
      <c r="G3" s="356">
        <v>2024</v>
      </c>
      <c r="H3" s="356">
        <v>2029</v>
      </c>
      <c r="I3" s="356">
        <v>2024</v>
      </c>
      <c r="J3" s="356">
        <v>2030</v>
      </c>
      <c r="K3" s="356">
        <v>2026</v>
      </c>
      <c r="L3" s="356">
        <v>2029</v>
      </c>
      <c r="M3" s="356">
        <v>2032</v>
      </c>
    </row>
    <row r="4" spans="1:14" ht="51">
      <c r="B4" s="212" t="s">
        <v>158</v>
      </c>
      <c r="C4" s="212" t="s">
        <v>167</v>
      </c>
      <c r="D4" s="212" t="s">
        <v>166</v>
      </c>
      <c r="E4" s="212" t="s">
        <v>165</v>
      </c>
      <c r="F4" s="212" t="s">
        <v>163</v>
      </c>
      <c r="G4" s="212" t="s">
        <v>164</v>
      </c>
      <c r="H4" s="212" t="s">
        <v>164</v>
      </c>
      <c r="I4" s="212" t="s">
        <v>162</v>
      </c>
      <c r="J4" s="212" t="s">
        <v>162</v>
      </c>
      <c r="K4" s="212" t="s">
        <v>168</v>
      </c>
      <c r="L4" s="212" t="s">
        <v>173</v>
      </c>
      <c r="M4" s="212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43.795627401653867</v>
      </c>
      <c r="C11" s="130"/>
      <c r="D11" s="130">
        <f>INDEX('Table 3 PV wS YK_2024'!$I$10:$I$33,MATCH($A11,'Table 3 PV wS YK_2024'!$B$10:$B$33,0),1)</f>
        <v>41.313858991533067</v>
      </c>
      <c r="E11" s="130">
        <f>INDEX('Table 3 PV wS SO_2024'!$I$10:$I$33,MATCH($A11,'Table 3 PV wS SO_2024'!$B$10:$B$33,0),1)</f>
        <v>36.045245201634806</v>
      </c>
      <c r="F11" s="130">
        <f>INDEX('Table 3 PV wS UTN_2024'!$I$10:$I$33,MATCH($A11,'Table 3 PV wS UTN_2024'!$B$10:$B$33,0),1)</f>
        <v>35.262348618903602</v>
      </c>
      <c r="G11" s="130">
        <f>INDEX('Table 3 PV wS JB_2024'!$I$10:$I$33,MATCH($A11,'Table 3 PV wS JB_2024'!$B$10:$B$33,0),1)</f>
        <v>34.243515764468007</v>
      </c>
      <c r="H11" s="130"/>
      <c r="I11" s="130">
        <f>INDEX('Table 3 PV wS UTS_2024'!$I$10:$I$36,MATCH($A11,'Table 3 PV wS UTS_2024'!$B$10:$B$36,0),1)</f>
        <v>32.278512108421658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44.8033723800148</v>
      </c>
      <c r="C12" s="130"/>
      <c r="D12" s="130">
        <f>INDEX('Table 3 PV wS YK_2024'!$I$10:$I$33,MATCH($A12,'Table 3 PV wS YK_2024'!$B$10:$B$33,0),1)</f>
        <v>42.263786441868632</v>
      </c>
      <c r="E12" s="130">
        <f>INDEX('Table 3 PV wS SO_2024'!$I$10:$I$33,MATCH($A12,'Table 3 PV wS SO_2024'!$B$10:$B$33,0),1)</f>
        <v>36.875605368756055</v>
      </c>
      <c r="F12" s="130">
        <f>INDEX('Table 3 PV wS UTN_2024'!$I$10:$I$33,MATCH($A12,'Table 3 PV wS UTN_2024'!$B$10:$B$33,0),1)</f>
        <v>36.074576374034805</v>
      </c>
      <c r="G12" s="130">
        <f>INDEX('Table 3 PV wS JB_2024'!$I$10:$I$33,MATCH($A12,'Table 3 PV wS JB_2024'!$B$10:$B$33,0),1)</f>
        <v>35.031629727392712</v>
      </c>
      <c r="H12" s="130"/>
      <c r="I12" s="130">
        <f>INDEX('Table 3 PV wS UTS_2024'!$I$10:$I$36,MATCH($A12,'Table 3 PV wS UTS_2024'!$B$10:$B$36,0),1)</f>
        <v>33.020723568668778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45.829695071076486</v>
      </c>
      <c r="C13" s="130"/>
      <c r="D13" s="130">
        <f>INDEX('Table 3 PV wS YK_2024'!$I$10:$I$33,MATCH($A13,'Table 3 PV wS YK_2024'!$B$10:$B$33,0),1)</f>
        <v>43.238496663154194</v>
      </c>
      <c r="E13" s="130">
        <f>INDEX('Table 3 PV wS SO_2024'!$I$10:$I$33,MATCH($A13,'Table 3 PV wS SO_2024'!$B$10:$B$33,0),1)</f>
        <v>37.725043432805997</v>
      </c>
      <c r="F13" s="130">
        <f>INDEX('Table 3 PV wS UTN_2024'!$I$10:$I$33,MATCH($A13,'Table 3 PV wS UTN_2024'!$B$10:$B$33,0),1)</f>
        <v>36.905141158087957</v>
      </c>
      <c r="G13" s="130">
        <f>INDEX('Table 3 PV wS JB_2024'!$I$10:$I$33,MATCH($A13,'Table 3 PV wS JB_2024'!$B$10:$B$33,0),1)</f>
        <v>35.839439311882771</v>
      </c>
      <c r="H13" s="130"/>
      <c r="I13" s="130">
        <f>INDEX('Table 3 PV wS UTS_2024'!$I$10:$I$36,MATCH($A13,'Table 3 PV wS UTS_2024'!$B$10:$B$36,0),1)</f>
        <v>33.782929399367745</v>
      </c>
      <c r="J13" s="130"/>
      <c r="K13" s="130">
        <f>INDEX('Table 3 185 MW (NTN) 2026)'!$K$14:$K$41,MATCH($A13,'Table 3 185 MW (NTN) 2026)'!$B$14:$B$41,0),1)</f>
        <v>73.239999999999995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47.882254705849491</v>
      </c>
      <c r="C14" s="130"/>
      <c r="D14" s="130">
        <f>INDEX('Table 3 PV wS YK_2024'!$I$10:$I$33,MATCH($A14,'Table 3 PV wS YK_2024'!$B$10:$B$33,0),1)</f>
        <v>44.235159817351601</v>
      </c>
      <c r="E14" s="130">
        <f>INDEX('Table 3 PV wS SO_2024'!$I$10:$I$33,MATCH($A14,'Table 3 PV wS SO_2024'!$B$10:$B$33,0),1)</f>
        <v>38.593699552603667</v>
      </c>
      <c r="F14" s="130">
        <f>INDEX('Table 3 PV wS UTN_2024'!$I$10:$I$33,MATCH($A14,'Table 3 PV wS UTN_2024'!$B$10:$B$33,0),1)</f>
        <v>37.754668608443701</v>
      </c>
      <c r="G14" s="130">
        <f>INDEX('Table 3 PV wS JB_2024'!$I$10:$I$33,MATCH($A14,'Table 3 PV wS JB_2024'!$B$10:$B$33,0),1)</f>
        <v>36.662419029414885</v>
      </c>
      <c r="H14" s="130"/>
      <c r="I14" s="130">
        <f>INDEX('Table 3 PV wS UTS_2024'!$I$10:$I$36,MATCH($A14,'Table 3 PV wS UTS_2024'!$B$10:$B$36,0),1)</f>
        <v>34.562697576396204</v>
      </c>
      <c r="J14" s="130"/>
      <c r="K14" s="130">
        <f>INDEX('Table 3 185 MW (NTN) 2026)'!$K$14:$K$41,MATCH($A14,'Table 3 185 MW (NTN) 2026)'!$B$14:$B$41,0),1)</f>
        <v>75.12</v>
      </c>
      <c r="L14" s="130"/>
      <c r="M14" s="130"/>
      <c r="N14" s="281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48.960942191012805</v>
      </c>
      <c r="C15" s="130"/>
      <c r="D15" s="130">
        <f>INDEX('Table 3 PV wS YK_2024'!$I$10:$I$33,MATCH($A15,'Table 3 PV wS YK_2024'!$B$10:$B$33,0),1)</f>
        <v>45.253775904460838</v>
      </c>
      <c r="E15" s="130">
        <f>INDEX('Table 3 PV wS SO_2024'!$I$10:$I$33,MATCH($A15,'Table 3 PV wS SO_2024'!$B$10:$B$33,0),1)</f>
        <v>39.481573728149073</v>
      </c>
      <c r="F15" s="130">
        <f>INDEX('Table 3 PV wS UTN_2024'!$I$10:$I$33,MATCH($A15,'Table 3 PV wS UTN_2024'!$B$10:$B$33,0),1)</f>
        <v>38.623158725102023</v>
      </c>
      <c r="G15" s="130">
        <f>INDEX('Table 3 PV wS JB_2024'!$I$10:$I$33,MATCH($A15,'Table 3 PV wS JB_2024'!$B$10:$B$33,0),1)</f>
        <v>37.508153946510113</v>
      </c>
      <c r="H15" s="130"/>
      <c r="I15" s="130">
        <f>INDEX('Table 3 PV wS UTS_2024'!$I$10:$I$36,MATCH($A15,'Table 3 PV wS UTS_2024'!$B$10:$B$36,0),1)</f>
        <v>35.360028099754132</v>
      </c>
      <c r="J15" s="130"/>
      <c r="K15" s="130">
        <f>INDEX('Table 3 185 MW (NTN) 2026)'!$K$14:$K$41,MATCH($A15,'Table 3 185 MW (NTN) 2026)'!$B$14:$B$41,0),1)</f>
        <v>78.41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50.09982191606273</v>
      </c>
      <c r="C16" s="130"/>
      <c r="D16" s="130">
        <f>INDEX('Table 3 PV wS YK_2024'!$I$10:$I$33,MATCH($A16,'Table 3 PV wS YK_2024'!$B$10:$B$33,0),1)</f>
        <v>46.33825079030558</v>
      </c>
      <c r="E16" s="130">
        <f>INDEX('Table 3 PV wS SO_2024'!$I$10:$I$33,MATCH($A16,'Table 3 PV wS SO_2024'!$B$10:$B$33,0),1)</f>
        <v>40.427102070937686</v>
      </c>
      <c r="F16" s="130">
        <f>INDEX('Table 3 PV wS UTN_2024'!$I$10:$I$33,MATCH($A16,'Table 3 PV wS UTN_2024'!$B$10:$B$33,0),1)</f>
        <v>39.548536840668099</v>
      </c>
      <c r="G16" s="130">
        <f>INDEX('Table 3 PV wS JB_2024'!$I$10:$I$33,MATCH($A16,'Table 3 PV wS JB_2024'!$B$10:$B$33,0),1)</f>
        <v>38.406984329252566</v>
      </c>
      <c r="H16" s="130">
        <f>INDEX('Table 3 PV wS JB_2029'!$I$10:$I$33,MATCH($A16,'Table 3 PV wS JB_2029'!$B$10:$B$33,0),1)</f>
        <v>35.182923154716029</v>
      </c>
      <c r="I16" s="130">
        <f>INDEX('Table 3 PV wS UTS_2024'!$I$10:$I$36,MATCH($A16,'Table 3 PV wS UTS_2024'!$B$10:$B$36,0),1)</f>
        <v>36.206533192834563</v>
      </c>
      <c r="J16" s="130"/>
      <c r="K16" s="130">
        <f>INDEX('Table 3 185 MW (NTN) 2026)'!$K$14:$K$41,MATCH($A16,'Table 3 185 MW (NTN) 2026)'!$B$14:$B$41,0),1)</f>
        <v>82.94</v>
      </c>
      <c r="L16" s="130">
        <f>INDEX('Table 3 YK Wind wS_2029'!$I$10:$I$33,MATCH($A16,'Table 3 YK Wind wS_2029'!$B$10:$B$33,0),1)</f>
        <v>56.828924791790222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51.225692262578015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47.405163329820866</v>
      </c>
      <c r="E17" s="130">
        <f>INDEX('Table 3 PV wS SO_2024'!$I$10:$I$33,MATCH($A17,'Table 3 PV wS SO_2024'!$B$10:$B$33,0),1)</f>
        <v>41.357255969128119</v>
      </c>
      <c r="F17" s="130">
        <f>INDEX('Table 3 PV wS UTN_2024'!$I$10:$I$33,MATCH($A17,'Table 3 PV wS UTN_2024'!$B$10:$B$33,0),1)</f>
        <v>40.458744823192099</v>
      </c>
      <c r="G17" s="130">
        <f>INDEX('Table 3 PV wS JB_2024'!$I$10:$I$33,MATCH($A17,'Table 3 PV wS JB_2024'!$B$10:$B$33,0),1)</f>
        <v>39.290644578952957</v>
      </c>
      <c r="H17" s="130">
        <f>INDEX('Table 3 PV wS JB_2029'!$I$10:$I$33,MATCH($A17,'Table 3 PV wS JB_2029'!$B$10:$B$33,0),1)</f>
        <v>35.991140642303435</v>
      </c>
      <c r="I17" s="130">
        <f>INDEX('Table 3 PV wS UTS_2024'!$I$10:$I$36,MATCH($A17,'Table 3 PV wS UTS_2024'!$B$10:$B$36,0),1)</f>
        <v>37.038988408851424</v>
      </c>
      <c r="J17" s="130">
        <f>INDEX('Table 3 PV wS UTS_2030'!$I$10:$I$36,MATCH($A17,'Table 3 PV wS UTS_2030'!$B$10:$B$36,0),1)</f>
        <v>47.464452808570286</v>
      </c>
      <c r="K17" s="130">
        <f>INDEX('Table 3 185 MW (NTN) 2026)'!$K$14:$K$41,MATCH($A17,'Table 3 185 MW (NTN) 2026)'!$B$14:$B$41,0),1)</f>
        <v>85.48</v>
      </c>
      <c r="L17" s="130">
        <f>INDEX('Table 3 YK Wind wS_2029'!$I$10:$I$33,MATCH($A17,'Table 3 YK Wind wS_2029'!$B$10:$B$33,0),1)</f>
        <v>58.114464203138702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52.37769045948361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48.498419388830342</v>
      </c>
      <c r="E18" s="130">
        <f>INDEX('Table 3 PV wS SO_2024'!$I$10:$I$33,MATCH($A18,'Table 3 PV wS SO_2024'!$B$10:$B$33,0),1)</f>
        <v>42.310471534215829</v>
      </c>
      <c r="F18" s="130">
        <f>INDEX('Table 3 PV wS UTN_2024'!$I$10:$I$33,MATCH($A18,'Table 3 PV wS UTN_2024'!$B$10:$B$33,0),1)</f>
        <v>41.391708005279213</v>
      </c>
      <c r="G18" s="130">
        <f>INDEX('Table 3 PV wS JB_2024'!$I$10:$I$33,MATCH($A18,'Table 3 PV wS JB_2024'!$B$10:$B$33,0),1)</f>
        <v>40.197060028216455</v>
      </c>
      <c r="H18" s="130">
        <f>INDEX('Table 3 PV wS JB_2029'!$I$10:$I$33,MATCH($A18,'Table 3 PV wS JB_2029'!$B$10:$B$33,0),1)</f>
        <v>36.821705426356594</v>
      </c>
      <c r="I18" s="130">
        <f>INDEX('Table 3 PV wS UTS_2024'!$I$10:$I$36,MATCH($A18,'Table 3 PV wS UTS_2024'!$B$10:$B$36,0),1)</f>
        <v>37.892518440463647</v>
      </c>
      <c r="J18" s="130">
        <f>INDEX('Table 3 PV wS UTS_2030'!$I$10:$I$36,MATCH($A18,'Table 3 PV wS UTS_2030'!$B$10:$B$36,0),1)</f>
        <v>48.556375131717601</v>
      </c>
      <c r="K18" s="130">
        <f>INDEX('Table 3 185 MW (NTN) 2026)'!$K$14:$K$41,MATCH($A18,'Table 3 185 MW (NTN) 2026)'!$B$14:$B$41,0),1)</f>
        <v>87.66</v>
      </c>
      <c r="L18" s="130">
        <f>INDEX('Table 3 YK Wind wS_2029'!$I$10:$I$33,MATCH($A18,'Table 3 YK Wind wS_2029'!$B$10:$B$33,0),1)</f>
        <v>59.461321671525766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53.555952873430805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49.613628380751663</v>
      </c>
      <c r="E19" s="130">
        <f>INDEX('Table 3 PV wS SO_2024'!$I$10:$I$33,MATCH($A19,'Table 3 PV wS SO_2024'!$B$10:$B$33,0),1)</f>
        <v>43.282905155051274</v>
      </c>
      <c r="F19" s="130">
        <f>INDEX('Table 3 PV wS UTN_2024'!$I$10:$I$33,MATCH($A19,'Table 3 PV wS UTN_2024'!$B$10:$B$33,0),1)</f>
        <v>42.343633853668898</v>
      </c>
      <c r="G19" s="130">
        <f>INDEX('Table 3 PV wS JB_2024'!$I$10:$I$33,MATCH($A19,'Table 3 PV wS JB_2024'!$B$10:$B$33,0),1)</f>
        <v>41.122438143782524</v>
      </c>
      <c r="H19" s="130">
        <f>INDEX('Table 3 PV wS JB_2029'!$I$10:$I$33,MATCH($A19,'Table 3 PV wS JB_2029'!$B$10:$B$33,0),1)</f>
        <v>37.667440343451815</v>
      </c>
      <c r="I19" s="130">
        <f>INDEX('Table 3 PV wS UTS_2024'!$I$10:$I$36,MATCH($A19,'Table 3 PV wS UTS_2024'!$B$10:$B$36,0),1)</f>
        <v>38.76361081840534</v>
      </c>
      <c r="J19" s="130">
        <f>INDEX('Table 3 PV wS UTS_2030'!$I$10:$I$36,MATCH($A19,'Table 3 PV wS UTS_2030'!$B$10:$B$36,0),1)</f>
        <v>49.673340358271872</v>
      </c>
      <c r="K19" s="130">
        <f>INDEX('Table 3 185 MW (NTN) 2026)'!$K$14:$K$41,MATCH($A19,'Table 3 185 MW (NTN) 2026)'!$B$14:$B$41,0),1)</f>
        <v>89.47</v>
      </c>
      <c r="L19" s="130">
        <f>INDEX('Table 3 YK Wind wS_2029'!$I$10:$I$33,MATCH($A19,'Table 3 YK Wind wS_2029'!$B$10:$B$33,0),1)</f>
        <v>60.836640905596077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54.76296137747336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50.755180892167196</v>
      </c>
      <c r="E20" s="130">
        <f>INDEX('Table 3 PV wS SO_2024'!$I$10:$I$33,MATCH($A20,'Table 3 PV wS SO_2024'!$B$10:$B$33,0),1)</f>
        <v>44.278400442784012</v>
      </c>
      <c r="F20" s="130">
        <f>INDEX('Table 3 PV wS UTN_2024'!$I$10:$I$33,MATCH($A20,'Table 3 PV wS UTN_2024'!$B$10:$B$33,0),1)</f>
        <v>43.31831490162169</v>
      </c>
      <c r="G20" s="130">
        <f>INDEX('Table 3 PV wS JB_2024'!$I$10:$I$33,MATCH($A20,'Table 3 PV wS JB_2024'!$B$10:$B$33,0),1)</f>
        <v>42.066778925651185</v>
      </c>
      <c r="H20" s="130">
        <f>INDEX('Table 3 PV wS JB_2029'!$I$10:$I$33,MATCH($A20,'Table 3 PV wS JB_2029'!$B$10:$B$33,0),1)</f>
        <v>38.535930460110137</v>
      </c>
      <c r="I20" s="130">
        <f>INDEX('Table 3 PV wS UTS_2024'!$I$10:$I$36,MATCH($A20,'Table 3 PV wS UTS_2024'!$B$10:$B$36,0),1)</f>
        <v>39.655778011942395</v>
      </c>
      <c r="J20" s="130">
        <f>INDEX('Table 3 PV wS UTS_2030'!$I$10:$I$36,MATCH($A20,'Table 3 PV wS UTS_2030'!$B$10:$B$36,0),1)</f>
        <v>50.814892869687384</v>
      </c>
      <c r="K20" s="130">
        <f>INDEX('Table 3 185 MW (NTN) 2026)'!$K$14:$K$41,MATCH($A20,'Table 3 185 MW (NTN) 2026)'!$B$14:$B$41,0),1)</f>
        <v>92.96</v>
      </c>
      <c r="L20" s="130">
        <f>INDEX('Table 3 YK Wind wS_2029'!$I$10:$I$33,MATCH($A20,'Table 3 YK Wind wS_2029'!$B$10:$B$33,0),1)</f>
        <v>62.230421905349672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55.996097731906211</v>
      </c>
      <c r="C21" s="130">
        <f>IF($A21&lt;C$3,0,INDEX('Table 3 ID Wind_2030'!$I$10:$I$33,MATCH($A21,'Table 3 ID Wind_2030'!$B$10:$B$33,0),1))</f>
        <v>45.920601877144605</v>
      </c>
      <c r="D21" s="130">
        <f>INDEX('Table 3 PV wS YK_2024'!$I$10:$I$33,MATCH($A21,'Table 3 PV wS YK_2024'!$B$10:$B$33,0),1)</f>
        <v>51.923076923076927</v>
      </c>
      <c r="E21" s="130">
        <f>INDEX('Table 3 PV wS SO_2024'!$I$10:$I$33,MATCH($A21,'Table 3 PV wS SO_2024'!$B$10:$B$33,0),1)</f>
        <v>45.296957397414019</v>
      </c>
      <c r="F21" s="130">
        <f>INDEX('Table 3 PV wS UTN_2024'!$I$10:$I$33,MATCH($A21,'Table 3 PV wS UTN_2024'!$B$10:$B$33,0),1)</f>
        <v>44.315751149137576</v>
      </c>
      <c r="G21" s="130">
        <f>INDEX('Table 3 PV wS JB_2024'!$I$10:$I$33,MATCH($A21,'Table 3 PV wS JB_2024'!$B$10:$B$33,0),1)</f>
        <v>43.033874907082939</v>
      </c>
      <c r="H21" s="130">
        <f>INDEX('Table 3 PV wS JB_2029'!$I$10:$I$33,MATCH($A21,'Table 3 PV wS JB_2029'!$B$10:$B$33,0),1)</f>
        <v>39.423383243071044</v>
      </c>
      <c r="I21" s="130">
        <f>INDEX('Table 3 PV wS UTS_2024'!$I$10:$I$36,MATCH($A21,'Table 3 PV wS UTS_2024'!$B$10:$B$36,0),1)</f>
        <v>40.569020021074813</v>
      </c>
      <c r="J21" s="130">
        <f>INDEX('Table 3 PV wS UTS_2030'!$I$10:$I$36,MATCH($A21,'Table 3 PV wS UTS_2030'!$B$10:$B$36,0),1)</f>
        <v>51.984545135230064</v>
      </c>
      <c r="K21" s="130">
        <f>INDEX('Table 3 185 MW (NTN) 2026)'!$K$14:$K$41,MATCH($A21,'Table 3 185 MW (NTN) 2026)'!$B$14:$B$41,0),1)</f>
        <v>94.61</v>
      </c>
      <c r="L21" s="130">
        <f>INDEX('Table 3 YK Wind wS_2029'!$I$10:$I$33,MATCH($A21,'Table 3 YK Wind wS_2029'!$B$10:$B$33,0),1)</f>
        <v>63.655741631733754</v>
      </c>
      <c r="M21" s="130">
        <f>INDEX('Table 3 ID Wind wS_2032'!$I$10:$I$33,MATCH($A21,'Table 3 ID Wind wS_2032'!$B$10:$B$33,0),1)</f>
        <v>49.821234682134452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57.258116543085755</v>
      </c>
      <c r="C22" s="130">
        <f>IF($A22&lt;C$3,0,INDEX('Table 3 ID Wind_2030'!$I$10:$I$33,MATCH($A22,'Table 3 ID Wind_2030'!$B$10:$B$33,0),1))</f>
        <v>46.972856222586557</v>
      </c>
      <c r="D22" s="130">
        <f>INDEX('Table 3 PV wS YK_2024'!$I$10:$I$33,MATCH($A22,'Table 3 PV wS YK_2024'!$B$10:$B$33,0),1)</f>
        <v>53.117316473480848</v>
      </c>
      <c r="E22" s="130">
        <f>INDEX('Table 3 PV wS SO_2024'!$I$10:$I$33,MATCH($A22,'Table 3 PV wS SO_2024'!$B$10:$B$33,0),1)</f>
        <v>46.342419630090866</v>
      </c>
      <c r="F22" s="130">
        <f>INDEX('Table 3 PV wS UTN_2024'!$I$10:$I$33,MATCH($A22,'Table 3 PV wS UTN_2024'!$B$10:$B$33,0),1)</f>
        <v>45.335942596216569</v>
      </c>
      <c r="G22" s="130">
        <f>INDEX('Table 3 PV wS JB_2024'!$I$10:$I$33,MATCH($A22,'Table 3 PV wS JB_2024'!$B$10:$B$33,0),1)</f>
        <v>44.023726088077801</v>
      </c>
      <c r="H22" s="130">
        <f>INDEX('Table 3 PV wS JB_2029'!$I$10:$I$33,MATCH($A22,'Table 3 PV wS JB_2029'!$B$10:$B$33,0),1)</f>
        <v>40.33359122559505</v>
      </c>
      <c r="I22" s="130">
        <f>INDEX('Table 3 PV wS UTS_2024'!$I$10:$I$36,MATCH($A22,'Table 3 PV wS UTS_2024'!$B$10:$B$36,0),1)</f>
        <v>41.5033368458026</v>
      </c>
      <c r="J22" s="130">
        <f>INDEX('Table 3 PV wS UTS_2030'!$I$10:$I$36,MATCH($A22,'Table 3 PV wS UTS_2030'!$B$10:$B$36,0),1)</f>
        <v>53.182297154899906</v>
      </c>
      <c r="K22" s="130">
        <f>INDEX('Table 3 185 MW (NTN) 2026)'!$K$14:$K$41,MATCH($A22,'Table 3 185 MW (NTN) 2026)'!$B$14:$B$41,0),1)</f>
        <v>96.39</v>
      </c>
      <c r="L22" s="130">
        <f>INDEX('Table 3 YK Wind wS_2029'!$I$10:$I$33,MATCH($A22,'Table 3 YK Wind wS_2029'!$B$10:$B$33,0),1)</f>
        <v>64.782600084748296</v>
      </c>
      <c r="M22" s="130">
        <f>INDEX('Table 3 ID Wind wS_2032'!$I$10:$I$33,MATCH($A22,'Table 3 ID Wind wS_2032'!$B$10:$B$33,0),1)</f>
        <v>50.96252228962738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58.551472410735485</v>
      </c>
      <c r="C23" s="130">
        <f>IF($A23&lt;C$3,0,INDEX('Table 3 ID Wind_2030'!$I$10:$I$33,MATCH($A23,'Table 3 ID Wind_2030'!$B$10:$B$33,0),1))</f>
        <v>48.052747573165739</v>
      </c>
      <c r="D23" s="130">
        <f>INDEX('Table 3 PV wS YK_2024'!$I$10:$I$33,MATCH($A23,'Table 3 PV wS YK_2024'!$B$10:$B$33,0),1)</f>
        <v>54.337899543378995</v>
      </c>
      <c r="E23" s="130">
        <f>INDEX('Table 3 PV wS SO_2024'!$I$10:$I$33,MATCH($A23,'Table 3 PV wS SO_2024'!$B$10:$B$33,0),1)</f>
        <v>47.407099918515449</v>
      </c>
      <c r="F23" s="130">
        <f>INDEX('Table 3 PV wS UTN_2024'!$I$10:$I$33,MATCH($A23,'Table 3 PV wS UTN_2024'!$B$10:$B$33,0),1)</f>
        <v>46.378889242858669</v>
      </c>
      <c r="G23" s="130">
        <f>INDEX('Table 3 PV wS JB_2024'!$I$10:$I$33,MATCH($A23,'Table 3 PV wS JB_2024'!$B$10:$B$33,0),1)</f>
        <v>45.036332468635756</v>
      </c>
      <c r="H23" s="130">
        <f>INDEX('Table 3 PV wS JB_2029'!$I$10:$I$33,MATCH($A23,'Table 3 PV wS JB_2029'!$B$10:$B$33,0),1)</f>
        <v>41.258969341161126</v>
      </c>
      <c r="I23" s="130">
        <f>INDEX('Table 3 PV wS UTS_2024'!$I$10:$I$36,MATCH($A23,'Table 3 PV wS UTS_2024'!$B$10:$B$36,0),1)</f>
        <v>42.455216016859858</v>
      </c>
      <c r="J23" s="130">
        <f>INDEX('Table 3 PV wS UTS_2030'!$I$10:$I$36,MATCH($A23,'Table 3 PV wS UTS_2030'!$B$10:$B$36,0),1)</f>
        <v>54.404636459430975</v>
      </c>
      <c r="K23" s="130">
        <f>INDEX('Table 3 185 MW (NTN) 2026)'!$K$14:$K$41,MATCH($A23,'Table 3 185 MW (NTN) 2026)'!$B$14:$B$41,0),1)</f>
        <v>98.58</v>
      </c>
      <c r="L23" s="130">
        <f>INDEX('Table 3 YK Wind wS_2029'!$I$10:$I$33,MATCH($A23,'Table 3 YK Wind wS_2029'!$B$10:$B$33,0),1)</f>
        <v>65.930997264393341</v>
      </c>
      <c r="M23" s="130">
        <f>INDEX('Table 3 ID Wind wS_2032'!$I$10:$I$33,MATCH($A23,'Table 3 ID Wind wS_2032'!$B$10:$B$33,0),1)</f>
        <v>52.130442929954761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59.871119768757069</v>
      </c>
      <c r="C24" s="130">
        <f>IF($A24&lt;C$3,0,INDEX('Table 3 ID Wind_2030'!$I$10:$I$33,MATCH($A24,'Table 3 ID Wind_2030'!$B$10:$B$33,0),1))</f>
        <v>49.154356419557047</v>
      </c>
      <c r="D24" s="130">
        <f>INDEX('Table 3 PV wS YK_2024'!$I$10:$I$33,MATCH($A24,'Table 3 PV wS YK_2024'!$B$10:$B$33,0),1)</f>
        <v>55.584826132771326</v>
      </c>
      <c r="E24" s="130">
        <f>INDEX('Table 3 PV wS SO_2024'!$I$10:$I$33,MATCH($A24,'Table 3 PV wS SO_2024'!$B$10:$B$33,0),1)</f>
        <v>48.494841873837309</v>
      </c>
      <c r="F24" s="130">
        <f>INDEX('Table 3 PV wS UTN_2024'!$I$10:$I$33,MATCH($A24,'Table 3 PV wS UTN_2024'!$B$10:$B$33,0),1)</f>
        <v>47.444591089063856</v>
      </c>
      <c r="G24" s="130">
        <f>INDEX('Table 3 PV wS JB_2024'!$I$10:$I$33,MATCH($A24,'Table 3 PV wS JB_2024'!$B$10:$B$33,0),1)</f>
        <v>46.071694048756811</v>
      </c>
      <c r="H24" s="130">
        <f>INDEX('Table 3 PV wS JB_2029'!$I$10:$I$33,MATCH($A24,'Table 3 PV wS JB_2029'!$B$10:$B$33,0),1)</f>
        <v>42.207102656290296</v>
      </c>
      <c r="I24" s="130">
        <f>INDEX('Table 3 PV wS UTS_2024'!$I$10:$I$36,MATCH($A24,'Table 3 PV wS UTS_2024'!$B$10:$B$36,0),1)</f>
        <v>43.431682472778363</v>
      </c>
      <c r="J24" s="130">
        <f>INDEX('Table 3 PV wS UTS_2030'!$I$10:$I$36,MATCH($A24,'Table 3 PV wS UTS_2030'!$B$10:$B$36,0),1)</f>
        <v>55.655075518089227</v>
      </c>
      <c r="K24" s="130">
        <f>INDEX('Table 3 185 MW (NTN) 2026)'!$K$14:$K$41,MATCH($A24,'Table 3 185 MW (NTN) 2026)'!$B$14:$B$41,0),1)</f>
        <v>100.72</v>
      </c>
      <c r="L24" s="130">
        <f>INDEX('Table 3 YK Wind wS_2029'!$I$10:$I$33,MATCH($A24,'Table 3 YK Wind wS_2029'!$B$10:$B$33,0),1)</f>
        <v>67.132330731354685</v>
      </c>
      <c r="M24" s="130">
        <f>INDEX('Table 3 ID Wind wS_2032'!$I$10:$I$33,MATCH($A24,'Table 3 ID Wind wS_2032'!$B$10:$B$33,0),1)</f>
        <v>53.333167870267836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61.222104183248859</v>
      </c>
      <c r="C25" s="130">
        <f>IF($A25&lt;C$3,0,INDEX('Table 3 ID Wind_2030'!$I$10:$I$33,MATCH($A25,'Table 3 ID Wind_2030'!$B$10:$B$33,0),1))</f>
        <v>50.283898246551836</v>
      </c>
      <c r="D25" s="130">
        <f>INDEX('Table 3 PV wS YK_2024'!$I$10:$I$33,MATCH($A25,'Table 3 PV wS YK_2024'!$B$10:$B$33,0),1)</f>
        <v>56.862486828240257</v>
      </c>
      <c r="E25" s="130">
        <f>INDEX('Table 3 PV wS SO_2024'!$I$10:$I$33,MATCH($A25,'Table 3 PV wS SO_2024'!$B$10:$B$33,0),1)</f>
        <v>49.609489107206002</v>
      </c>
      <c r="F25" s="130">
        <f>INDEX('Table 3 PV wS UTN_2024'!$I$10:$I$33,MATCH($A25,'Table 3 PV wS UTN_2024'!$B$10:$B$33,0),1)</f>
        <v>48.536840668092665</v>
      </c>
      <c r="G25" s="130">
        <f>INDEX('Table 3 PV wS JB_2024'!$I$10:$I$33,MATCH($A25,'Table 3 PV wS JB_2024'!$B$10:$B$33,0),1)</f>
        <v>47.129810828440974</v>
      </c>
      <c r="H25" s="130">
        <f>INDEX('Table 3 PV wS JB_2029'!$I$10:$I$33,MATCH($A25,'Table 3 PV wS JB_2029'!$B$10:$B$33,0),1)</f>
        <v>43.17799117098258</v>
      </c>
      <c r="I25" s="130">
        <f>INDEX('Table 3 PV wS UTS_2024'!$I$10:$I$36,MATCH($A25,'Table 3 PV wS UTS_2024'!$B$10:$B$36,0),1)</f>
        <v>44.43273621355813</v>
      </c>
      <c r="J25" s="130">
        <f>INDEX('Table 3 PV wS UTS_2030'!$I$10:$I$36,MATCH($A25,'Table 3 PV wS UTS_2030'!$B$10:$B$36,0),1)</f>
        <v>56.933614330874605</v>
      </c>
      <c r="K25" s="130">
        <f>INDEX('Table 3 185 MW (NTN) 2026)'!$K$14:$K$41,MATCH($A25,'Table 3 185 MW (NTN) 2026)'!$B$14:$B$41,0),1)</f>
        <v>103.75</v>
      </c>
      <c r="L25" s="130">
        <f>INDEX('Table 3 YK Wind wS_2029'!$I$10:$I$33,MATCH($A25,'Table 3 YK Wind wS_2029'!$B$10:$B$33,0),1)</f>
        <v>68.355202924946525</v>
      </c>
      <c r="M25" s="130">
        <f>INDEX('Table 3 ID Wind wS_2032'!$I$10:$I$33,MATCH($A25,'Table 3 ID Wind wS_2032'!$B$10:$B$33,0),1)</f>
        <v>54.557431537211379</v>
      </c>
    </row>
    <row r="26" spans="1:13">
      <c r="A26" s="135">
        <f t="shared" si="0"/>
        <v>2039</v>
      </c>
      <c r="B26" s="352">
        <f>B25*(1+$N$14)</f>
        <v>62.614907053417774</v>
      </c>
      <c r="C26" s="352">
        <f t="shared" ref="C26:C40" si="1">C25*(1+$N$14)</f>
        <v>51.427856931660891</v>
      </c>
      <c r="D26" s="352">
        <f t="shared" ref="D26:D40" si="2">D25*(1+$N$14)</f>
        <v>58.156108403582728</v>
      </c>
      <c r="E26" s="352">
        <f t="shared" ref="E26:E40" si="3">E25*(1+$N$14)</f>
        <v>50.738104984394944</v>
      </c>
      <c r="F26" s="352">
        <f t="shared" ref="F26:F40" si="4">F25*(1+$N$14)</f>
        <v>49.641053793291775</v>
      </c>
      <c r="G26" s="352">
        <f t="shared" ref="G26:G40" si="5">G25*(1+$N$14)</f>
        <v>48.202014024788006</v>
      </c>
      <c r="H26" s="352">
        <f t="shared" ref="H26:H40" si="6">H25*(1+$N$14)</f>
        <v>44.160290470122433</v>
      </c>
      <c r="I26" s="352">
        <f t="shared" ref="I26:I40" si="7">I25*(1+$N$14)</f>
        <v>45.443580962416583</v>
      </c>
      <c r="J26" s="352">
        <f t="shared" ref="J26:J40" si="8">J25*(1+$N$14)</f>
        <v>58.228854056902001</v>
      </c>
      <c r="K26" s="352">
        <f t="shared" ref="K26:K40" si="9">K25*(1+$N$14)</f>
        <v>106.11031250000001</v>
      </c>
      <c r="L26" s="352">
        <f t="shared" ref="L26:L40" si="10">L25*(1+$N$14)</f>
        <v>69.910283791489064</v>
      </c>
      <c r="M26" s="352">
        <f t="shared" ref="M26:M46" si="11">M25*(1+$N$14)</f>
        <v>55.798613104682943</v>
      </c>
    </row>
    <row r="27" spans="1:13">
      <c r="A27" s="135">
        <f t="shared" si="0"/>
        <v>2040</v>
      </c>
      <c r="B27" s="352">
        <f t="shared" ref="B27:B40" si="12">B26*(1+$N$14)</f>
        <v>64.039396188883032</v>
      </c>
      <c r="C27" s="352">
        <f t="shared" si="1"/>
        <v>52.59784067685618</v>
      </c>
      <c r="D27" s="352">
        <f t="shared" si="2"/>
        <v>59.479159869764239</v>
      </c>
      <c r="E27" s="352">
        <f t="shared" si="3"/>
        <v>51.892396872789931</v>
      </c>
      <c r="F27" s="352">
        <f t="shared" si="4"/>
        <v>50.770387767089169</v>
      </c>
      <c r="G27" s="352">
        <f t="shared" si="5"/>
        <v>49.298609843851935</v>
      </c>
      <c r="H27" s="352">
        <f t="shared" si="6"/>
        <v>45.16493707831772</v>
      </c>
      <c r="I27" s="352">
        <f t="shared" si="7"/>
        <v>46.477422429311559</v>
      </c>
      <c r="J27" s="352">
        <f t="shared" si="8"/>
        <v>59.553560486696526</v>
      </c>
      <c r="K27" s="352">
        <f t="shared" si="9"/>
        <v>108.52432210937501</v>
      </c>
      <c r="L27" s="352">
        <f t="shared" si="10"/>
        <v>71.500742747745448</v>
      </c>
      <c r="M27" s="352">
        <f t="shared" si="11"/>
        <v>57.068031552814482</v>
      </c>
    </row>
    <row r="28" spans="1:13">
      <c r="A28" s="135">
        <f t="shared" si="0"/>
        <v>2041</v>
      </c>
      <c r="B28" s="352">
        <f t="shared" si="12"/>
        <v>65.496292452180128</v>
      </c>
      <c r="C28" s="352">
        <f t="shared" si="1"/>
        <v>53.794441552254661</v>
      </c>
      <c r="D28" s="352">
        <f t="shared" si="2"/>
        <v>60.832310756801377</v>
      </c>
      <c r="E28" s="352">
        <f t="shared" si="3"/>
        <v>53.072948901645901</v>
      </c>
      <c r="F28" s="352">
        <f t="shared" si="4"/>
        <v>51.925414088790447</v>
      </c>
      <c r="G28" s="352">
        <f t="shared" si="5"/>
        <v>50.420153217799566</v>
      </c>
      <c r="H28" s="352">
        <f t="shared" si="6"/>
        <v>46.192439396849451</v>
      </c>
      <c r="I28" s="352">
        <f t="shared" si="7"/>
        <v>47.534783789578398</v>
      </c>
      <c r="J28" s="352">
        <f t="shared" si="8"/>
        <v>60.908403987768878</v>
      </c>
      <c r="K28" s="352">
        <f t="shared" si="9"/>
        <v>110.99325043736329</v>
      </c>
      <c r="L28" s="352">
        <f t="shared" si="10"/>
        <v>73.127384645256654</v>
      </c>
      <c r="M28" s="352">
        <f t="shared" si="11"/>
        <v>58.36632927064101</v>
      </c>
    </row>
    <row r="29" spans="1:13">
      <c r="A29" s="135">
        <f t="shared" si="0"/>
        <v>2042</v>
      </c>
      <c r="B29" s="352">
        <f t="shared" si="12"/>
        <v>66.986333105467224</v>
      </c>
      <c r="C29" s="352">
        <f t="shared" si="1"/>
        <v>55.01826509756846</v>
      </c>
      <c r="D29" s="352">
        <f t="shared" si="2"/>
        <v>62.216245826518609</v>
      </c>
      <c r="E29" s="352">
        <f t="shared" si="3"/>
        <v>54.280358489158345</v>
      </c>
      <c r="F29" s="352">
        <f t="shared" si="4"/>
        <v>53.106717259310429</v>
      </c>
      <c r="G29" s="352">
        <f t="shared" si="5"/>
        <v>51.567211703504512</v>
      </c>
      <c r="H29" s="352">
        <f t="shared" si="6"/>
        <v>47.243317393127782</v>
      </c>
      <c r="I29" s="352">
        <f t="shared" si="7"/>
        <v>48.616200120791312</v>
      </c>
      <c r="J29" s="352">
        <f t="shared" si="8"/>
        <v>62.294070178490621</v>
      </c>
      <c r="K29" s="352">
        <f t="shared" si="9"/>
        <v>113.51834688481331</v>
      </c>
      <c r="L29" s="352">
        <f t="shared" si="10"/>
        <v>74.791032645936241</v>
      </c>
      <c r="M29" s="352">
        <f t="shared" si="11"/>
        <v>59.694163261548098</v>
      </c>
    </row>
    <row r="30" spans="1:13">
      <c r="A30" s="135">
        <f t="shared" si="0"/>
        <v>2043</v>
      </c>
      <c r="B30" s="352">
        <f t="shared" si="12"/>
        <v>68.510272183616607</v>
      </c>
      <c r="C30" s="352">
        <f t="shared" si="1"/>
        <v>56.269930628538141</v>
      </c>
      <c r="D30" s="352">
        <f t="shared" si="2"/>
        <v>63.631665419071908</v>
      </c>
      <c r="E30" s="352">
        <f t="shared" si="3"/>
        <v>55.515236644786704</v>
      </c>
      <c r="F30" s="352">
        <f t="shared" si="4"/>
        <v>54.314895076959743</v>
      </c>
      <c r="G30" s="352">
        <f t="shared" si="5"/>
        <v>52.740365769759244</v>
      </c>
      <c r="H30" s="352">
        <f t="shared" si="6"/>
        <v>48.318102863821444</v>
      </c>
      <c r="I30" s="352">
        <f t="shared" si="7"/>
        <v>49.722218673539317</v>
      </c>
      <c r="J30" s="352">
        <f t="shared" si="8"/>
        <v>63.711260275051288</v>
      </c>
      <c r="K30" s="352">
        <f t="shared" si="9"/>
        <v>116.10088927644281</v>
      </c>
      <c r="L30" s="352">
        <f t="shared" si="10"/>
        <v>76.492528638631299</v>
      </c>
      <c r="M30" s="352">
        <f t="shared" si="11"/>
        <v>61.052205475748323</v>
      </c>
    </row>
    <row r="31" spans="1:13">
      <c r="A31" s="135">
        <f t="shared" si="0"/>
        <v>2044</v>
      </c>
      <c r="B31" s="352">
        <f t="shared" si="12"/>
        <v>70.068880875793894</v>
      </c>
      <c r="C31" s="352">
        <f t="shared" si="1"/>
        <v>57.550071550337385</v>
      </c>
      <c r="D31" s="352">
        <f t="shared" si="2"/>
        <v>65.079285807355802</v>
      </c>
      <c r="E31" s="352">
        <f t="shared" si="3"/>
        <v>56.778208278455601</v>
      </c>
      <c r="F31" s="352">
        <f t="shared" si="4"/>
        <v>55.550558939960581</v>
      </c>
      <c r="G31" s="352">
        <f t="shared" si="5"/>
        <v>53.940209091021266</v>
      </c>
      <c r="H31" s="352">
        <f t="shared" si="6"/>
        <v>49.417339703973383</v>
      </c>
      <c r="I31" s="352">
        <f t="shared" si="7"/>
        <v>50.853399148362335</v>
      </c>
      <c r="J31" s="352">
        <f t="shared" si="8"/>
        <v>65.160691446308704</v>
      </c>
      <c r="K31" s="352">
        <f t="shared" si="9"/>
        <v>118.74218450748189</v>
      </c>
      <c r="L31" s="352">
        <f t="shared" si="10"/>
        <v>78.232733665160168</v>
      </c>
      <c r="M31" s="352">
        <f t="shared" si="11"/>
        <v>62.441143150321601</v>
      </c>
    </row>
    <row r="32" spans="1:13">
      <c r="A32" s="135">
        <f t="shared" si="0"/>
        <v>2045</v>
      </c>
      <c r="B32" s="352">
        <f t="shared" si="12"/>
        <v>71.662947915718206</v>
      </c>
      <c r="C32" s="352">
        <f t="shared" si="1"/>
        <v>58.859335678107563</v>
      </c>
      <c r="D32" s="352">
        <f t="shared" si="2"/>
        <v>66.559839559473147</v>
      </c>
      <c r="E32" s="352">
        <f t="shared" si="3"/>
        <v>58.069912516790467</v>
      </c>
      <c r="F32" s="352">
        <f t="shared" si="4"/>
        <v>56.814334155844683</v>
      </c>
      <c r="G32" s="352">
        <f t="shared" si="5"/>
        <v>55.167348847842</v>
      </c>
      <c r="H32" s="352">
        <f t="shared" si="6"/>
        <v>50.541584182238779</v>
      </c>
      <c r="I32" s="352">
        <f t="shared" si="7"/>
        <v>52.010313978987583</v>
      </c>
      <c r="J32" s="352">
        <f t="shared" si="8"/>
        <v>66.643097176712232</v>
      </c>
      <c r="K32" s="352">
        <f t="shared" si="9"/>
        <v>121.44356920502712</v>
      </c>
      <c r="L32" s="352">
        <f t="shared" si="10"/>
        <v>80.012528356042566</v>
      </c>
      <c r="M32" s="352">
        <f t="shared" si="11"/>
        <v>63.861679156991421</v>
      </c>
    </row>
    <row r="33" spans="1:13">
      <c r="A33" s="135">
        <f t="shared" si="0"/>
        <v>2046</v>
      </c>
      <c r="B33" s="352">
        <f t="shared" si="12"/>
        <v>73.293279980800804</v>
      </c>
      <c r="C33" s="352">
        <f t="shared" si="1"/>
        <v>60.198385564784516</v>
      </c>
      <c r="D33" s="352">
        <f t="shared" si="2"/>
        <v>68.074075909451167</v>
      </c>
      <c r="E33" s="352">
        <f t="shared" si="3"/>
        <v>59.391003026547452</v>
      </c>
      <c r="F33" s="352">
        <f t="shared" si="4"/>
        <v>58.106860257890155</v>
      </c>
      <c r="G33" s="352">
        <f t="shared" si="5"/>
        <v>56.422406034130411</v>
      </c>
      <c r="H33" s="352">
        <f t="shared" si="6"/>
        <v>51.691405222384716</v>
      </c>
      <c r="I33" s="352">
        <f t="shared" si="7"/>
        <v>53.193548622009551</v>
      </c>
      <c r="J33" s="352">
        <f t="shared" si="8"/>
        <v>68.159227637482445</v>
      </c>
      <c r="K33" s="352">
        <f t="shared" si="9"/>
        <v>124.20641040444148</v>
      </c>
      <c r="L33" s="352">
        <f t="shared" si="10"/>
        <v>81.832813376142539</v>
      </c>
      <c r="M33" s="352">
        <f t="shared" si="11"/>
        <v>65.314532357812979</v>
      </c>
    </row>
    <row r="34" spans="1:13">
      <c r="A34" s="135">
        <f t="shared" si="0"/>
        <v>2047</v>
      </c>
      <c r="B34" s="352">
        <f t="shared" si="12"/>
        <v>74.960702100364031</v>
      </c>
      <c r="C34" s="352">
        <f t="shared" si="1"/>
        <v>61.567898836383364</v>
      </c>
      <c r="D34" s="352">
        <f t="shared" si="2"/>
        <v>69.62276113639119</v>
      </c>
      <c r="E34" s="352">
        <f t="shared" si="3"/>
        <v>60.742148345401411</v>
      </c>
      <c r="F34" s="352">
        <f t="shared" si="4"/>
        <v>59.428791328757157</v>
      </c>
      <c r="G34" s="352">
        <f t="shared" si="5"/>
        <v>57.706015771406882</v>
      </c>
      <c r="H34" s="352">
        <f t="shared" si="6"/>
        <v>52.867384691193969</v>
      </c>
      <c r="I34" s="352">
        <f t="shared" si="7"/>
        <v>54.403701853160271</v>
      </c>
      <c r="J34" s="352">
        <f t="shared" si="8"/>
        <v>69.709850066235177</v>
      </c>
      <c r="K34" s="352">
        <f t="shared" si="9"/>
        <v>127.03210624114253</v>
      </c>
      <c r="L34" s="352">
        <f t="shared" si="10"/>
        <v>83.694509880449786</v>
      </c>
      <c r="M34" s="352">
        <f t="shared" si="11"/>
        <v>66.800437968953233</v>
      </c>
    </row>
    <row r="35" spans="1:13">
      <c r="A35" s="135">
        <f t="shared" si="0"/>
        <v>2048</v>
      </c>
      <c r="B35" s="352">
        <f t="shared" si="12"/>
        <v>76.666058073147312</v>
      </c>
      <c r="C35" s="352">
        <f t="shared" si="1"/>
        <v>62.968568534911086</v>
      </c>
      <c r="D35" s="352">
        <f t="shared" si="2"/>
        <v>71.20667895224409</v>
      </c>
      <c r="E35" s="352">
        <f t="shared" si="3"/>
        <v>62.124032220259295</v>
      </c>
      <c r="F35" s="352">
        <f t="shared" si="4"/>
        <v>60.780796331486385</v>
      </c>
      <c r="G35" s="352">
        <f t="shared" si="5"/>
        <v>59.018827630206388</v>
      </c>
      <c r="H35" s="352">
        <f t="shared" si="6"/>
        <v>54.070117692918636</v>
      </c>
      <c r="I35" s="352">
        <f t="shared" si="7"/>
        <v>55.641386070319669</v>
      </c>
      <c r="J35" s="352">
        <f t="shared" si="8"/>
        <v>71.295749155242035</v>
      </c>
      <c r="K35" s="352">
        <f t="shared" si="9"/>
        <v>129.92208665812853</v>
      </c>
      <c r="L35" s="352">
        <f t="shared" si="10"/>
        <v>85.598559980230021</v>
      </c>
      <c r="M35" s="352">
        <f t="shared" si="11"/>
        <v>68.32014793274692</v>
      </c>
    </row>
    <row r="36" spans="1:13">
      <c r="A36" s="135">
        <f t="shared" si="0"/>
        <v>2049</v>
      </c>
      <c r="B36" s="352">
        <f t="shared" si="12"/>
        <v>78.410210894311419</v>
      </c>
      <c r="C36" s="352">
        <f t="shared" si="1"/>
        <v>64.401103469080311</v>
      </c>
      <c r="D36" s="352">
        <f t="shared" si="2"/>
        <v>72.826630898407643</v>
      </c>
      <c r="E36" s="352">
        <f t="shared" si="3"/>
        <v>63.537353953270198</v>
      </c>
      <c r="F36" s="352">
        <f t="shared" si="4"/>
        <v>62.163559448027705</v>
      </c>
      <c r="G36" s="352">
        <f t="shared" si="5"/>
        <v>60.361505958793586</v>
      </c>
      <c r="H36" s="352">
        <f t="shared" si="6"/>
        <v>55.300212870432539</v>
      </c>
      <c r="I36" s="352">
        <f t="shared" si="7"/>
        <v>56.907227603419443</v>
      </c>
      <c r="J36" s="352">
        <f t="shared" si="8"/>
        <v>72.917727448523792</v>
      </c>
      <c r="K36" s="352">
        <f t="shared" si="9"/>
        <v>132.87781412960098</v>
      </c>
      <c r="L36" s="352">
        <f t="shared" si="10"/>
        <v>87.545927219780253</v>
      </c>
      <c r="M36" s="352">
        <f t="shared" si="11"/>
        <v>69.874431298216919</v>
      </c>
    </row>
    <row r="37" spans="1:13">
      <c r="A37" s="135">
        <f t="shared" si="0"/>
        <v>2050</v>
      </c>
      <c r="B37" s="352">
        <f t="shared" si="12"/>
        <v>80.194043192157011</v>
      </c>
      <c r="C37" s="352">
        <f t="shared" si="1"/>
        <v>65.866228573001891</v>
      </c>
      <c r="D37" s="352">
        <f t="shared" si="2"/>
        <v>74.483436751346417</v>
      </c>
      <c r="E37" s="352">
        <f t="shared" si="3"/>
        <v>64.982828755707104</v>
      </c>
      <c r="F37" s="352">
        <f t="shared" si="4"/>
        <v>63.577780425470337</v>
      </c>
      <c r="G37" s="352">
        <f t="shared" si="5"/>
        <v>61.734730219356145</v>
      </c>
      <c r="H37" s="352">
        <f t="shared" si="6"/>
        <v>56.558292713234884</v>
      </c>
      <c r="I37" s="352">
        <f t="shared" si="7"/>
        <v>58.201867031397235</v>
      </c>
      <c r="J37" s="352">
        <f t="shared" si="8"/>
        <v>74.576605747977709</v>
      </c>
      <c r="K37" s="352">
        <f t="shared" si="9"/>
        <v>135.90078440104941</v>
      </c>
      <c r="L37" s="352">
        <f t="shared" si="10"/>
        <v>89.537597064030265</v>
      </c>
      <c r="M37" s="352">
        <f t="shared" si="11"/>
        <v>71.464074610251359</v>
      </c>
    </row>
    <row r="38" spans="1:13">
      <c r="A38" s="135">
        <f t="shared" si="0"/>
        <v>2051</v>
      </c>
      <c r="B38" s="352">
        <f t="shared" si="12"/>
        <v>82.018457674778588</v>
      </c>
      <c r="C38" s="352">
        <f t="shared" si="1"/>
        <v>67.364685273037693</v>
      </c>
      <c r="D38" s="352">
        <f t="shared" si="2"/>
        <v>76.177934937439545</v>
      </c>
      <c r="E38" s="352">
        <f t="shared" si="3"/>
        <v>66.461188109899439</v>
      </c>
      <c r="F38" s="352">
        <f t="shared" si="4"/>
        <v>65.024174930149783</v>
      </c>
      <c r="G38" s="352">
        <f t="shared" si="5"/>
        <v>63.139195331846501</v>
      </c>
      <c r="H38" s="352">
        <f t="shared" si="6"/>
        <v>57.844993872460982</v>
      </c>
      <c r="I38" s="352">
        <f t="shared" si="7"/>
        <v>59.525959506361524</v>
      </c>
      <c r="J38" s="352">
        <f t="shared" si="8"/>
        <v>76.273223528744211</v>
      </c>
      <c r="K38" s="352">
        <f t="shared" si="9"/>
        <v>138.9925272461733</v>
      </c>
      <c r="L38" s="352">
        <f t="shared" si="10"/>
        <v>91.574577397236965</v>
      </c>
      <c r="M38" s="352">
        <f t="shared" si="11"/>
        <v>73.089882307634582</v>
      </c>
    </row>
    <row r="39" spans="1:13">
      <c r="A39" s="135">
        <f t="shared" si="0"/>
        <v>2052</v>
      </c>
      <c r="B39" s="352">
        <f t="shared" si="12"/>
        <v>83.884377586879808</v>
      </c>
      <c r="C39" s="352">
        <f t="shared" si="1"/>
        <v>68.897231862999305</v>
      </c>
      <c r="D39" s="352">
        <f t="shared" si="2"/>
        <v>77.910982957266299</v>
      </c>
      <c r="E39" s="352">
        <f t="shared" si="3"/>
        <v>67.973180139399659</v>
      </c>
      <c r="F39" s="352">
        <f t="shared" si="4"/>
        <v>66.503474909810691</v>
      </c>
      <c r="G39" s="352">
        <f t="shared" si="5"/>
        <v>64.575612025646009</v>
      </c>
      <c r="H39" s="352">
        <f t="shared" si="6"/>
        <v>59.160967483059473</v>
      </c>
      <c r="I39" s="352">
        <f t="shared" si="7"/>
        <v>60.880175085131249</v>
      </c>
      <c r="J39" s="352">
        <f t="shared" si="8"/>
        <v>78.008439364023147</v>
      </c>
      <c r="K39" s="352">
        <f t="shared" si="9"/>
        <v>142.15460724102374</v>
      </c>
      <c r="L39" s="352">
        <f t="shared" si="10"/>
        <v>93.657899033024108</v>
      </c>
      <c r="M39" s="352">
        <f t="shared" si="11"/>
        <v>74.752677130133279</v>
      </c>
    </row>
    <row r="40" spans="1:13">
      <c r="A40" s="135">
        <f t="shared" si="0"/>
        <v>2053</v>
      </c>
      <c r="B40" s="352">
        <f t="shared" si="12"/>
        <v>85.792747176981322</v>
      </c>
      <c r="C40" s="352">
        <f t="shared" si="1"/>
        <v>70.464643887882545</v>
      </c>
      <c r="D40" s="352">
        <f t="shared" si="2"/>
        <v>79.683457819544117</v>
      </c>
      <c r="E40" s="352">
        <f t="shared" si="3"/>
        <v>69.519569987571003</v>
      </c>
      <c r="F40" s="352">
        <f t="shared" si="4"/>
        <v>68.016428964008881</v>
      </c>
      <c r="G40" s="352">
        <f t="shared" si="5"/>
        <v>66.044707199229464</v>
      </c>
      <c r="H40" s="352">
        <f t="shared" si="6"/>
        <v>60.506879493299081</v>
      </c>
      <c r="I40" s="352">
        <f t="shared" si="7"/>
        <v>62.26519906831799</v>
      </c>
      <c r="J40" s="352">
        <f t="shared" si="8"/>
        <v>79.783131359554673</v>
      </c>
      <c r="K40" s="352">
        <f t="shared" si="9"/>
        <v>145.38862455575705</v>
      </c>
      <c r="L40" s="352">
        <f t="shared" si="10"/>
        <v>95.788616236025405</v>
      </c>
      <c r="M40" s="352">
        <f t="shared" si="11"/>
        <v>76.453300534843819</v>
      </c>
    </row>
    <row r="41" spans="1:13">
      <c r="A41" s="135">
        <f t="shared" si="0"/>
        <v>2054</v>
      </c>
      <c r="B41" s="352"/>
      <c r="C41" s="352">
        <f t="shared" ref="C41:C46" si="13">C40*(1+$N$14)</f>
        <v>72.067714536331877</v>
      </c>
      <c r="D41" s="352"/>
      <c r="E41" s="352"/>
      <c r="F41" s="352"/>
      <c r="G41" s="352"/>
      <c r="H41" s="352">
        <f t="shared" ref="H41:H45" si="14">H40*(1+$N$14)</f>
        <v>61.883411001771641</v>
      </c>
      <c r="I41" s="352"/>
      <c r="J41" s="352">
        <f t="shared" ref="J41:J46" si="15">J40*(1+$N$14)</f>
        <v>81.598197597984552</v>
      </c>
      <c r="K41" s="352">
        <f>K40*(1+$N$14)</f>
        <v>148.69621576440053</v>
      </c>
      <c r="L41" s="352">
        <f>L40*(1+$N$14)</f>
        <v>97.967807255394987</v>
      </c>
      <c r="M41" s="352">
        <f t="shared" si="11"/>
        <v>78.192613122011522</v>
      </c>
    </row>
    <row r="42" spans="1:13">
      <c r="A42" s="135">
        <f t="shared" si="0"/>
        <v>2055</v>
      </c>
      <c r="B42" s="352"/>
      <c r="C42" s="352">
        <f t="shared" si="13"/>
        <v>73.707255042033424</v>
      </c>
      <c r="D42" s="352"/>
      <c r="E42" s="352"/>
      <c r="F42" s="352"/>
      <c r="G42" s="352"/>
      <c r="H42" s="352">
        <f t="shared" si="14"/>
        <v>63.291258602061951</v>
      </c>
      <c r="I42" s="352"/>
      <c r="J42" s="352">
        <f t="shared" si="15"/>
        <v>83.454556593338708</v>
      </c>
      <c r="K42" s="352">
        <f>K41*(1+$N$14)</f>
        <v>152.07905467304064</v>
      </c>
      <c r="L42" s="352">
        <f>L41*(1+$N$14)</f>
        <v>100.19657487045522</v>
      </c>
      <c r="M42" s="352">
        <f t="shared" si="11"/>
        <v>79.971495070537287</v>
      </c>
    </row>
    <row r="43" spans="1:13">
      <c r="A43" s="135">
        <f t="shared" si="0"/>
        <v>2056</v>
      </c>
      <c r="B43" s="352"/>
      <c r="C43" s="352">
        <f t="shared" si="13"/>
        <v>75.384095094239683</v>
      </c>
      <c r="D43" s="352"/>
      <c r="E43" s="352"/>
      <c r="F43" s="352"/>
      <c r="G43" s="352"/>
      <c r="H43" s="352">
        <f t="shared" si="14"/>
        <v>64.731134735258863</v>
      </c>
      <c r="I43" s="352"/>
      <c r="J43" s="352">
        <f t="shared" si="15"/>
        <v>85.353147755837171</v>
      </c>
      <c r="K43" s="357"/>
      <c r="L43" s="352">
        <f>L42*(1+$N$14)</f>
        <v>102.47604694875808</v>
      </c>
      <c r="M43" s="352">
        <f t="shared" si="11"/>
        <v>81.79084658339201</v>
      </c>
    </row>
    <row r="44" spans="1:13">
      <c r="A44" s="135">
        <f t="shared" si="0"/>
        <v>2057</v>
      </c>
      <c r="B44" s="352"/>
      <c r="C44" s="352">
        <f t="shared" si="13"/>
        <v>77.099083257633637</v>
      </c>
      <c r="D44" s="352"/>
      <c r="E44" s="352"/>
      <c r="F44" s="352"/>
      <c r="G44" s="352"/>
      <c r="H44" s="352">
        <f t="shared" si="14"/>
        <v>66.203768050486005</v>
      </c>
      <c r="I44" s="352"/>
      <c r="J44" s="352">
        <f t="shared" si="15"/>
        <v>87.294931867282472</v>
      </c>
      <c r="K44" s="357"/>
      <c r="L44" s="352">
        <f>L43*(1+$N$14)</f>
        <v>104.80737701684234</v>
      </c>
      <c r="M44" s="352">
        <f t="shared" si="11"/>
        <v>83.651588343164178</v>
      </c>
    </row>
    <row r="45" spans="1:13">
      <c r="A45" s="135">
        <f t="shared" si="0"/>
        <v>2058</v>
      </c>
      <c r="B45" s="352"/>
      <c r="C45" s="352">
        <f t="shared" si="13"/>
        <v>78.853087401744801</v>
      </c>
      <c r="D45" s="352"/>
      <c r="E45" s="352"/>
      <c r="F45" s="352"/>
      <c r="G45" s="352"/>
      <c r="H45" s="352">
        <f t="shared" si="14"/>
        <v>67.709903773634565</v>
      </c>
      <c r="I45" s="352"/>
      <c r="J45" s="352">
        <f t="shared" si="15"/>
        <v>89.280891567263154</v>
      </c>
      <c r="K45" s="357"/>
      <c r="L45" s="352">
        <f>L44*(1+$N$14)</f>
        <v>107.1917448439755</v>
      </c>
      <c r="M45" s="352">
        <f t="shared" si="11"/>
        <v>85.554661977971165</v>
      </c>
    </row>
    <row r="46" spans="1:13">
      <c r="A46" s="135">
        <f t="shared" si="0"/>
        <v>2059</v>
      </c>
      <c r="B46" s="352"/>
      <c r="C46" s="352">
        <f t="shared" si="13"/>
        <v>80.646995140134493</v>
      </c>
      <c r="D46" s="352"/>
      <c r="E46" s="352"/>
      <c r="F46" s="352"/>
      <c r="G46" s="352"/>
      <c r="H46" s="352"/>
      <c r="I46" s="352"/>
      <c r="J46" s="352">
        <f t="shared" si="15"/>
        <v>91.312031850418393</v>
      </c>
      <c r="K46" s="357"/>
      <c r="L46" s="357"/>
      <c r="M46" s="352">
        <f t="shared" si="11"/>
        <v>87.50103053797001</v>
      </c>
    </row>
    <row r="47" spans="1:13">
      <c r="A47" s="135">
        <f t="shared" ref="A47:A48" si="16">A46+1</f>
        <v>2060</v>
      </c>
      <c r="B47" s="352"/>
      <c r="C47" s="352">
        <f t="shared" ref="C47:C48" si="17">C46*(1+$N$14)</f>
        <v>82.481714279572557</v>
      </c>
      <c r="D47" s="352"/>
      <c r="E47" s="352"/>
      <c r="F47" s="352"/>
      <c r="G47" s="352"/>
      <c r="H47" s="352"/>
      <c r="I47" s="352"/>
      <c r="J47" s="352"/>
      <c r="K47" s="357"/>
      <c r="L47" s="357"/>
      <c r="M47" s="352">
        <f t="shared" ref="M47:M48" si="18">M46*(1+$N$14)</f>
        <v>89.491678982708834</v>
      </c>
    </row>
    <row r="48" spans="1:13">
      <c r="A48" s="135">
        <f t="shared" si="16"/>
        <v>2061</v>
      </c>
      <c r="B48" s="352"/>
      <c r="C48" s="352">
        <f t="shared" si="17"/>
        <v>84.358173279432833</v>
      </c>
      <c r="D48" s="352"/>
      <c r="E48" s="352"/>
      <c r="F48" s="352"/>
      <c r="G48" s="352"/>
      <c r="H48" s="352"/>
      <c r="I48" s="352"/>
      <c r="J48" s="352"/>
      <c r="K48" s="357"/>
      <c r="L48" s="357"/>
      <c r="M48" s="352">
        <f t="shared" si="18"/>
        <v>91.52761467956546</v>
      </c>
    </row>
    <row r="49" spans="1:13" ht="12" customHeight="1">
      <c r="A49" s="135"/>
    </row>
    <row r="50" spans="1:13" ht="12" customHeight="1">
      <c r="A50" s="353" t="s">
        <v>161</v>
      </c>
      <c r="B50" s="354">
        <f>PMT(Discount_Rate,30,-NPV(Discount_Rate,Table3ACsummary!B$11:B$40))</f>
        <v>56.452672190849398</v>
      </c>
      <c r="C50" s="354">
        <f>PMT(Discount_Rate,30,-NPV(Discount_Rate,Table3ACsummary!C$17:C$46))</f>
        <v>53.194647722737948</v>
      </c>
      <c r="D50" s="354">
        <f>PMT(Discount_Rate,30,-NPV(Discount_Rate,Table3ACsummary!D$11:D$40))</f>
        <v>52.498822531098781</v>
      </c>
      <c r="E50" s="354">
        <f>PMT(Discount_Rate,30,-NPV(Discount_Rate,Table3ACsummary!E$11:E$40))</f>
        <v>45.802377066675561</v>
      </c>
      <c r="F50" s="354">
        <f>PMT(Discount_Rate,30,-NPV(Discount_Rate,Table3ACsummary!F$11:F$40))</f>
        <v>44.809408475957021</v>
      </c>
      <c r="G50" s="354">
        <f>PMT(Discount_Rate,30,-NPV(Discount_Rate,Table3ACsummary!G$11:G$40))</f>
        <v>43.513070243437816</v>
      </c>
      <c r="H50" s="354">
        <f>PMT(Discount_Rate,30,-NPV(Discount_Rate,Table3ACsummary!H$16:H$45))</f>
        <v>44.651286160599007</v>
      </c>
      <c r="I50" s="354">
        <f>PMT(Discount_Rate,30,-NPV(Discount_Rate,Table3ACsummary!I$11:I$40))</f>
        <v>41.020332252745924</v>
      </c>
      <c r="J50" s="354">
        <f>PMT(Discount_Rate,30,-NPV(Discount_Rate,Table3ACsummary!J$11:J$40))</f>
        <v>53.630245441041929</v>
      </c>
      <c r="K50" s="354">
        <f>PMT(Discount_Rate,30,-NPV(Discount_Rate,Table3ACsummary!K$13:K$42))</f>
        <v>98.841169558044996</v>
      </c>
      <c r="L50" s="354">
        <f>PMT(Discount_Rate,30,-NPV(Discount_Rate,Table3ACsummary!L$16:L$45))</f>
        <v>71.227429727284957</v>
      </c>
      <c r="M50" s="354">
        <f>PMT(Discount_Rate,30,-NPV(Discount_Rate,Table3ACsummary!M$19:M$48))</f>
        <v>60.379073008290256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5"/>
  <sheetViews>
    <sheetView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S5" sqref="S5"/>
    </sheetView>
  </sheetViews>
  <sheetFormatPr defaultColWidth="9.33203125" defaultRowHeight="12.75" zeroHeight="1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Kennecott Smelter Non Firm - 31.8 MW and 58.2% CF</v>
      </c>
      <c r="C4" s="83"/>
      <c r="D4" s="83"/>
      <c r="E4" s="83"/>
      <c r="F4" s="83"/>
      <c r="G4" s="83"/>
      <c r="K4" s="56">
        <f>MIN(K13:K24)</f>
        <v>44562</v>
      </c>
      <c r="M4" s="399" t="s">
        <v>236</v>
      </c>
      <c r="P4" s="218" t="s">
        <v>231</v>
      </c>
      <c r="Q4" s="218" t="s">
        <v>232</v>
      </c>
      <c r="R4" s="218" t="s">
        <v>233</v>
      </c>
      <c r="S4" s="218" t="s">
        <v>234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88">
        <f>MIN(K13:K24)</f>
        <v>44562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8">
        <f>EDATE(K5,15*12-1)</f>
        <v>50010</v>
      </c>
      <c r="M6" s="57">
        <v>31.8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200</v>
      </c>
      <c r="S6">
        <f>S5+11</f>
        <v>24</v>
      </c>
    </row>
    <row r="7" spans="1:19">
      <c r="A7" s="107"/>
      <c r="C7" s="58"/>
      <c r="D7" s="58"/>
      <c r="E7" s="58"/>
      <c r="F7" s="388"/>
      <c r="G7" s="91"/>
      <c r="M7" s="389">
        <f ca="1">SUM(OFFSET(F12,MATCH(K5,B13:B24,0),0,12))/(EDATE(K5,12)-K5)/24/Study_MW</f>
        <v>0.58176100628930816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 Year</v>
      </c>
      <c r="C9" s="58">
        <f ca="1">NPV($K$9,INDIRECT("C"&amp;$S$5&amp;":C"&amp;$S$6))</f>
        <v>3964902.5491543403</v>
      </c>
      <c r="D9" s="58">
        <f ca="1">NPV($K$9,INDIRECT("d"&amp;$S$5&amp;":d"&amp;$S$6))</f>
        <v>0</v>
      </c>
      <c r="E9" s="58">
        <f ca="1">NPV($K$9,INDIRECT("e"&amp;$S$5&amp;":e"&amp;$S$6))</f>
        <v>3964902.5491543403</v>
      </c>
      <c r="F9" s="388">
        <f ca="1">NPV($K$9,INDIRECT("f"&amp;$S$5&amp;":f"&amp;$S$6))</f>
        <v>156297.77709124581</v>
      </c>
      <c r="G9" s="91">
        <f ca="1">($C9+D9)/$F9</f>
        <v>25.367619571707994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8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f>[11]NPC!$F$3</f>
        <v>44562</v>
      </c>
      <c r="C13" s="69">
        <f>IF(F13="","",-INDEX([11]Delta!$F$1:$EE$997,$L$13,$I13))</f>
        <v>338920.14516979456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338920.14516979456</v>
      </c>
      <c r="F13" s="69">
        <f>IF(INDEX([11]Delta!$F$1:$EE$997,$L$14,$I13)=0,"",INDEX([11]Delta!$F$1:$EE$997,$L$14,$I13))</f>
        <v>13764</v>
      </c>
      <c r="G13" s="72">
        <f t="shared" ref="G13:G17" si="1">IF(ISNUMBER($F13),E13/$F13,"")</f>
        <v>24.623666461042905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f>MATCH(M13,[11]Delta!$A$1:$A$997,FALSE)</f>
        <v>361</v>
      </c>
      <c r="M13" s="56" t="s">
        <v>49</v>
      </c>
    </row>
    <row r="14" spans="1:19">
      <c r="B14" s="78">
        <f t="shared" ref="B14:B77" si="3">EDATE(B13,1)</f>
        <v>44593</v>
      </c>
      <c r="C14" s="75">
        <f>IF(F14="","",-INDEX([11]Delta!$F$1:$EE$997,$L$13,$I14))</f>
        <v>324128.42840078473</v>
      </c>
      <c r="D14" s="71">
        <f>IF(ISNUMBER($F14),VLOOKUP($J14,'Table 1'!$B$13:$C$33,2,FALSE)/12*1000*Study_MW,"")</f>
        <v>0</v>
      </c>
      <c r="E14" s="71">
        <f t="shared" si="0"/>
        <v>324128.42840078473</v>
      </c>
      <c r="F14" s="75">
        <f>IF(INDEX([11]Delta!$F$1:$EE$997,$L$14,$I14)=0,"",INDEX([11]Delta!$F$1:$EE$997,$L$14,$I14))</f>
        <v>12432</v>
      </c>
      <c r="G14" s="76">
        <f t="shared" si="1"/>
        <v>26.072106531594653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f>MATCH(M14,[11]Delta!$C$304:$C$507,FALSE)+ROW([11]Delta!$C$303)+2</f>
        <v>462</v>
      </c>
      <c r="M14" s="90" t="str">
        <f>CHOOSE([11]NPC!$EQ$89,[11]NPC!$EI$89,[11]NPC!$EK$89,[11]NPC!$EM$89,[11]NPC!$EO$89)</f>
        <v>QF - 433 - UT - Gas</v>
      </c>
    </row>
    <row r="15" spans="1:19">
      <c r="B15" s="78">
        <f t="shared" si="3"/>
        <v>44621</v>
      </c>
      <c r="C15" s="75">
        <f>IF(F15="","",-INDEX([11]Delta!$F$1:$EE$997,$L$13,$I15))</f>
        <v>302166.88828906417</v>
      </c>
      <c r="D15" s="71">
        <f>IF(ISNUMBER($F15),VLOOKUP($J15,'Table 1'!$B$13:$C$33,2,FALSE)/12*1000*Study_MW,"")</f>
        <v>0</v>
      </c>
      <c r="E15" s="71">
        <f t="shared" si="0"/>
        <v>302166.88828906417</v>
      </c>
      <c r="F15" s="75">
        <f>IF(INDEX([11]Delta!$F$1:$EE$997,$L$14,$I15)=0,"",INDEX([11]Delta!$F$1:$EE$997,$L$14,$I15))</f>
        <v>13764</v>
      </c>
      <c r="G15" s="76">
        <f t="shared" si="1"/>
        <v>21.953421119519337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f>IF(F16="","",-INDEX([11]Delta!$F$1:$EE$997,$L$13,$I16))</f>
        <v>228774.83305236697</v>
      </c>
      <c r="D16" s="71">
        <f>IF(ISNUMBER($F16),VLOOKUP($J16,'Table 1'!$B$13:$C$33,2,FALSE)/12*1000*Study_MW,"")</f>
        <v>0</v>
      </c>
      <c r="E16" s="71">
        <f t="shared" si="0"/>
        <v>228774.83305236697</v>
      </c>
      <c r="F16" s="75">
        <f>IF(INDEX([11]Delta!$F$1:$EE$997,$L$14,$I16)=0,"",INDEX([11]Delta!$F$1:$EE$997,$L$14,$I16))</f>
        <v>13320</v>
      </c>
      <c r="G16" s="76">
        <f t="shared" si="1"/>
        <v>17.175287766694218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>SUMIF($J$13:$J$264,L16,$C$13:$C$264)</f>
        <v>4114792.7795341611</v>
      </c>
      <c r="N16" s="56">
        <f>SUMIF($J$13:$J$264,L16,$D$13:$D$264)</f>
        <v>0</v>
      </c>
      <c r="O16" s="56">
        <f t="shared" ref="O16:O25" si="6">SUMIF($J$13:$J$264,L16,$F$13:$F$264)</f>
        <v>162060</v>
      </c>
      <c r="P16" s="113">
        <f t="shared" ref="P16:P25" si="7">(M16+N16)/O16</f>
        <v>25.390551521252384</v>
      </c>
      <c r="Q16" s="166">
        <f>M16/O16</f>
        <v>25.390551521252384</v>
      </c>
      <c r="R16" s="166">
        <f>IFERROR(N16/O16,0)</f>
        <v>0</v>
      </c>
    </row>
    <row r="17" spans="2:20">
      <c r="B17" s="78">
        <f t="shared" si="3"/>
        <v>44682</v>
      </c>
      <c r="C17" s="75">
        <f>IF(F17="","",-INDEX([11]Delta!$F$1:$EE$997,$L$13,$I17))</f>
        <v>225722.07109323144</v>
      </c>
      <c r="D17" s="71">
        <f>IF(ISNUMBER($F17),VLOOKUP($J17,'Table 1'!$B$13:$C$33,2,FALSE)/12*1000*Study_MW,"")</f>
        <v>0</v>
      </c>
      <c r="E17" s="71">
        <f t="shared" si="0"/>
        <v>225722.07109323144</v>
      </c>
      <c r="F17" s="75">
        <f>IF(INDEX([11]Delta!$F$1:$EE$997,$L$14,$I17)=0,"",INDEX([11]Delta!$F$1:$EE$997,$L$14,$I17))</f>
        <v>13764</v>
      </c>
      <c r="G17" s="76">
        <f t="shared" si="1"/>
        <v>16.399453000089469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/>
      <c r="P17" s="113"/>
      <c r="Q17" s="166"/>
      <c r="R17" s="166"/>
    </row>
    <row r="18" spans="2:20">
      <c r="B18" s="78">
        <f t="shared" si="3"/>
        <v>44713</v>
      </c>
      <c r="C18" s="75">
        <f>IF(F18="","",-INDEX([11]Delta!$F$1:$EE$997,$L$13,$I18))</f>
        <v>284836.13939857483</v>
      </c>
      <c r="D18" s="71">
        <f>IF(ISNUMBER($F18),VLOOKUP($J18,'Table 1'!$B$13:$C$33,2,FALSE)/12*1000*Study_MW,"")</f>
        <v>0</v>
      </c>
      <c r="E18" s="71">
        <f t="shared" ref="E18:E19" si="8">IF(ISNUMBER(C18+D18),C18+D18,"")</f>
        <v>284836.13939857483</v>
      </c>
      <c r="F18" s="75">
        <f>IF(INDEX([11]Delta!$F$1:$EE$997,$L$14,$I18)=0,"",INDEX([11]Delta!$F$1:$EE$997,$L$14,$I18))</f>
        <v>13320</v>
      </c>
      <c r="G18" s="76">
        <f t="shared" ref="G18:G19" si="9">IF(ISNUMBER($F18),E18/$F18,"")</f>
        <v>21.384094549442555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/>
      <c r="P18" s="113"/>
      <c r="Q18" s="166"/>
      <c r="R18" s="166"/>
    </row>
    <row r="19" spans="2:20">
      <c r="B19" s="78">
        <f t="shared" si="3"/>
        <v>44743</v>
      </c>
      <c r="C19" s="75">
        <f>IF(F19="","",-INDEX([11]Delta!$F$1:$EE$997,$L$13,$I19))</f>
        <v>518680.39195474982</v>
      </c>
      <c r="D19" s="71">
        <f>IF(ISNUMBER($F19),VLOOKUP($J19,'Table 1'!$B$13:$C$33,2,FALSE)/12*1000*Study_MW,"")</f>
        <v>0</v>
      </c>
      <c r="E19" s="71">
        <f t="shared" si="8"/>
        <v>518680.39195474982</v>
      </c>
      <c r="F19" s="75">
        <f>IF(INDEX([11]Delta!$F$1:$EE$997,$L$14,$I19)=0,"",INDEX([11]Delta!$F$1:$EE$997,$L$14,$I19))</f>
        <v>13764</v>
      </c>
      <c r="G19" s="76">
        <f t="shared" si="9"/>
        <v>37.683841321908588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/>
      <c r="P19" s="113"/>
      <c r="Q19" s="166"/>
      <c r="R19" s="166"/>
    </row>
    <row r="20" spans="2:20">
      <c r="B20" s="78">
        <f t="shared" si="3"/>
        <v>44774</v>
      </c>
      <c r="C20" s="75">
        <f>IF(F20="","",-INDEX([11]Delta!$F$1:$EE$997,$L$13,$I20))</f>
        <v>617202.78659440577</v>
      </c>
      <c r="D20" s="71">
        <f>IF(ISNUMBER($F20),VLOOKUP($J20,'Table 1'!$B$13:$C$33,2,FALSE)/12*1000*Study_MW,"")</f>
        <v>0</v>
      </c>
      <c r="E20" s="71">
        <f t="shared" ref="E20:E22" si="10">IF(ISNUMBER(C20+D20),C20+D20,"")</f>
        <v>617202.78659440577</v>
      </c>
      <c r="F20" s="75">
        <f>IF(INDEX([11]Delta!$F$1:$EE$997,$L$14,$I20)=0,"",INDEX([11]Delta!$F$1:$EE$997,$L$14,$I20))</f>
        <v>13764</v>
      </c>
      <c r="G20" s="76">
        <f t="shared" ref="G20:G77" si="11">IF(ISNUMBER($F20),E20/$F20,"")</f>
        <v>44.841818264632792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/>
      <c r="P20" s="113"/>
      <c r="Q20" s="166"/>
      <c r="R20" s="166"/>
    </row>
    <row r="21" spans="2:20">
      <c r="B21" s="78">
        <f t="shared" si="3"/>
        <v>44805</v>
      </c>
      <c r="C21" s="75">
        <f>IF(F21="","",-INDEX([11]Delta!$F$1:$EE$997,$L$13,$I21))</f>
        <v>389241.5737875998</v>
      </c>
      <c r="D21" s="71">
        <f>IF(ISNUMBER($F21),VLOOKUP($J21,'Table 1'!$B$13:$C$33,2,FALSE)/12*1000*Study_MW,"")</f>
        <v>0</v>
      </c>
      <c r="E21" s="71">
        <f t="shared" si="10"/>
        <v>389241.5737875998</v>
      </c>
      <c r="F21" s="75">
        <f>IF(INDEX([11]Delta!$F$1:$EE$997,$L$14,$I21)=0,"",INDEX([11]Delta!$F$1:$EE$997,$L$14,$I21))</f>
        <v>13320</v>
      </c>
      <c r="G21" s="76">
        <f t="shared" si="11"/>
        <v>29.222340374444428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/>
      <c r="P21" s="113"/>
      <c r="Q21" s="166"/>
      <c r="R21" s="166"/>
    </row>
    <row r="22" spans="2:20">
      <c r="B22" s="78">
        <f t="shared" si="3"/>
        <v>44835</v>
      </c>
      <c r="C22" s="75">
        <f>IF(F22="","",-INDEX([11]Delta!$F$1:$EE$997,$L$13,$I22))</f>
        <v>275582.6378992945</v>
      </c>
      <c r="D22" s="71">
        <f>IF(ISNUMBER($F22),VLOOKUP($J22,'Table 1'!$B$13:$C$33,2,FALSE)/12*1000*Study_MW,"")</f>
        <v>0</v>
      </c>
      <c r="E22" s="71">
        <f t="shared" si="10"/>
        <v>275582.6378992945</v>
      </c>
      <c r="F22" s="75">
        <f>IF(INDEX([11]Delta!$F$1:$EE$997,$L$14,$I22)=0,"",INDEX([11]Delta!$F$1:$EE$997,$L$14,$I22))</f>
        <v>13764</v>
      </c>
      <c r="G22" s="76">
        <f t="shared" si="11"/>
        <v>20.021987641622676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/>
      <c r="P22" s="113"/>
      <c r="Q22" s="166"/>
      <c r="R22" s="166"/>
    </row>
    <row r="23" spans="2:20">
      <c r="B23" s="78">
        <f t="shared" si="3"/>
        <v>44866</v>
      </c>
      <c r="C23" s="75">
        <f>IF(F23="","",-INDEX([11]Delta!$F$1:$EE$997,$L$13,$I23))</f>
        <v>277921.92106075585</v>
      </c>
      <c r="D23" s="71">
        <f>IF(ISNUMBER($F23),VLOOKUP($J23,'Table 1'!$B$13:$C$33,2,FALSE)/12*1000*Study_MW,"")</f>
        <v>0</v>
      </c>
      <c r="E23" s="71">
        <f t="shared" ref="E23" si="12">IF(ISNUMBER(C23+D23),C23+D23,"")</f>
        <v>277921.92106075585</v>
      </c>
      <c r="F23" s="75">
        <f>IF(INDEX([11]Delta!$F$1:$EE$997,$L$14,$I23)=0,"",INDEX([11]Delta!$F$1:$EE$997,$L$14,$I23))</f>
        <v>13320</v>
      </c>
      <c r="G23" s="76">
        <f t="shared" ref="G23" si="13">IF(ISNUMBER($F23),E23/$F23,"")</f>
        <v>20.865009088645333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/>
      <c r="P23" s="113"/>
      <c r="Q23" s="166"/>
      <c r="R23" s="166"/>
      <c r="T23" s="41">
        <v>2.1999999999999999E-2</v>
      </c>
    </row>
    <row r="24" spans="2:20">
      <c r="B24" s="82">
        <f t="shared" si="3"/>
        <v>44896</v>
      </c>
      <c r="C24" s="79">
        <f>IF(F24="","",-INDEX([11]Delta!$F$1:$EE$997,$L$13,$I24))</f>
        <v>331614.96283353865</v>
      </c>
      <c r="D24" s="80">
        <f>IF(F24&lt;&gt;0,VLOOKUP($J24,'Table 1'!$B$13:$C$33,2,FALSE)/12*1000*Study_MW,0)</f>
        <v>0</v>
      </c>
      <c r="E24" s="80">
        <f t="shared" ref="E24" si="14">IF(ISNUMBER(C24+D24),C24+D24,"")</f>
        <v>331614.96283353865</v>
      </c>
      <c r="F24" s="79">
        <f>IF(INDEX([11]Delta!$F$1:$EE$997,$L$14,$I24)=0,"",INDEX([11]Delta!$F$1:$EE$997,$L$14,$I24))</f>
        <v>13764</v>
      </c>
      <c r="G24" s="81">
        <f t="shared" ref="G24" si="15">IF(ISNUMBER($F24),E24/$F24,"")</f>
        <v>24.092920868464013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/>
      <c r="P24" s="113"/>
      <c r="Q24" s="166"/>
      <c r="R24" s="166"/>
    </row>
    <row r="25" spans="2:20" hidden="1" outlineLevel="1">
      <c r="B25" s="74">
        <f t="shared" si="3"/>
        <v>44927</v>
      </c>
      <c r="C25" s="69">
        <f>IF(F25&lt;&gt;0,-INDEX([11]Delta!$F$1:$EE$997,$L$13,$I25),0)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16">C25+D25</f>
        <v>0</v>
      </c>
      <c r="F25" s="69">
        <f>INDEX([11]Delta!$F$1:$EE$997,$L$14,$I25)</f>
        <v>0</v>
      </c>
      <c r="G25" s="72" t="e">
        <f t="shared" si="11"/>
        <v>#DIV/0!</v>
      </c>
      <c r="I25" s="60">
        <f>I13+13</f>
        <v>14</v>
      </c>
      <c r="J25" s="73">
        <f t="shared" si="4"/>
        <v>2023</v>
      </c>
      <c r="K25" s="74" t="str">
        <f>IF(ISNUMBER(F25),IF(F25&lt;&gt;0,B25,""),"")</f>
        <v/>
      </c>
      <c r="L25" s="73">
        <f t="shared" ref="L25:L42" si="17">L24+1</f>
        <v>1</v>
      </c>
      <c r="M25" s="56">
        <f t="shared" ref="M25:M36" si="18">SUMIF($J$13:$J$264,L25,$C$13:$C$264)</f>
        <v>0</v>
      </c>
      <c r="N25" s="56">
        <f t="shared" ref="N25:N36" si="19">SUMIF($J$13:$J$264,L25,$D$13:$D$264)</f>
        <v>0</v>
      </c>
      <c r="O25" s="56">
        <f t="shared" si="6"/>
        <v>0</v>
      </c>
      <c r="P25" s="113" t="e">
        <f t="shared" si="7"/>
        <v>#DIV/0!</v>
      </c>
      <c r="Q25" s="166" t="e">
        <f t="shared" ref="Q25:Q33" si="20">M25/O25</f>
        <v>#DIV/0!</v>
      </c>
      <c r="R25" s="166">
        <f t="shared" ref="R25:R33" si="21">IFERROR(N25/O25,0)</f>
        <v>0</v>
      </c>
    </row>
    <row r="26" spans="2:20" hidden="1" outlineLevel="1">
      <c r="B26" s="78">
        <f t="shared" si="3"/>
        <v>44958</v>
      </c>
      <c r="C26" s="75">
        <f>IF(F26&lt;&gt;0,-INDEX([11]Delta!$F$1:$EE$997,$L$13,$I26),0)</f>
        <v>0</v>
      </c>
      <c r="D26" s="71">
        <f>IF(F26&lt;&gt;0,VLOOKUP($J26,'Table 1'!$B$13:$C$33,2,FALSE)/12*1000*Study_MW,0)</f>
        <v>0</v>
      </c>
      <c r="E26" s="71">
        <f t="shared" si="16"/>
        <v>0</v>
      </c>
      <c r="F26" s="75">
        <f>INDEX([11]Delta!$F$1:$EE$997,$L$14,$I26)</f>
        <v>0</v>
      </c>
      <c r="G26" s="76" t="e">
        <f t="shared" si="11"/>
        <v>#DIV/0!</v>
      </c>
      <c r="I26" s="77">
        <f t="shared" ref="I26:I89" si="22">I14+13</f>
        <v>15</v>
      </c>
      <c r="J26" s="73">
        <f t="shared" si="4"/>
        <v>2023</v>
      </c>
      <c r="K26" s="78" t="str">
        <f t="shared" ref="K26:K89" si="23">IF(ISNUMBER(F26),IF(F26&lt;&gt;0,B26,""),"")</f>
        <v/>
      </c>
      <c r="L26" s="73">
        <f t="shared" si="17"/>
        <v>2</v>
      </c>
      <c r="M26" s="56">
        <f t="shared" si="18"/>
        <v>0</v>
      </c>
      <c r="N26" s="56">
        <f t="shared" si="19"/>
        <v>0</v>
      </c>
      <c r="O26" s="56">
        <f>SUMIF($J$13:$J$264,L26,$F$13:$F$264)</f>
        <v>0</v>
      </c>
      <c r="P26" s="113" t="e">
        <f>(M26+N26)/O26</f>
        <v>#DIV/0!</v>
      </c>
      <c r="Q26" s="166" t="e">
        <f t="shared" si="20"/>
        <v>#DIV/0!</v>
      </c>
      <c r="R26" s="166">
        <f t="shared" si="21"/>
        <v>0</v>
      </c>
    </row>
    <row r="27" spans="2:20" hidden="1" outlineLevel="1">
      <c r="B27" s="78">
        <f t="shared" si="3"/>
        <v>44986</v>
      </c>
      <c r="C27" s="75">
        <f>IF(F27&lt;&gt;0,-INDEX([11]Delta!$F$1:$EE$997,$L$13,$I27),0)</f>
        <v>0</v>
      </c>
      <c r="D27" s="71">
        <f>IF(F27&lt;&gt;0,VLOOKUP($J27,'Table 1'!$B$13:$C$33,2,FALSE)/12*1000*Study_MW,0)</f>
        <v>0</v>
      </c>
      <c r="E27" s="71">
        <f t="shared" si="16"/>
        <v>0</v>
      </c>
      <c r="F27" s="75">
        <f>INDEX([11]Delta!$F$1:$EE$997,$L$14,$I27)</f>
        <v>0</v>
      </c>
      <c r="G27" s="76" t="e">
        <f t="shared" si="11"/>
        <v>#DIV/0!</v>
      </c>
      <c r="I27" s="77">
        <f t="shared" si="22"/>
        <v>16</v>
      </c>
      <c r="J27" s="73">
        <f t="shared" si="4"/>
        <v>2023</v>
      </c>
      <c r="K27" s="78" t="str">
        <f t="shared" si="23"/>
        <v/>
      </c>
      <c r="L27" s="73">
        <f t="shared" si="17"/>
        <v>3</v>
      </c>
      <c r="M27" s="56">
        <f t="shared" si="18"/>
        <v>0</v>
      </c>
      <c r="N27" s="56">
        <f t="shared" si="19"/>
        <v>0</v>
      </c>
      <c r="O27" s="56">
        <f t="shared" ref="O27:O31" si="24">SUMIF($J$13:$J$264,L27,$F$13:$F$264)</f>
        <v>0</v>
      </c>
      <c r="P27" s="113" t="e">
        <f t="shared" ref="P27:P31" si="25">(M27+N27)/O27</f>
        <v>#DIV/0!</v>
      </c>
      <c r="Q27" s="166" t="e">
        <f t="shared" si="20"/>
        <v>#DIV/0!</v>
      </c>
      <c r="R27" s="166">
        <f t="shared" si="21"/>
        <v>0</v>
      </c>
    </row>
    <row r="28" spans="2:20" hidden="1" outlineLevel="1">
      <c r="B28" s="78">
        <f t="shared" si="3"/>
        <v>45017</v>
      </c>
      <c r="C28" s="75">
        <f>IF(F28&lt;&gt;0,-INDEX([11]Delta!$F$1:$EE$997,$L$13,$I28),0)</f>
        <v>0</v>
      </c>
      <c r="D28" s="71">
        <f>IF(F28&lt;&gt;0,VLOOKUP($J28,'Table 1'!$B$13:$C$33,2,FALSE)/12*1000*Study_MW,0)</f>
        <v>0</v>
      </c>
      <c r="E28" s="71">
        <f t="shared" si="16"/>
        <v>0</v>
      </c>
      <c r="F28" s="75">
        <f>INDEX([11]Delta!$F$1:$EE$997,$L$14,$I28)</f>
        <v>0</v>
      </c>
      <c r="G28" s="76" t="e">
        <f t="shared" si="11"/>
        <v>#DIV/0!</v>
      </c>
      <c r="I28" s="77">
        <f t="shared" si="22"/>
        <v>17</v>
      </c>
      <c r="J28" s="73">
        <f t="shared" si="4"/>
        <v>2023</v>
      </c>
      <c r="K28" s="78" t="str">
        <f t="shared" si="23"/>
        <v/>
      </c>
      <c r="L28" s="73">
        <f t="shared" si="17"/>
        <v>4</v>
      </c>
      <c r="M28" s="56">
        <f t="shared" si="18"/>
        <v>0</v>
      </c>
      <c r="N28" s="56">
        <f t="shared" si="19"/>
        <v>0</v>
      </c>
      <c r="O28" s="56">
        <f t="shared" si="24"/>
        <v>0</v>
      </c>
      <c r="P28" s="113" t="e">
        <f t="shared" si="25"/>
        <v>#DIV/0!</v>
      </c>
      <c r="Q28" s="166" t="e">
        <f t="shared" si="20"/>
        <v>#DIV/0!</v>
      </c>
      <c r="R28" s="166">
        <f t="shared" si="21"/>
        <v>0</v>
      </c>
    </row>
    <row r="29" spans="2:20" hidden="1" outlineLevel="1">
      <c r="B29" s="78">
        <f t="shared" si="3"/>
        <v>45047</v>
      </c>
      <c r="C29" s="75">
        <f>IF(F29&lt;&gt;0,-INDEX([11]Delta!$F$1:$EE$997,$L$13,$I29),0)</f>
        <v>0</v>
      </c>
      <c r="D29" s="71">
        <f>IF(F29&lt;&gt;0,VLOOKUP($J29,'Table 1'!$B$13:$C$33,2,FALSE)/12*1000*Study_MW,0)</f>
        <v>0</v>
      </c>
      <c r="E29" s="71">
        <f t="shared" si="16"/>
        <v>0</v>
      </c>
      <c r="F29" s="75">
        <f>INDEX([11]Delta!$F$1:$EE$997,$L$14,$I29)</f>
        <v>0</v>
      </c>
      <c r="G29" s="76" t="e">
        <f t="shared" si="11"/>
        <v>#DIV/0!</v>
      </c>
      <c r="I29" s="77">
        <f t="shared" si="22"/>
        <v>18</v>
      </c>
      <c r="J29" s="73">
        <f t="shared" si="4"/>
        <v>2023</v>
      </c>
      <c r="K29" s="78" t="str">
        <f t="shared" si="23"/>
        <v/>
      </c>
      <c r="L29" s="73">
        <f t="shared" si="17"/>
        <v>5</v>
      </c>
      <c r="M29" s="56">
        <f t="shared" si="18"/>
        <v>0</v>
      </c>
      <c r="N29" s="56">
        <f t="shared" si="19"/>
        <v>0</v>
      </c>
      <c r="O29" s="56">
        <f t="shared" si="24"/>
        <v>0</v>
      </c>
      <c r="P29" s="113" t="e">
        <f t="shared" si="25"/>
        <v>#DIV/0!</v>
      </c>
      <c r="Q29" s="166" t="e">
        <f t="shared" si="20"/>
        <v>#DIV/0!</v>
      </c>
      <c r="R29" s="166">
        <f t="shared" si="21"/>
        <v>0</v>
      </c>
    </row>
    <row r="30" spans="2:20" hidden="1" outlineLevel="1">
      <c r="B30" s="78">
        <f t="shared" si="3"/>
        <v>45078</v>
      </c>
      <c r="C30" s="75">
        <f>IF(F30&lt;&gt;0,-INDEX([11]Delta!$F$1:$EE$997,$L$13,$I30),0)</f>
        <v>0</v>
      </c>
      <c r="D30" s="71">
        <f>IF(F30&lt;&gt;0,VLOOKUP($J30,'Table 1'!$B$13:$C$33,2,FALSE)/12*1000*Study_MW,0)</f>
        <v>0</v>
      </c>
      <c r="E30" s="71">
        <f t="shared" si="16"/>
        <v>0</v>
      </c>
      <c r="F30" s="75">
        <f>INDEX([11]Delta!$F$1:$EE$997,$L$14,$I30)</f>
        <v>0</v>
      </c>
      <c r="G30" s="76" t="e">
        <f t="shared" si="11"/>
        <v>#DIV/0!</v>
      </c>
      <c r="I30" s="77">
        <f t="shared" si="22"/>
        <v>19</v>
      </c>
      <c r="J30" s="73">
        <f t="shared" si="4"/>
        <v>2023</v>
      </c>
      <c r="K30" s="78" t="str">
        <f t="shared" si="23"/>
        <v/>
      </c>
      <c r="L30" s="73">
        <f t="shared" si="17"/>
        <v>6</v>
      </c>
      <c r="M30" s="56">
        <f t="shared" si="18"/>
        <v>0</v>
      </c>
      <c r="N30" s="56">
        <f t="shared" si="19"/>
        <v>0</v>
      </c>
      <c r="O30" s="56">
        <f t="shared" si="24"/>
        <v>0</v>
      </c>
      <c r="P30" s="113" t="e">
        <f t="shared" si="25"/>
        <v>#DIV/0!</v>
      </c>
      <c r="Q30" s="166" t="e">
        <f t="shared" si="20"/>
        <v>#DIV/0!</v>
      </c>
      <c r="R30" s="166">
        <f t="shared" si="21"/>
        <v>0</v>
      </c>
    </row>
    <row r="31" spans="2:20" hidden="1" outlineLevel="1">
      <c r="B31" s="78">
        <f t="shared" si="3"/>
        <v>45108</v>
      </c>
      <c r="C31" s="75">
        <f>IF(F31&lt;&gt;0,-INDEX([11]Delta!$F$1:$EE$997,$L$13,$I31),0)</f>
        <v>0</v>
      </c>
      <c r="D31" s="71">
        <f>IF(F31&lt;&gt;0,VLOOKUP($J31,'Table 1'!$B$13:$C$33,2,FALSE)/12*1000*Study_MW,0)</f>
        <v>0</v>
      </c>
      <c r="E31" s="71">
        <f t="shared" si="16"/>
        <v>0</v>
      </c>
      <c r="F31" s="75">
        <f>INDEX([11]Delta!$F$1:$EE$997,$L$14,$I31)</f>
        <v>0</v>
      </c>
      <c r="G31" s="76" t="e">
        <f t="shared" si="11"/>
        <v>#DIV/0!</v>
      </c>
      <c r="I31" s="77">
        <f t="shared" si="22"/>
        <v>20</v>
      </c>
      <c r="J31" s="73">
        <f t="shared" si="4"/>
        <v>2023</v>
      </c>
      <c r="K31" s="78" t="str">
        <f t="shared" si="23"/>
        <v/>
      </c>
      <c r="L31" s="73">
        <f t="shared" si="17"/>
        <v>7</v>
      </c>
      <c r="M31" s="56">
        <f t="shared" si="18"/>
        <v>0</v>
      </c>
      <c r="N31" s="56">
        <f t="shared" si="19"/>
        <v>0</v>
      </c>
      <c r="O31" s="56">
        <f t="shared" si="24"/>
        <v>0</v>
      </c>
      <c r="P31" s="113" t="e">
        <f t="shared" si="25"/>
        <v>#DIV/0!</v>
      </c>
      <c r="Q31" s="166" t="e">
        <f t="shared" si="20"/>
        <v>#DIV/0!</v>
      </c>
      <c r="R31" s="166">
        <f t="shared" si="21"/>
        <v>0</v>
      </c>
    </row>
    <row r="32" spans="2:20" hidden="1" outlineLevel="1">
      <c r="B32" s="78">
        <f t="shared" si="3"/>
        <v>45139</v>
      </c>
      <c r="C32" s="75">
        <f>IF(F32&lt;&gt;0,-INDEX([11]Delta!$F$1:$EE$997,$L$13,$I32),0)</f>
        <v>0</v>
      </c>
      <c r="D32" s="71">
        <f>IF(F32&lt;&gt;0,VLOOKUP($J32,'Table 1'!$B$13:$C$33,2,FALSE)/12*1000*Study_MW,0)</f>
        <v>0</v>
      </c>
      <c r="E32" s="71">
        <f t="shared" si="16"/>
        <v>0</v>
      </c>
      <c r="F32" s="75">
        <f>INDEX([11]Delta!$F$1:$EE$997,$L$14,$I32)</f>
        <v>0</v>
      </c>
      <c r="G32" s="76" t="e">
        <f t="shared" si="11"/>
        <v>#DIV/0!</v>
      </c>
      <c r="I32" s="77">
        <f t="shared" si="22"/>
        <v>21</v>
      </c>
      <c r="J32" s="73">
        <f t="shared" si="4"/>
        <v>2023</v>
      </c>
      <c r="K32" s="78" t="str">
        <f t="shared" si="23"/>
        <v/>
      </c>
      <c r="L32" s="73">
        <f t="shared" si="17"/>
        <v>8</v>
      </c>
      <c r="M32" s="56">
        <f t="shared" si="18"/>
        <v>0</v>
      </c>
      <c r="N32" s="56">
        <f t="shared" si="19"/>
        <v>0</v>
      </c>
      <c r="O32" s="56">
        <f t="shared" ref="O32:O35" si="26">SUMIF($J$13:$J$264,L32,$F$13:$F$264)</f>
        <v>0</v>
      </c>
      <c r="P32" s="113" t="e">
        <f t="shared" ref="P32:P34" si="27">(M32+N32)/O32</f>
        <v>#DIV/0!</v>
      </c>
      <c r="Q32" s="166" t="e">
        <f t="shared" si="20"/>
        <v>#DIV/0!</v>
      </c>
      <c r="R32" s="166">
        <f t="shared" si="21"/>
        <v>0</v>
      </c>
    </row>
    <row r="33" spans="2:20" hidden="1" outlineLevel="1">
      <c r="B33" s="78">
        <f t="shared" si="3"/>
        <v>45170</v>
      </c>
      <c r="C33" s="75">
        <f>IF(F33&lt;&gt;0,-INDEX([11]Delta!$F$1:$EE$997,$L$13,$I33),0)</f>
        <v>0</v>
      </c>
      <c r="D33" s="71">
        <f>IF(F33&lt;&gt;0,VLOOKUP($J33,'Table 1'!$B$13:$C$33,2,FALSE)/12*1000*Study_MW,0)</f>
        <v>0</v>
      </c>
      <c r="E33" s="71">
        <f t="shared" si="16"/>
        <v>0</v>
      </c>
      <c r="F33" s="75">
        <f>INDEX([11]Delta!$F$1:$EE$997,$L$14,$I33)</f>
        <v>0</v>
      </c>
      <c r="G33" s="76" t="e">
        <f t="shared" si="11"/>
        <v>#DIV/0!</v>
      </c>
      <c r="I33" s="77">
        <f t="shared" si="22"/>
        <v>22</v>
      </c>
      <c r="J33" s="73">
        <f t="shared" si="4"/>
        <v>2023</v>
      </c>
      <c r="K33" s="78" t="str">
        <f t="shared" si="23"/>
        <v/>
      </c>
      <c r="L33" s="73">
        <f t="shared" si="17"/>
        <v>9</v>
      </c>
      <c r="M33" s="56">
        <f t="shared" si="18"/>
        <v>0</v>
      </c>
      <c r="N33" s="56">
        <f t="shared" si="19"/>
        <v>0</v>
      </c>
      <c r="O33" s="56">
        <f t="shared" si="26"/>
        <v>0</v>
      </c>
      <c r="P33" s="113" t="e">
        <f t="shared" si="27"/>
        <v>#DIV/0!</v>
      </c>
      <c r="Q33" s="166" t="e">
        <f t="shared" si="20"/>
        <v>#DIV/0!</v>
      </c>
      <c r="R33" s="166">
        <f t="shared" si="21"/>
        <v>0</v>
      </c>
    </row>
    <row r="34" spans="2:20" hidden="1" outlineLevel="1">
      <c r="B34" s="78">
        <f t="shared" si="3"/>
        <v>45200</v>
      </c>
      <c r="C34" s="75">
        <f>IF(F34&lt;&gt;0,-INDEX([11]Delta!$F$1:$EE$997,$L$13,$I34),0)</f>
        <v>0</v>
      </c>
      <c r="D34" s="71">
        <f>IF(F34&lt;&gt;0,VLOOKUP($J34,'Table 1'!$B$13:$C$33,2,FALSE)/12*1000*Study_MW,0)</f>
        <v>0</v>
      </c>
      <c r="E34" s="71">
        <f t="shared" si="16"/>
        <v>0</v>
      </c>
      <c r="F34" s="75">
        <f>INDEX([11]Delta!$F$1:$EE$997,$L$14,$I34)</f>
        <v>0</v>
      </c>
      <c r="G34" s="76" t="e">
        <f t="shared" si="11"/>
        <v>#DIV/0!</v>
      </c>
      <c r="I34" s="77">
        <f t="shared" si="22"/>
        <v>23</v>
      </c>
      <c r="J34" s="73">
        <f t="shared" si="4"/>
        <v>2023</v>
      </c>
      <c r="K34" s="78" t="str">
        <f t="shared" si="23"/>
        <v/>
      </c>
      <c r="L34" s="73">
        <f t="shared" si="17"/>
        <v>10</v>
      </c>
      <c r="M34" s="56">
        <f t="shared" si="18"/>
        <v>0</v>
      </c>
      <c r="N34" s="56">
        <f t="shared" si="19"/>
        <v>0</v>
      </c>
      <c r="O34" s="56">
        <f t="shared" si="26"/>
        <v>0</v>
      </c>
      <c r="P34" s="113" t="e">
        <f t="shared" si="27"/>
        <v>#DIV/0!</v>
      </c>
      <c r="Q34" s="166" t="e">
        <f t="shared" ref="Q34" si="28">M34/O34</f>
        <v>#DIV/0!</v>
      </c>
      <c r="R34" s="166">
        <f t="shared" ref="R34" si="29">IFERROR(N34/O34,0)</f>
        <v>0</v>
      </c>
    </row>
    <row r="35" spans="2:20" hidden="1" outlineLevel="1">
      <c r="B35" s="78">
        <f t="shared" si="3"/>
        <v>45231</v>
      </c>
      <c r="C35" s="75">
        <f>IF(F35&lt;&gt;0,-INDEX([11]Delta!$F$1:$EE$997,$L$13,$I35),0)</f>
        <v>0</v>
      </c>
      <c r="D35" s="71">
        <f>IF(F35&lt;&gt;0,VLOOKUP($J35,'Table 1'!$B$13:$C$33,2,FALSE)/12*1000*Study_MW,0)</f>
        <v>0</v>
      </c>
      <c r="E35" s="71">
        <f t="shared" si="16"/>
        <v>0</v>
      </c>
      <c r="F35" s="75">
        <f>INDEX([11]Delta!$F$1:$EE$997,$L$14,$I35)</f>
        <v>0</v>
      </c>
      <c r="G35" s="76" t="e">
        <f t="shared" si="11"/>
        <v>#DIV/0!</v>
      </c>
      <c r="I35" s="77">
        <f t="shared" si="22"/>
        <v>24</v>
      </c>
      <c r="J35" s="73">
        <f t="shared" si="4"/>
        <v>2023</v>
      </c>
      <c r="K35" s="78" t="str">
        <f t="shared" si="23"/>
        <v/>
      </c>
      <c r="L35" s="73">
        <f t="shared" si="17"/>
        <v>11</v>
      </c>
      <c r="M35" s="56">
        <f t="shared" si="18"/>
        <v>0</v>
      </c>
      <c r="N35" s="56">
        <f t="shared" si="19"/>
        <v>0</v>
      </c>
      <c r="O35" s="56">
        <f t="shared" si="26"/>
        <v>0</v>
      </c>
      <c r="P35" s="113" t="e">
        <f t="shared" ref="P35" si="30">(M35+N35)/O35</f>
        <v>#DIV/0!</v>
      </c>
      <c r="Q35" s="166" t="e">
        <f t="shared" ref="Q35" si="31">M35/O35</f>
        <v>#DIV/0!</v>
      </c>
      <c r="R35" s="166">
        <f t="shared" ref="R35" si="32">IFERROR(N35/O35,0)</f>
        <v>0</v>
      </c>
    </row>
    <row r="36" spans="2:20" hidden="1" outlineLevel="1">
      <c r="B36" s="82">
        <f t="shared" si="3"/>
        <v>45261</v>
      </c>
      <c r="C36" s="79">
        <f>IF(F36&lt;&gt;0,-INDEX([11]Delta!$F$1:$EE$997,$L$13,$I36),0)</f>
        <v>0</v>
      </c>
      <c r="D36" s="80">
        <f>IF(F36&lt;&gt;0,VLOOKUP($J36,'Table 1'!$B$13:$C$33,2,FALSE)/12*1000*Study_MW,0)</f>
        <v>0</v>
      </c>
      <c r="E36" s="80">
        <f t="shared" si="16"/>
        <v>0</v>
      </c>
      <c r="F36" s="79">
        <f>INDEX([11]Delta!$F$1:$EE$997,$L$14,$I36)</f>
        <v>0</v>
      </c>
      <c r="G36" s="81" t="e">
        <f t="shared" si="11"/>
        <v>#DIV/0!</v>
      </c>
      <c r="I36" s="64">
        <f t="shared" si="22"/>
        <v>25</v>
      </c>
      <c r="J36" s="73">
        <f t="shared" si="4"/>
        <v>2023</v>
      </c>
      <c r="K36" s="82" t="str">
        <f t="shared" si="23"/>
        <v/>
      </c>
      <c r="L36" s="73">
        <f t="shared" si="17"/>
        <v>12</v>
      </c>
      <c r="M36" s="56">
        <f t="shared" si="18"/>
        <v>0</v>
      </c>
      <c r="N36" s="56">
        <f t="shared" si="19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hidden="1" outlineLevel="1">
      <c r="B37" s="74">
        <f t="shared" si="3"/>
        <v>45292</v>
      </c>
      <c r="C37" s="69">
        <f>IF(F37&lt;&gt;0,-INDEX([11]Delta!$F$1:$EE$997,$L$13,$I37),0)</f>
        <v>0</v>
      </c>
      <c r="D37" s="70">
        <f>IF(F37&lt;&gt;0,VLOOKUP($J37,'Table 1'!$B$13:$C$33,2,FALSE)/12*1000*Study_MW,0)</f>
        <v>0</v>
      </c>
      <c r="E37" s="70">
        <f t="shared" si="16"/>
        <v>0</v>
      </c>
      <c r="F37" s="69">
        <f>INDEX([11]Delta!$F$1:$EE$997,$L$14,$I37)</f>
        <v>0</v>
      </c>
      <c r="G37" s="72" t="e">
        <f t="shared" si="11"/>
        <v>#DIV/0!</v>
      </c>
      <c r="I37" s="60">
        <f>I25+13</f>
        <v>27</v>
      </c>
      <c r="J37" s="73">
        <f t="shared" si="4"/>
        <v>2024</v>
      </c>
      <c r="K37" s="74" t="str">
        <f t="shared" si="23"/>
        <v/>
      </c>
      <c r="L37" s="73">
        <f t="shared" si="17"/>
        <v>13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hidden="1" outlineLevel="1">
      <c r="B38" s="78">
        <f t="shared" si="3"/>
        <v>45323</v>
      </c>
      <c r="C38" s="75">
        <f>IF(F38&lt;&gt;0,-INDEX([11]Delta!$F$1:$EE$997,$L$13,$I38),0)</f>
        <v>0</v>
      </c>
      <c r="D38" s="71">
        <f>IF(F38&lt;&gt;0,VLOOKUP($J38,'Table 1'!$B$13:$C$33,2,FALSE)/12*1000*Study_MW,0)</f>
        <v>0</v>
      </c>
      <c r="E38" s="71">
        <f t="shared" si="16"/>
        <v>0</v>
      </c>
      <c r="F38" s="75">
        <f>INDEX([11]Delta!$F$1:$EE$997,$L$14,$I38)</f>
        <v>0</v>
      </c>
      <c r="G38" s="76" t="e">
        <f t="shared" si="11"/>
        <v>#DIV/0!</v>
      </c>
      <c r="I38" s="77">
        <f t="shared" si="22"/>
        <v>28</v>
      </c>
      <c r="J38" s="73">
        <f t="shared" si="4"/>
        <v>2024</v>
      </c>
      <c r="K38" s="78" t="str">
        <f t="shared" si="23"/>
        <v/>
      </c>
      <c r="L38" s="73">
        <f t="shared" si="17"/>
        <v>14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hidden="1" outlineLevel="1">
      <c r="B39" s="78">
        <f t="shared" si="3"/>
        <v>45352</v>
      </c>
      <c r="C39" s="75">
        <f>IF(F39&lt;&gt;0,-INDEX([11]Delta!$F$1:$EE$997,$L$13,$I39),0)</f>
        <v>0</v>
      </c>
      <c r="D39" s="71">
        <f>IF(F39&lt;&gt;0,VLOOKUP($J39,'Table 1'!$B$13:$C$33,2,FALSE)/12*1000*Study_MW,0)</f>
        <v>0</v>
      </c>
      <c r="E39" s="71">
        <f t="shared" si="16"/>
        <v>0</v>
      </c>
      <c r="F39" s="75">
        <f>INDEX([11]Delta!$F$1:$EE$997,$L$14,$I39)</f>
        <v>0</v>
      </c>
      <c r="G39" s="76" t="e">
        <f t="shared" si="11"/>
        <v>#DIV/0!</v>
      </c>
      <c r="I39" s="77">
        <f t="shared" si="22"/>
        <v>29</v>
      </c>
      <c r="J39" s="73">
        <f t="shared" si="4"/>
        <v>2024</v>
      </c>
      <c r="K39" s="78" t="str">
        <f t="shared" si="23"/>
        <v/>
      </c>
      <c r="L39" s="73">
        <f t="shared" si="17"/>
        <v>15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45383</v>
      </c>
      <c r="C40" s="75">
        <f>IF(F40&lt;&gt;0,-INDEX([11]Delta!$F$1:$EE$997,$L$13,$I40),0)</f>
        <v>0</v>
      </c>
      <c r="D40" s="71">
        <f>IF(F40&lt;&gt;0,VLOOKUP($J40,'Table 1'!$B$13:$C$33,2,FALSE)/12*1000*Study_MW,0)</f>
        <v>0</v>
      </c>
      <c r="E40" s="71">
        <f t="shared" si="16"/>
        <v>0</v>
      </c>
      <c r="F40" s="75">
        <f>INDEX([11]Delta!$F$1:$EE$997,$L$14,$I40)</f>
        <v>0</v>
      </c>
      <c r="G40" s="76" t="e">
        <f t="shared" si="11"/>
        <v>#DIV/0!</v>
      </c>
      <c r="I40" s="77">
        <f t="shared" si="22"/>
        <v>30</v>
      </c>
      <c r="J40" s="73">
        <f t="shared" si="4"/>
        <v>2024</v>
      </c>
      <c r="K40" s="78" t="str">
        <f t="shared" si="23"/>
        <v/>
      </c>
      <c r="L40" s="73">
        <f t="shared" si="17"/>
        <v>16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45413</v>
      </c>
      <c r="C41" s="75">
        <f>IF(F41&lt;&gt;0,-INDEX([11]Delta!$F$1:$EE$997,$L$13,$I41),0)</f>
        <v>0</v>
      </c>
      <c r="D41" s="71">
        <f>IF(F41&lt;&gt;0,VLOOKUP($J41,'Table 1'!$B$13:$C$33,2,FALSE)/12*1000*Study_MW,0)</f>
        <v>0</v>
      </c>
      <c r="E41" s="71">
        <f t="shared" si="16"/>
        <v>0</v>
      </c>
      <c r="F41" s="75">
        <f>INDEX([11]Delta!$F$1:$EE$997,$L$14,$I41)</f>
        <v>0</v>
      </c>
      <c r="G41" s="76" t="e">
        <f t="shared" si="11"/>
        <v>#DIV/0!</v>
      </c>
      <c r="I41" s="77">
        <f t="shared" si="22"/>
        <v>31</v>
      </c>
      <c r="J41" s="73">
        <f t="shared" si="4"/>
        <v>2024</v>
      </c>
      <c r="K41" s="78" t="str">
        <f t="shared" si="23"/>
        <v/>
      </c>
      <c r="L41" s="73">
        <f t="shared" si="17"/>
        <v>17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45444</v>
      </c>
      <c r="C42" s="75">
        <f>IF(F42&lt;&gt;0,-INDEX([11]Delta!$F$1:$EE$997,$L$13,$I42),0)</f>
        <v>0</v>
      </c>
      <c r="D42" s="71">
        <f>IF(F42&lt;&gt;0,VLOOKUP($J42,'Table 1'!$B$13:$C$33,2,FALSE)/12*1000*Study_MW,0)</f>
        <v>0</v>
      </c>
      <c r="E42" s="71">
        <f t="shared" si="16"/>
        <v>0</v>
      </c>
      <c r="F42" s="75">
        <f>INDEX([11]Delta!$F$1:$EE$997,$L$14,$I42)</f>
        <v>0</v>
      </c>
      <c r="G42" s="76" t="e">
        <f t="shared" si="11"/>
        <v>#DIV/0!</v>
      </c>
      <c r="I42" s="77">
        <f t="shared" si="22"/>
        <v>32</v>
      </c>
      <c r="J42" s="73">
        <f t="shared" si="4"/>
        <v>2024</v>
      </c>
      <c r="K42" s="78" t="str">
        <f t="shared" si="23"/>
        <v/>
      </c>
      <c r="L42" s="73">
        <f t="shared" si="17"/>
        <v>18</v>
      </c>
      <c r="P42" s="113"/>
      <c r="Q42" s="166"/>
      <c r="R42" s="166"/>
    </row>
    <row r="43" spans="2:20" hidden="1" outlineLevel="1">
      <c r="B43" s="78">
        <f t="shared" si="3"/>
        <v>45474</v>
      </c>
      <c r="C43" s="75">
        <f>IF(F43&lt;&gt;0,-INDEX([11]Delta!$F$1:$EE$997,$L$13,$I43),0)</f>
        <v>0</v>
      </c>
      <c r="D43" s="71">
        <f>IF(F43&lt;&gt;0,VLOOKUP($J43,'Table 1'!$B$13:$C$33,2,FALSE)/12*1000*Study_MW,0)</f>
        <v>0</v>
      </c>
      <c r="E43" s="71">
        <f t="shared" si="16"/>
        <v>0</v>
      </c>
      <c r="F43" s="75">
        <f>INDEX([11]Delta!$F$1:$EE$997,$L$14,$I43)</f>
        <v>0</v>
      </c>
      <c r="G43" s="76" t="e">
        <f t="shared" si="11"/>
        <v>#DIV/0!</v>
      </c>
      <c r="I43" s="77">
        <f t="shared" si="22"/>
        <v>33</v>
      </c>
      <c r="J43" s="73">
        <f t="shared" si="4"/>
        <v>2024</v>
      </c>
      <c r="K43" s="78" t="str">
        <f t="shared" si="23"/>
        <v/>
      </c>
    </row>
    <row r="44" spans="2:20" hidden="1" outlineLevel="1">
      <c r="B44" s="78">
        <f t="shared" si="3"/>
        <v>45505</v>
      </c>
      <c r="C44" s="75">
        <f>IF(F44&lt;&gt;0,-INDEX([11]Delta!$F$1:$EE$997,$L$13,$I44),0)</f>
        <v>0</v>
      </c>
      <c r="D44" s="71">
        <f>IF(F44&lt;&gt;0,VLOOKUP($J44,'Table 1'!$B$13:$C$33,2,FALSE)/12*1000*Study_MW,0)</f>
        <v>0</v>
      </c>
      <c r="E44" s="71">
        <f t="shared" si="16"/>
        <v>0</v>
      </c>
      <c r="F44" s="75">
        <f>INDEX([11]Delta!$F$1:$EE$997,$L$14,$I44)</f>
        <v>0</v>
      </c>
      <c r="G44" s="76" t="e">
        <f t="shared" si="11"/>
        <v>#DIV/0!</v>
      </c>
      <c r="I44" s="77">
        <f t="shared" si="22"/>
        <v>34</v>
      </c>
      <c r="J44" s="73">
        <f t="shared" si="4"/>
        <v>2024</v>
      </c>
      <c r="K44" s="78" t="str">
        <f t="shared" si="23"/>
        <v/>
      </c>
    </row>
    <row r="45" spans="2:20" hidden="1" outlineLevel="1">
      <c r="B45" s="78">
        <f t="shared" si="3"/>
        <v>45536</v>
      </c>
      <c r="C45" s="75">
        <f>IF(F45&lt;&gt;0,-INDEX([11]Delta!$F$1:$EE$997,$L$13,$I45),0)</f>
        <v>0</v>
      </c>
      <c r="D45" s="71">
        <f>IF(F45&lt;&gt;0,VLOOKUP($J45,'Table 1'!$B$13:$C$33,2,FALSE)/12*1000*Study_MW,0)</f>
        <v>0</v>
      </c>
      <c r="E45" s="71">
        <f t="shared" si="16"/>
        <v>0</v>
      </c>
      <c r="F45" s="75">
        <f>INDEX([11]Delta!$F$1:$EE$997,$L$14,$I45)</f>
        <v>0</v>
      </c>
      <c r="G45" s="76" t="e">
        <f t="shared" si="11"/>
        <v>#DIV/0!</v>
      </c>
      <c r="I45" s="77">
        <f t="shared" si="22"/>
        <v>35</v>
      </c>
      <c r="J45" s="73">
        <f t="shared" si="4"/>
        <v>2024</v>
      </c>
      <c r="K45" s="78" t="str">
        <f t="shared" si="23"/>
        <v/>
      </c>
    </row>
    <row r="46" spans="2:20" hidden="1" outlineLevel="1">
      <c r="B46" s="78">
        <f t="shared" si="3"/>
        <v>45566</v>
      </c>
      <c r="C46" s="75">
        <f>IF(F46&lt;&gt;0,-INDEX([11]Delta!$F$1:$EE$997,$L$13,$I46),0)</f>
        <v>0</v>
      </c>
      <c r="D46" s="71">
        <f>IF(F46&lt;&gt;0,VLOOKUP($J46,'Table 1'!$B$13:$C$33,2,FALSE)/12*1000*Study_MW,0)</f>
        <v>0</v>
      </c>
      <c r="E46" s="71">
        <f t="shared" si="16"/>
        <v>0</v>
      </c>
      <c r="F46" s="75">
        <f>INDEX([11]Delta!$F$1:$EE$997,$L$14,$I46)</f>
        <v>0</v>
      </c>
      <c r="G46" s="76" t="e">
        <f t="shared" si="11"/>
        <v>#DIV/0!</v>
      </c>
      <c r="I46" s="77">
        <f t="shared" si="22"/>
        <v>36</v>
      </c>
      <c r="J46" s="73">
        <f t="shared" si="4"/>
        <v>2024</v>
      </c>
      <c r="K46" s="78" t="str">
        <f t="shared" si="23"/>
        <v/>
      </c>
    </row>
    <row r="47" spans="2:20" hidden="1" outlineLevel="1">
      <c r="B47" s="78">
        <f t="shared" si="3"/>
        <v>45597</v>
      </c>
      <c r="C47" s="75">
        <f>IF(F47&lt;&gt;0,-INDEX([11]Delta!$F$1:$EE$997,$L$13,$I47),0)</f>
        <v>0</v>
      </c>
      <c r="D47" s="71">
        <f>IF(F47&lt;&gt;0,VLOOKUP($J47,'Table 1'!$B$13:$C$33,2,FALSE)/12*1000*Study_MW,0)</f>
        <v>0</v>
      </c>
      <c r="E47" s="71">
        <f t="shared" si="16"/>
        <v>0</v>
      </c>
      <c r="F47" s="75">
        <f>INDEX([11]Delta!$F$1:$EE$997,$L$14,$I47)</f>
        <v>0</v>
      </c>
      <c r="G47" s="76" t="e">
        <f t="shared" si="11"/>
        <v>#DIV/0!</v>
      </c>
      <c r="I47" s="77">
        <f t="shared" si="22"/>
        <v>37</v>
      </c>
      <c r="J47" s="73">
        <f t="shared" si="4"/>
        <v>2024</v>
      </c>
      <c r="K47" s="78" t="str">
        <f t="shared" si="23"/>
        <v/>
      </c>
    </row>
    <row r="48" spans="2:20" hidden="1" outlineLevel="1">
      <c r="B48" s="82">
        <f t="shared" si="3"/>
        <v>45627</v>
      </c>
      <c r="C48" s="79">
        <f>IF(F48&lt;&gt;0,-INDEX([11]Delta!$F$1:$EE$997,$L$13,$I48),0)</f>
        <v>0</v>
      </c>
      <c r="D48" s="80">
        <f>IF(F48&lt;&gt;0,VLOOKUP($J48,'Table 1'!$B$13:$C$33,2,FALSE)/12*1000*Study_MW,0)</f>
        <v>0</v>
      </c>
      <c r="E48" s="80">
        <f t="shared" si="16"/>
        <v>0</v>
      </c>
      <c r="F48" s="79">
        <f>INDEX([11]Delta!$F$1:$EE$997,$L$14,$I48)</f>
        <v>0</v>
      </c>
      <c r="G48" s="81" t="e">
        <f t="shared" si="11"/>
        <v>#DIV/0!</v>
      </c>
      <c r="I48" s="64">
        <f t="shared" si="22"/>
        <v>38</v>
      </c>
      <c r="J48" s="73">
        <f t="shared" si="4"/>
        <v>2024</v>
      </c>
      <c r="K48" s="82" t="str">
        <f t="shared" si="23"/>
        <v/>
      </c>
    </row>
    <row r="49" spans="2:11" hidden="1" outlineLevel="1">
      <c r="B49" s="74">
        <f t="shared" si="3"/>
        <v>45658</v>
      </c>
      <c r="C49" s="69">
        <f>IF(F49&lt;&gt;0,-INDEX([11]Delta!$F$1:$EE$997,$L$13,$I49),0)</f>
        <v>0</v>
      </c>
      <c r="D49" s="70">
        <f>IF(F49&lt;&gt;0,VLOOKUP($J49,'Table 1'!$B$13:$C$33,2,FALSE)/12*1000*Study_MW,0)</f>
        <v>0</v>
      </c>
      <c r="E49" s="70">
        <f t="shared" si="16"/>
        <v>0</v>
      </c>
      <c r="F49" s="69">
        <f>INDEX([11]Delta!$F$1:$EE$997,$L$14,$I49)</f>
        <v>0</v>
      </c>
      <c r="G49" s="72" t="e">
        <f t="shared" si="11"/>
        <v>#DIV/0!</v>
      </c>
      <c r="I49" s="60">
        <f>I37+13</f>
        <v>40</v>
      </c>
      <c r="J49" s="73">
        <f t="shared" si="4"/>
        <v>2025</v>
      </c>
      <c r="K49" s="74" t="str">
        <f t="shared" si="23"/>
        <v/>
      </c>
    </row>
    <row r="50" spans="2:11" hidden="1" outlineLevel="1">
      <c r="B50" s="78">
        <f t="shared" si="3"/>
        <v>45689</v>
      </c>
      <c r="C50" s="75">
        <f>IF(F50&lt;&gt;0,-INDEX([11]Delta!$F$1:$EE$997,$L$13,$I50),0)</f>
        <v>0</v>
      </c>
      <c r="D50" s="71">
        <f>IF(F50&lt;&gt;0,VLOOKUP($J50,'Table 1'!$B$13:$C$33,2,FALSE)/12*1000*Study_MW,0)</f>
        <v>0</v>
      </c>
      <c r="E50" s="71">
        <f t="shared" si="16"/>
        <v>0</v>
      </c>
      <c r="F50" s="75">
        <f>INDEX([11]Delta!$F$1:$EE$997,$L$14,$I50)</f>
        <v>0</v>
      </c>
      <c r="G50" s="76" t="e">
        <f t="shared" si="11"/>
        <v>#DIV/0!</v>
      </c>
      <c r="I50" s="77">
        <f t="shared" si="22"/>
        <v>41</v>
      </c>
      <c r="J50" s="73">
        <f t="shared" si="4"/>
        <v>2025</v>
      </c>
      <c r="K50" s="78" t="str">
        <f t="shared" si="23"/>
        <v/>
      </c>
    </row>
    <row r="51" spans="2:11" hidden="1" outlineLevel="1">
      <c r="B51" s="78">
        <f t="shared" si="3"/>
        <v>45717</v>
      </c>
      <c r="C51" s="75">
        <f>IF(F51&lt;&gt;0,-INDEX([11]Delta!$F$1:$EE$997,$L$13,$I51),0)</f>
        <v>0</v>
      </c>
      <c r="D51" s="71">
        <f>IF(F51&lt;&gt;0,VLOOKUP($J51,'Table 1'!$B$13:$C$33,2,FALSE)/12*1000*Study_MW,0)</f>
        <v>0</v>
      </c>
      <c r="E51" s="71">
        <f t="shared" si="16"/>
        <v>0</v>
      </c>
      <c r="F51" s="75">
        <f>INDEX([11]Delta!$F$1:$EE$997,$L$14,$I51)</f>
        <v>0</v>
      </c>
      <c r="G51" s="76" t="e">
        <f t="shared" si="11"/>
        <v>#DIV/0!</v>
      </c>
      <c r="I51" s="77">
        <f t="shared" si="22"/>
        <v>42</v>
      </c>
      <c r="J51" s="73">
        <f t="shared" si="4"/>
        <v>2025</v>
      </c>
      <c r="K51" s="78" t="str">
        <f t="shared" si="23"/>
        <v/>
      </c>
    </row>
    <row r="52" spans="2:11" hidden="1" outlineLevel="1">
      <c r="B52" s="78">
        <f t="shared" si="3"/>
        <v>45748</v>
      </c>
      <c r="C52" s="75">
        <f>IF(F52&lt;&gt;0,-INDEX([11]Delta!$F$1:$EE$997,$L$13,$I52),0)</f>
        <v>0</v>
      </c>
      <c r="D52" s="71">
        <f>IF(F52&lt;&gt;0,VLOOKUP($J52,'Table 1'!$B$13:$C$33,2,FALSE)/12*1000*Study_MW,0)</f>
        <v>0</v>
      </c>
      <c r="E52" s="71">
        <f t="shared" si="16"/>
        <v>0</v>
      </c>
      <c r="F52" s="75">
        <f>INDEX([11]Delta!$F$1:$EE$997,$L$14,$I52)</f>
        <v>0</v>
      </c>
      <c r="G52" s="76" t="e">
        <f t="shared" si="11"/>
        <v>#DIV/0!</v>
      </c>
      <c r="I52" s="77">
        <f t="shared" si="22"/>
        <v>43</v>
      </c>
      <c r="J52" s="73">
        <f t="shared" si="4"/>
        <v>2025</v>
      </c>
      <c r="K52" s="78" t="str">
        <f t="shared" si="23"/>
        <v/>
      </c>
    </row>
    <row r="53" spans="2:11" hidden="1" outlineLevel="1">
      <c r="B53" s="78">
        <f t="shared" si="3"/>
        <v>45778</v>
      </c>
      <c r="C53" s="75">
        <f>IF(F53&lt;&gt;0,-INDEX([11]Delta!$F$1:$EE$997,$L$13,$I53),0)</f>
        <v>0</v>
      </c>
      <c r="D53" s="71">
        <f>IF(F53&lt;&gt;0,VLOOKUP($J53,'Table 1'!$B$13:$C$33,2,FALSE)/12*1000*Study_MW,0)</f>
        <v>0</v>
      </c>
      <c r="E53" s="71">
        <f t="shared" si="16"/>
        <v>0</v>
      </c>
      <c r="F53" s="75">
        <f>INDEX([11]Delta!$F$1:$EE$997,$L$14,$I53)</f>
        <v>0</v>
      </c>
      <c r="G53" s="76" t="e">
        <f t="shared" si="11"/>
        <v>#DIV/0!</v>
      </c>
      <c r="I53" s="77">
        <f t="shared" si="22"/>
        <v>44</v>
      </c>
      <c r="J53" s="73">
        <f t="shared" si="4"/>
        <v>2025</v>
      </c>
      <c r="K53" s="78" t="str">
        <f t="shared" si="23"/>
        <v/>
      </c>
    </row>
    <row r="54" spans="2:11" hidden="1" outlineLevel="1">
      <c r="B54" s="78">
        <f t="shared" si="3"/>
        <v>45809</v>
      </c>
      <c r="C54" s="75">
        <f>IF(F54&lt;&gt;0,-INDEX([11]Delta!$F$1:$EE$997,$L$13,$I54),0)</f>
        <v>0</v>
      </c>
      <c r="D54" s="71">
        <f>IF(F54&lt;&gt;0,VLOOKUP($J54,'Table 1'!$B$13:$C$33,2,FALSE)/12*1000*Study_MW,0)</f>
        <v>0</v>
      </c>
      <c r="E54" s="71">
        <f t="shared" si="16"/>
        <v>0</v>
      </c>
      <c r="F54" s="75">
        <f>INDEX([11]Delta!$F$1:$EE$997,$L$14,$I54)</f>
        <v>0</v>
      </c>
      <c r="G54" s="76" t="e">
        <f t="shared" si="11"/>
        <v>#DIV/0!</v>
      </c>
      <c r="I54" s="77">
        <f t="shared" si="22"/>
        <v>45</v>
      </c>
      <c r="J54" s="73">
        <f t="shared" si="4"/>
        <v>2025</v>
      </c>
      <c r="K54" s="78" t="str">
        <f t="shared" si="23"/>
        <v/>
      </c>
    </row>
    <row r="55" spans="2:11" hidden="1" outlineLevel="1">
      <c r="B55" s="78">
        <f t="shared" si="3"/>
        <v>45839</v>
      </c>
      <c r="C55" s="75">
        <f>IF(F55&lt;&gt;0,-INDEX([11]Delta!$F$1:$EE$997,$L$13,$I55),0)</f>
        <v>0</v>
      </c>
      <c r="D55" s="71">
        <f>IF(F55&lt;&gt;0,VLOOKUP($J55,'Table 1'!$B$13:$C$33,2,FALSE)/12*1000*Study_MW,0)</f>
        <v>0</v>
      </c>
      <c r="E55" s="71">
        <f t="shared" si="16"/>
        <v>0</v>
      </c>
      <c r="F55" s="75">
        <f>INDEX([11]Delta!$F$1:$EE$997,$L$14,$I55)</f>
        <v>0</v>
      </c>
      <c r="G55" s="76" t="e">
        <f t="shared" si="11"/>
        <v>#DIV/0!</v>
      </c>
      <c r="I55" s="77">
        <f t="shared" si="22"/>
        <v>46</v>
      </c>
      <c r="J55" s="73">
        <f t="shared" si="4"/>
        <v>2025</v>
      </c>
      <c r="K55" s="78" t="str">
        <f t="shared" si="23"/>
        <v/>
      </c>
    </row>
    <row r="56" spans="2:11" hidden="1" outlineLevel="1">
      <c r="B56" s="78">
        <f t="shared" si="3"/>
        <v>45870</v>
      </c>
      <c r="C56" s="75">
        <f>IF(F56&lt;&gt;0,-INDEX([11]Delta!$F$1:$EE$997,$L$13,$I56),0)</f>
        <v>0</v>
      </c>
      <c r="D56" s="71">
        <f>IF(F56&lt;&gt;0,VLOOKUP($J56,'Table 1'!$B$13:$C$33,2,FALSE)/12*1000*Study_MW,0)</f>
        <v>0</v>
      </c>
      <c r="E56" s="71">
        <f t="shared" si="16"/>
        <v>0</v>
      </c>
      <c r="F56" s="75">
        <f>INDEX([11]Delta!$F$1:$EE$997,$L$14,$I56)</f>
        <v>0</v>
      </c>
      <c r="G56" s="76" t="e">
        <f t="shared" si="11"/>
        <v>#DIV/0!</v>
      </c>
      <c r="I56" s="77">
        <f t="shared" si="22"/>
        <v>47</v>
      </c>
      <c r="J56" s="73">
        <f t="shared" si="4"/>
        <v>2025</v>
      </c>
      <c r="K56" s="78" t="str">
        <f t="shared" si="23"/>
        <v/>
      </c>
    </row>
    <row r="57" spans="2:11" hidden="1" outlineLevel="1">
      <c r="B57" s="78">
        <f t="shared" si="3"/>
        <v>45901</v>
      </c>
      <c r="C57" s="75">
        <f>IF(F57&lt;&gt;0,-INDEX([11]Delta!$F$1:$EE$997,$L$13,$I57),0)</f>
        <v>0</v>
      </c>
      <c r="D57" s="71">
        <f>IF(F57&lt;&gt;0,VLOOKUP($J57,'Table 1'!$B$13:$C$33,2,FALSE)/12*1000*Study_MW,0)</f>
        <v>0</v>
      </c>
      <c r="E57" s="71">
        <f t="shared" si="16"/>
        <v>0</v>
      </c>
      <c r="F57" s="75">
        <f>INDEX([11]Delta!$F$1:$EE$997,$L$14,$I57)</f>
        <v>0</v>
      </c>
      <c r="G57" s="76" t="e">
        <f t="shared" si="11"/>
        <v>#DIV/0!</v>
      </c>
      <c r="I57" s="77">
        <f t="shared" si="22"/>
        <v>48</v>
      </c>
      <c r="J57" s="73">
        <f t="shared" si="4"/>
        <v>2025</v>
      </c>
      <c r="K57" s="78" t="str">
        <f t="shared" si="23"/>
        <v/>
      </c>
    </row>
    <row r="58" spans="2:11" hidden="1" outlineLevel="1">
      <c r="B58" s="78">
        <f t="shared" si="3"/>
        <v>45931</v>
      </c>
      <c r="C58" s="75">
        <f>IF(F58&lt;&gt;0,-INDEX([11]Delta!$F$1:$EE$997,$L$13,$I58),0)</f>
        <v>0</v>
      </c>
      <c r="D58" s="71">
        <f>IF(F58&lt;&gt;0,VLOOKUP($J58,'Table 1'!$B$13:$C$33,2,FALSE)/12*1000*Study_MW,0)</f>
        <v>0</v>
      </c>
      <c r="E58" s="71">
        <f t="shared" si="16"/>
        <v>0</v>
      </c>
      <c r="F58" s="75">
        <f>INDEX([11]Delta!$F$1:$EE$997,$L$14,$I58)</f>
        <v>0</v>
      </c>
      <c r="G58" s="76" t="e">
        <f t="shared" si="11"/>
        <v>#DIV/0!</v>
      </c>
      <c r="I58" s="77">
        <f t="shared" si="22"/>
        <v>49</v>
      </c>
      <c r="J58" s="73">
        <f t="shared" si="4"/>
        <v>2025</v>
      </c>
      <c r="K58" s="78" t="str">
        <f t="shared" si="23"/>
        <v/>
      </c>
    </row>
    <row r="59" spans="2:11" hidden="1" outlineLevel="1">
      <c r="B59" s="78">
        <f t="shared" si="3"/>
        <v>45962</v>
      </c>
      <c r="C59" s="75">
        <f>IF(F59&lt;&gt;0,-INDEX([11]Delta!$F$1:$EE$997,$L$13,$I59),0)</f>
        <v>0</v>
      </c>
      <c r="D59" s="71">
        <f>IF(F59&lt;&gt;0,VLOOKUP($J59,'Table 1'!$B$13:$C$33,2,FALSE)/12*1000*Study_MW,0)</f>
        <v>0</v>
      </c>
      <c r="E59" s="71">
        <f t="shared" si="16"/>
        <v>0</v>
      </c>
      <c r="F59" s="75">
        <f>INDEX([11]Delta!$F$1:$EE$997,$L$14,$I59)</f>
        <v>0</v>
      </c>
      <c r="G59" s="76" t="e">
        <f t="shared" si="11"/>
        <v>#DIV/0!</v>
      </c>
      <c r="I59" s="77">
        <f t="shared" si="22"/>
        <v>50</v>
      </c>
      <c r="J59" s="73">
        <f t="shared" si="4"/>
        <v>2025</v>
      </c>
      <c r="K59" s="78" t="str">
        <f t="shared" si="23"/>
        <v/>
      </c>
    </row>
    <row r="60" spans="2:11" hidden="1" outlineLevel="1">
      <c r="B60" s="82">
        <f t="shared" si="3"/>
        <v>45992</v>
      </c>
      <c r="C60" s="79">
        <f>IF(F60&lt;&gt;0,-INDEX([11]Delta!$F$1:$EE$997,$L$13,$I60),0)</f>
        <v>0</v>
      </c>
      <c r="D60" s="80">
        <f>IF(F60&lt;&gt;0,VLOOKUP($J60,'Table 1'!$B$13:$C$33,2,FALSE)/12*1000*Study_MW,0)</f>
        <v>0</v>
      </c>
      <c r="E60" s="80">
        <f t="shared" si="16"/>
        <v>0</v>
      </c>
      <c r="F60" s="79">
        <f>INDEX([11]Delta!$F$1:$EE$997,$L$14,$I60)</f>
        <v>0</v>
      </c>
      <c r="G60" s="81" t="e">
        <f t="shared" si="11"/>
        <v>#DIV/0!</v>
      </c>
      <c r="I60" s="64">
        <f t="shared" si="22"/>
        <v>51</v>
      </c>
      <c r="J60" s="73">
        <f t="shared" si="4"/>
        <v>2025</v>
      </c>
      <c r="K60" s="82" t="str">
        <f t="shared" si="23"/>
        <v/>
      </c>
    </row>
    <row r="61" spans="2:11" hidden="1" outlineLevel="1">
      <c r="B61" s="74">
        <f t="shared" si="3"/>
        <v>46023</v>
      </c>
      <c r="C61" s="69">
        <f>IF(F61&lt;&gt;0,-INDEX([11]Delta!$F$1:$EE$997,$L$13,$I61),0)</f>
        <v>0</v>
      </c>
      <c r="D61" s="70">
        <f>IF(F61&lt;&gt;0,VLOOKUP($J61,'Table 1'!$B$13:$C$33,2,FALSE)/12*1000*Study_MW,0)</f>
        <v>0</v>
      </c>
      <c r="E61" s="70">
        <f t="shared" si="16"/>
        <v>0</v>
      </c>
      <c r="F61" s="69">
        <f>INDEX([11]Delta!$F$1:$EE$997,$L$14,$I61)</f>
        <v>0</v>
      </c>
      <c r="G61" s="72" t="e">
        <f t="shared" si="11"/>
        <v>#DIV/0!</v>
      </c>
      <c r="I61" s="60">
        <f>I49+13</f>
        <v>53</v>
      </c>
      <c r="J61" s="73">
        <f t="shared" si="4"/>
        <v>2026</v>
      </c>
      <c r="K61" s="74" t="str">
        <f t="shared" si="23"/>
        <v/>
      </c>
    </row>
    <row r="62" spans="2:11" hidden="1" outlineLevel="1">
      <c r="B62" s="78">
        <f t="shared" si="3"/>
        <v>46054</v>
      </c>
      <c r="C62" s="75">
        <f>IF(F62&lt;&gt;0,-INDEX([11]Delta!$F$1:$EE$997,$L$13,$I62),0)</f>
        <v>0</v>
      </c>
      <c r="D62" s="71">
        <f>IF(F62&lt;&gt;0,VLOOKUP($J62,'Table 1'!$B$13:$C$33,2,FALSE)/12*1000*Study_MW,0)</f>
        <v>0</v>
      </c>
      <c r="E62" s="71">
        <f t="shared" si="16"/>
        <v>0</v>
      </c>
      <c r="F62" s="75">
        <f>INDEX([11]Delta!$F$1:$EE$997,$L$14,$I62)</f>
        <v>0</v>
      </c>
      <c r="G62" s="76" t="e">
        <f t="shared" si="11"/>
        <v>#DIV/0!</v>
      </c>
      <c r="I62" s="77">
        <f t="shared" si="22"/>
        <v>54</v>
      </c>
      <c r="J62" s="73">
        <f t="shared" si="4"/>
        <v>2026</v>
      </c>
      <c r="K62" s="78" t="str">
        <f t="shared" si="23"/>
        <v/>
      </c>
    </row>
    <row r="63" spans="2:11" hidden="1" outlineLevel="1">
      <c r="B63" s="78">
        <f t="shared" si="3"/>
        <v>46082</v>
      </c>
      <c r="C63" s="75">
        <f>IF(F63&lt;&gt;0,-INDEX([11]Delta!$F$1:$EE$997,$L$13,$I63),0)</f>
        <v>0</v>
      </c>
      <c r="D63" s="71">
        <f>IF(F63&lt;&gt;0,VLOOKUP($J63,'Table 1'!$B$13:$C$33,2,FALSE)/12*1000*Study_MW,0)</f>
        <v>0</v>
      </c>
      <c r="E63" s="71">
        <f t="shared" si="16"/>
        <v>0</v>
      </c>
      <c r="F63" s="75">
        <f>INDEX([11]Delta!$F$1:$EE$997,$L$14,$I63)</f>
        <v>0</v>
      </c>
      <c r="G63" s="76" t="e">
        <f t="shared" si="11"/>
        <v>#DIV/0!</v>
      </c>
      <c r="I63" s="77">
        <f t="shared" si="22"/>
        <v>55</v>
      </c>
      <c r="J63" s="73">
        <f t="shared" si="4"/>
        <v>2026</v>
      </c>
      <c r="K63" s="78" t="str">
        <f t="shared" si="23"/>
        <v/>
      </c>
    </row>
    <row r="64" spans="2:11" hidden="1" outlineLevel="1">
      <c r="B64" s="78">
        <f t="shared" si="3"/>
        <v>46113</v>
      </c>
      <c r="C64" s="75">
        <f>IF(F64&lt;&gt;0,-INDEX([11]Delta!$F$1:$EE$997,$L$13,$I64),0)</f>
        <v>0</v>
      </c>
      <c r="D64" s="71">
        <f>IF(F64&lt;&gt;0,VLOOKUP($J64,'Table 1'!$B$13:$C$33,2,FALSE)/12*1000*Study_MW,0)</f>
        <v>0</v>
      </c>
      <c r="E64" s="71">
        <f t="shared" si="16"/>
        <v>0</v>
      </c>
      <c r="F64" s="75">
        <f>INDEX([11]Delta!$F$1:$EE$997,$L$14,$I64)</f>
        <v>0</v>
      </c>
      <c r="G64" s="76" t="e">
        <f t="shared" si="11"/>
        <v>#DIV/0!</v>
      </c>
      <c r="I64" s="77">
        <f t="shared" si="22"/>
        <v>56</v>
      </c>
      <c r="J64" s="73">
        <f t="shared" si="4"/>
        <v>2026</v>
      </c>
      <c r="K64" s="78" t="str">
        <f t="shared" si="23"/>
        <v/>
      </c>
    </row>
    <row r="65" spans="2:11" hidden="1" outlineLevel="1">
      <c r="B65" s="78">
        <f t="shared" si="3"/>
        <v>46143</v>
      </c>
      <c r="C65" s="75">
        <f>IF(F65&lt;&gt;0,-INDEX([11]Delta!$F$1:$EE$997,$L$13,$I65),0)</f>
        <v>0</v>
      </c>
      <c r="D65" s="71">
        <f>IF(F65&lt;&gt;0,VLOOKUP($J65,'Table 1'!$B$13:$C$33,2,FALSE)/12*1000*Study_MW,0)</f>
        <v>0</v>
      </c>
      <c r="E65" s="71">
        <f t="shared" si="16"/>
        <v>0</v>
      </c>
      <c r="F65" s="75">
        <f>INDEX([11]Delta!$F$1:$EE$997,$L$14,$I65)</f>
        <v>0</v>
      </c>
      <c r="G65" s="76" t="e">
        <f t="shared" si="11"/>
        <v>#DIV/0!</v>
      </c>
      <c r="I65" s="77">
        <f t="shared" si="22"/>
        <v>57</v>
      </c>
      <c r="J65" s="73">
        <f t="shared" si="4"/>
        <v>2026</v>
      </c>
      <c r="K65" s="78" t="str">
        <f t="shared" si="23"/>
        <v/>
      </c>
    </row>
    <row r="66" spans="2:11" hidden="1" outlineLevel="1">
      <c r="B66" s="78">
        <f t="shared" si="3"/>
        <v>46174</v>
      </c>
      <c r="C66" s="75">
        <f>IF(F66&lt;&gt;0,-INDEX([11]Delta!$F$1:$EE$997,$L$13,$I66),0)</f>
        <v>0</v>
      </c>
      <c r="D66" s="71">
        <f>IF(F66&lt;&gt;0,VLOOKUP($J66,'Table 1'!$B$13:$C$33,2,FALSE)/12*1000*Study_MW,0)</f>
        <v>0</v>
      </c>
      <c r="E66" s="71">
        <f t="shared" si="16"/>
        <v>0</v>
      </c>
      <c r="F66" s="75">
        <f>INDEX([11]Delta!$F$1:$EE$997,$L$14,$I66)</f>
        <v>0</v>
      </c>
      <c r="G66" s="76" t="e">
        <f t="shared" si="11"/>
        <v>#DIV/0!</v>
      </c>
      <c r="I66" s="77">
        <f t="shared" si="22"/>
        <v>58</v>
      </c>
      <c r="J66" s="73">
        <f t="shared" si="4"/>
        <v>2026</v>
      </c>
      <c r="K66" s="78" t="str">
        <f t="shared" si="23"/>
        <v/>
      </c>
    </row>
    <row r="67" spans="2:11" hidden="1" outlineLevel="1">
      <c r="B67" s="78">
        <f t="shared" si="3"/>
        <v>46204</v>
      </c>
      <c r="C67" s="75">
        <f>IF(F67&lt;&gt;0,-INDEX([11]Delta!$F$1:$EE$997,$L$13,$I67),0)</f>
        <v>0</v>
      </c>
      <c r="D67" s="71">
        <f>IF(F67&lt;&gt;0,VLOOKUP($J67,'Table 1'!$B$13:$C$33,2,FALSE)/12*1000*Study_MW,0)</f>
        <v>0</v>
      </c>
      <c r="E67" s="71">
        <f t="shared" si="16"/>
        <v>0</v>
      </c>
      <c r="F67" s="75">
        <f>INDEX([11]Delta!$F$1:$EE$997,$L$14,$I67)</f>
        <v>0</v>
      </c>
      <c r="G67" s="76" t="e">
        <f t="shared" si="11"/>
        <v>#DIV/0!</v>
      </c>
      <c r="I67" s="77">
        <f t="shared" si="22"/>
        <v>59</v>
      </c>
      <c r="J67" s="73">
        <f t="shared" si="4"/>
        <v>2026</v>
      </c>
      <c r="K67" s="78" t="str">
        <f t="shared" si="23"/>
        <v/>
      </c>
    </row>
    <row r="68" spans="2:11" hidden="1" outlineLevel="1">
      <c r="B68" s="78">
        <f t="shared" si="3"/>
        <v>46235</v>
      </c>
      <c r="C68" s="75">
        <f>IF(F68&lt;&gt;0,-INDEX([11]Delta!$F$1:$EE$997,$L$13,$I68),0)</f>
        <v>0</v>
      </c>
      <c r="D68" s="71">
        <f>IF(F68&lt;&gt;0,VLOOKUP($J68,'Table 1'!$B$13:$C$33,2,FALSE)/12*1000*Study_MW,0)</f>
        <v>0</v>
      </c>
      <c r="E68" s="71">
        <f t="shared" si="16"/>
        <v>0</v>
      </c>
      <c r="F68" s="75">
        <f>INDEX([11]Delta!$F$1:$EE$997,$L$14,$I68)</f>
        <v>0</v>
      </c>
      <c r="G68" s="76" t="e">
        <f t="shared" si="11"/>
        <v>#DIV/0!</v>
      </c>
      <c r="I68" s="77">
        <f t="shared" si="22"/>
        <v>60</v>
      </c>
      <c r="J68" s="73">
        <f t="shared" si="4"/>
        <v>2026</v>
      </c>
      <c r="K68" s="78" t="str">
        <f t="shared" si="23"/>
        <v/>
      </c>
    </row>
    <row r="69" spans="2:11" hidden="1" outlineLevel="1">
      <c r="B69" s="78">
        <f t="shared" si="3"/>
        <v>46266</v>
      </c>
      <c r="C69" s="75">
        <f>IF(F69&lt;&gt;0,-INDEX([11]Delta!$F$1:$EE$997,$L$13,$I69),0)</f>
        <v>0</v>
      </c>
      <c r="D69" s="71">
        <f>IF(F69&lt;&gt;0,VLOOKUP($J69,'Table 1'!$B$13:$C$33,2,FALSE)/12*1000*Study_MW,0)</f>
        <v>0</v>
      </c>
      <c r="E69" s="71">
        <f t="shared" si="16"/>
        <v>0</v>
      </c>
      <c r="F69" s="75">
        <f>INDEX([11]Delta!$F$1:$EE$997,$L$14,$I69)</f>
        <v>0</v>
      </c>
      <c r="G69" s="76" t="e">
        <f t="shared" si="11"/>
        <v>#DIV/0!</v>
      </c>
      <c r="I69" s="77">
        <f t="shared" si="22"/>
        <v>61</v>
      </c>
      <c r="J69" s="73">
        <f t="shared" si="4"/>
        <v>2026</v>
      </c>
      <c r="K69" s="78" t="str">
        <f t="shared" si="23"/>
        <v/>
      </c>
    </row>
    <row r="70" spans="2:11" hidden="1" outlineLevel="1">
      <c r="B70" s="78">
        <f t="shared" si="3"/>
        <v>46296</v>
      </c>
      <c r="C70" s="75">
        <f>IF(F70&lt;&gt;0,-INDEX([11]Delta!$F$1:$EE$997,$L$13,$I70),0)</f>
        <v>0</v>
      </c>
      <c r="D70" s="71">
        <f>IF(F70&lt;&gt;0,VLOOKUP($J70,'Table 1'!$B$13:$C$33,2,FALSE)/12*1000*Study_MW,0)</f>
        <v>0</v>
      </c>
      <c r="E70" s="71">
        <f t="shared" si="16"/>
        <v>0</v>
      </c>
      <c r="F70" s="75">
        <f>INDEX([11]Delta!$F$1:$EE$997,$L$14,$I70)</f>
        <v>0</v>
      </c>
      <c r="G70" s="76" t="e">
        <f t="shared" si="11"/>
        <v>#DIV/0!</v>
      </c>
      <c r="I70" s="77">
        <f t="shared" si="22"/>
        <v>62</v>
      </c>
      <c r="J70" s="73">
        <f t="shared" si="4"/>
        <v>2026</v>
      </c>
      <c r="K70" s="78" t="str">
        <f t="shared" si="23"/>
        <v/>
      </c>
    </row>
    <row r="71" spans="2:11" hidden="1" outlineLevel="1">
      <c r="B71" s="78">
        <f t="shared" si="3"/>
        <v>46327</v>
      </c>
      <c r="C71" s="75">
        <f>IF(F71&lt;&gt;0,-INDEX([11]Delta!$F$1:$EE$997,$L$13,$I71),0)</f>
        <v>0</v>
      </c>
      <c r="D71" s="71">
        <f>IF(F71&lt;&gt;0,VLOOKUP($J71,'Table 1'!$B$13:$C$33,2,FALSE)/12*1000*Study_MW,0)</f>
        <v>0</v>
      </c>
      <c r="E71" s="71">
        <f t="shared" si="16"/>
        <v>0</v>
      </c>
      <c r="F71" s="75">
        <f>INDEX([11]Delta!$F$1:$EE$997,$L$14,$I71)</f>
        <v>0</v>
      </c>
      <c r="G71" s="76" t="e">
        <f t="shared" si="11"/>
        <v>#DIV/0!</v>
      </c>
      <c r="I71" s="77">
        <f t="shared" si="22"/>
        <v>63</v>
      </c>
      <c r="J71" s="73">
        <f t="shared" si="4"/>
        <v>2026</v>
      </c>
      <c r="K71" s="78" t="str">
        <f t="shared" si="23"/>
        <v/>
      </c>
    </row>
    <row r="72" spans="2:11" hidden="1" outlineLevel="1">
      <c r="B72" s="82">
        <f t="shared" si="3"/>
        <v>46357</v>
      </c>
      <c r="C72" s="79">
        <f>IF(F72&lt;&gt;0,-INDEX([11]Delta!$F$1:$EE$997,$L$13,$I72),0)</f>
        <v>0</v>
      </c>
      <c r="D72" s="80">
        <f>IF(F72&lt;&gt;0,VLOOKUP($J72,'Table 1'!$B$13:$C$33,2,FALSE)/12*1000*Study_MW,0)</f>
        <v>0</v>
      </c>
      <c r="E72" s="80">
        <f t="shared" si="16"/>
        <v>0</v>
      </c>
      <c r="F72" s="79">
        <f>INDEX([11]Delta!$F$1:$EE$997,$L$14,$I72)</f>
        <v>0</v>
      </c>
      <c r="G72" s="81" t="e">
        <f t="shared" si="11"/>
        <v>#DIV/0!</v>
      </c>
      <c r="I72" s="64">
        <f t="shared" si="22"/>
        <v>64</v>
      </c>
      <c r="J72" s="73">
        <f t="shared" si="4"/>
        <v>2026</v>
      </c>
      <c r="K72" s="82" t="str">
        <f t="shared" si="23"/>
        <v/>
      </c>
    </row>
    <row r="73" spans="2:11" hidden="1" outlineLevel="1">
      <c r="B73" s="74">
        <f t="shared" si="3"/>
        <v>46388</v>
      </c>
      <c r="C73" s="69">
        <f>IF(F73&lt;&gt;0,-INDEX([11]Delta!$F$1:$EE$997,$L$13,$I73),0)</f>
        <v>0</v>
      </c>
      <c r="D73" s="70">
        <f>IF(F73&lt;&gt;0,VLOOKUP($J73,'Table 1'!$B$13:$C$33,2,FALSE)/12*1000*Study_MW,0)</f>
        <v>0</v>
      </c>
      <c r="E73" s="70">
        <f t="shared" si="16"/>
        <v>0</v>
      </c>
      <c r="F73" s="69">
        <f>INDEX([11]Delta!$F$1:$EE$997,$L$14,$I73)</f>
        <v>0</v>
      </c>
      <c r="G73" s="72" t="e">
        <f t="shared" si="11"/>
        <v>#DIV/0!</v>
      </c>
      <c r="I73" s="60">
        <f>I61+13</f>
        <v>66</v>
      </c>
      <c r="J73" s="73">
        <f t="shared" si="4"/>
        <v>2027</v>
      </c>
      <c r="K73" s="74" t="str">
        <f t="shared" si="23"/>
        <v/>
      </c>
    </row>
    <row r="74" spans="2:11" hidden="1" outlineLevel="1">
      <c r="B74" s="78">
        <f t="shared" si="3"/>
        <v>46419</v>
      </c>
      <c r="C74" s="75">
        <f>IF(F74&lt;&gt;0,-INDEX([11]Delta!$F$1:$EE$997,$L$13,$I74),0)</f>
        <v>0</v>
      </c>
      <c r="D74" s="71">
        <f>IF(F74&lt;&gt;0,VLOOKUP($J74,'Table 1'!$B$13:$C$33,2,FALSE)/12*1000*Study_MW,0)</f>
        <v>0</v>
      </c>
      <c r="E74" s="71">
        <f t="shared" si="16"/>
        <v>0</v>
      </c>
      <c r="F74" s="75">
        <f>INDEX([11]Delta!$F$1:$EE$997,$L$14,$I74)</f>
        <v>0</v>
      </c>
      <c r="G74" s="76" t="e">
        <f t="shared" si="11"/>
        <v>#DIV/0!</v>
      </c>
      <c r="I74" s="77">
        <f t="shared" si="22"/>
        <v>67</v>
      </c>
      <c r="J74" s="73">
        <f t="shared" si="4"/>
        <v>2027</v>
      </c>
      <c r="K74" s="78" t="str">
        <f t="shared" si="23"/>
        <v/>
      </c>
    </row>
    <row r="75" spans="2:11" hidden="1" outlineLevel="1">
      <c r="B75" s="78">
        <f t="shared" si="3"/>
        <v>46447</v>
      </c>
      <c r="C75" s="75">
        <f>IF(F75&lt;&gt;0,-INDEX([11]Delta!$F$1:$EE$997,$L$13,$I75),0)</f>
        <v>0</v>
      </c>
      <c r="D75" s="71">
        <f>IF(F75&lt;&gt;0,VLOOKUP($J75,'Table 1'!$B$13:$C$33,2,FALSE)/12*1000*Study_MW,0)</f>
        <v>0</v>
      </c>
      <c r="E75" s="71">
        <f t="shared" si="16"/>
        <v>0</v>
      </c>
      <c r="F75" s="75">
        <f>INDEX([11]Delta!$F$1:$EE$997,$L$14,$I75)</f>
        <v>0</v>
      </c>
      <c r="G75" s="76" t="e">
        <f t="shared" si="11"/>
        <v>#DIV/0!</v>
      </c>
      <c r="I75" s="77">
        <f t="shared" si="22"/>
        <v>68</v>
      </c>
      <c r="J75" s="73">
        <f t="shared" si="4"/>
        <v>2027</v>
      </c>
      <c r="K75" s="78" t="str">
        <f t="shared" si="23"/>
        <v/>
      </c>
    </row>
    <row r="76" spans="2:11" hidden="1" outlineLevel="1">
      <c r="B76" s="78">
        <f t="shared" si="3"/>
        <v>46478</v>
      </c>
      <c r="C76" s="75">
        <f>IF(F76&lt;&gt;0,-INDEX([11]Delta!$F$1:$EE$997,$L$13,$I76),0)</f>
        <v>0</v>
      </c>
      <c r="D76" s="71">
        <f>IF(F76&lt;&gt;0,VLOOKUP($J76,'Table 1'!$B$13:$C$33,2,FALSE)/12*1000*Study_MW,0)</f>
        <v>0</v>
      </c>
      <c r="E76" s="71">
        <f t="shared" si="16"/>
        <v>0</v>
      </c>
      <c r="F76" s="75">
        <f>INDEX([11]Delta!$F$1:$EE$997,$L$14,$I76)</f>
        <v>0</v>
      </c>
      <c r="G76" s="76" t="e">
        <f t="shared" si="11"/>
        <v>#DIV/0!</v>
      </c>
      <c r="I76" s="77">
        <f t="shared" si="22"/>
        <v>69</v>
      </c>
      <c r="J76" s="73">
        <f t="shared" si="4"/>
        <v>2027</v>
      </c>
      <c r="K76" s="78" t="str">
        <f t="shared" si="23"/>
        <v/>
      </c>
    </row>
    <row r="77" spans="2:11" hidden="1" outlineLevel="1">
      <c r="B77" s="78">
        <f t="shared" si="3"/>
        <v>46508</v>
      </c>
      <c r="C77" s="75">
        <f>IF(F77&lt;&gt;0,-INDEX([11]Delta!$F$1:$EE$997,$L$13,$I77),0)</f>
        <v>0</v>
      </c>
      <c r="D77" s="71">
        <f>IF(F77&lt;&gt;0,VLOOKUP($J77,'Table 1'!$B$13:$C$33,2,FALSE)/12*1000*Study_MW,0)</f>
        <v>0</v>
      </c>
      <c r="E77" s="71">
        <f t="shared" si="16"/>
        <v>0</v>
      </c>
      <c r="F77" s="75">
        <f>INDEX([11]Delta!$F$1:$EE$997,$L$14,$I77)</f>
        <v>0</v>
      </c>
      <c r="G77" s="76" t="e">
        <f t="shared" si="11"/>
        <v>#DIV/0!</v>
      </c>
      <c r="I77" s="77">
        <f t="shared" si="22"/>
        <v>70</v>
      </c>
      <c r="J77" s="73">
        <f t="shared" si="4"/>
        <v>2027</v>
      </c>
      <c r="K77" s="78" t="str">
        <f t="shared" si="23"/>
        <v/>
      </c>
    </row>
    <row r="78" spans="2:11" hidden="1" outlineLevel="1">
      <c r="B78" s="78">
        <f t="shared" ref="B78:B141" si="49">EDATE(B77,1)</f>
        <v>46539</v>
      </c>
      <c r="C78" s="75">
        <f>IF(F78&lt;&gt;0,-INDEX([11]Delta!$F$1:$EE$997,$L$13,$I78),0)</f>
        <v>0</v>
      </c>
      <c r="D78" s="71">
        <f>IF(F78&lt;&gt;0,VLOOKUP($J78,'Table 1'!$B$13:$C$33,2,FALSE)/12*1000*Study_MW,0)</f>
        <v>0</v>
      </c>
      <c r="E78" s="71">
        <f t="shared" ref="E78:E132" si="50">C78+D78</f>
        <v>0</v>
      </c>
      <c r="F78" s="75">
        <f>INDEX([11]Delta!$F$1:$EE$997,$L$14,$I78)</f>
        <v>0</v>
      </c>
      <c r="G78" s="76" t="e">
        <f t="shared" ref="G78:G132" si="51">IF(ISNUMBER($F78),E78/$F78,"")</f>
        <v>#DIV/0!</v>
      </c>
      <c r="I78" s="77">
        <f t="shared" si="22"/>
        <v>71</v>
      </c>
      <c r="J78" s="73">
        <f t="shared" ref="J78:J141" si="52">YEAR(B78)</f>
        <v>2027</v>
      </c>
      <c r="K78" s="78" t="str">
        <f t="shared" si="23"/>
        <v/>
      </c>
    </row>
    <row r="79" spans="2:11" hidden="1" outlineLevel="1">
      <c r="B79" s="78">
        <f t="shared" si="49"/>
        <v>46569</v>
      </c>
      <c r="C79" s="75">
        <f>IF(F79&lt;&gt;0,-INDEX([11]Delta!$F$1:$EE$997,$L$13,$I79),0)</f>
        <v>0</v>
      </c>
      <c r="D79" s="71">
        <f>IF(F79&lt;&gt;0,VLOOKUP($J79,'Table 1'!$B$13:$C$33,2,FALSE)/12*1000*Study_MW,0)</f>
        <v>0</v>
      </c>
      <c r="E79" s="71">
        <f t="shared" si="50"/>
        <v>0</v>
      </c>
      <c r="F79" s="75">
        <f>INDEX([11]Delta!$F$1:$EE$997,$L$14,$I79)</f>
        <v>0</v>
      </c>
      <c r="G79" s="76" t="e">
        <f t="shared" si="51"/>
        <v>#DIV/0!</v>
      </c>
      <c r="I79" s="77">
        <f t="shared" si="22"/>
        <v>72</v>
      </c>
      <c r="J79" s="73">
        <f t="shared" si="52"/>
        <v>2027</v>
      </c>
      <c r="K79" s="78" t="str">
        <f t="shared" si="23"/>
        <v/>
      </c>
    </row>
    <row r="80" spans="2:11" hidden="1" outlineLevel="1">
      <c r="B80" s="78">
        <f t="shared" si="49"/>
        <v>46600</v>
      </c>
      <c r="C80" s="75">
        <f>IF(F80&lt;&gt;0,-INDEX([11]Delta!$F$1:$EE$997,$L$13,$I80),0)</f>
        <v>0</v>
      </c>
      <c r="D80" s="71">
        <f>IF(F80&lt;&gt;0,VLOOKUP($J80,'Table 1'!$B$13:$C$33,2,FALSE)/12*1000*Study_MW,0)</f>
        <v>0</v>
      </c>
      <c r="E80" s="71">
        <f t="shared" si="50"/>
        <v>0</v>
      </c>
      <c r="F80" s="75">
        <f>INDEX([11]Delta!$F$1:$EE$997,$L$14,$I80)</f>
        <v>0</v>
      </c>
      <c r="G80" s="76" t="e">
        <f t="shared" si="51"/>
        <v>#DIV/0!</v>
      </c>
      <c r="I80" s="77">
        <f t="shared" si="22"/>
        <v>73</v>
      </c>
      <c r="J80" s="73">
        <f t="shared" si="52"/>
        <v>2027</v>
      </c>
      <c r="K80" s="78" t="str">
        <f t="shared" si="23"/>
        <v/>
      </c>
    </row>
    <row r="81" spans="2:11" hidden="1" outlineLevel="1">
      <c r="B81" s="78">
        <f t="shared" si="49"/>
        <v>46631</v>
      </c>
      <c r="C81" s="75">
        <f>IF(F81&lt;&gt;0,-INDEX([11]Delta!$F$1:$EE$997,$L$13,$I81),0)</f>
        <v>0</v>
      </c>
      <c r="D81" s="71">
        <f>IF(F81&lt;&gt;0,VLOOKUP($J81,'Table 1'!$B$13:$C$33,2,FALSE)/12*1000*Study_MW,0)</f>
        <v>0</v>
      </c>
      <c r="E81" s="71">
        <f t="shared" si="50"/>
        <v>0</v>
      </c>
      <c r="F81" s="75">
        <f>INDEX([11]Delta!$F$1:$EE$997,$L$14,$I81)</f>
        <v>0</v>
      </c>
      <c r="G81" s="76" t="e">
        <f t="shared" si="51"/>
        <v>#DIV/0!</v>
      </c>
      <c r="I81" s="77">
        <f t="shared" si="22"/>
        <v>74</v>
      </c>
      <c r="J81" s="73">
        <f t="shared" si="52"/>
        <v>2027</v>
      </c>
      <c r="K81" s="78" t="str">
        <f t="shared" si="23"/>
        <v/>
      </c>
    </row>
    <row r="82" spans="2:11" hidden="1" outlineLevel="1">
      <c r="B82" s="78">
        <f t="shared" si="49"/>
        <v>46661</v>
      </c>
      <c r="C82" s="75">
        <f>IF(F82&lt;&gt;0,-INDEX([11]Delta!$F$1:$EE$997,$L$13,$I82),0)</f>
        <v>0</v>
      </c>
      <c r="D82" s="71">
        <f>IF(F82&lt;&gt;0,VLOOKUP($J82,'Table 1'!$B$13:$C$33,2,FALSE)/12*1000*Study_MW,0)</f>
        <v>0</v>
      </c>
      <c r="E82" s="71">
        <f t="shared" si="50"/>
        <v>0</v>
      </c>
      <c r="F82" s="75">
        <f>INDEX([11]Delta!$F$1:$EE$997,$L$14,$I82)</f>
        <v>0</v>
      </c>
      <c r="G82" s="76" t="e">
        <f t="shared" si="51"/>
        <v>#DIV/0!</v>
      </c>
      <c r="I82" s="77">
        <f t="shared" si="22"/>
        <v>75</v>
      </c>
      <c r="J82" s="73">
        <f t="shared" si="52"/>
        <v>2027</v>
      </c>
      <c r="K82" s="78" t="str">
        <f t="shared" si="23"/>
        <v/>
      </c>
    </row>
    <row r="83" spans="2:11" hidden="1" outlineLevel="1">
      <c r="B83" s="78">
        <f t="shared" si="49"/>
        <v>46692</v>
      </c>
      <c r="C83" s="75">
        <f>IF(F83&lt;&gt;0,-INDEX([11]Delta!$F$1:$EE$997,$L$13,$I83),0)</f>
        <v>0</v>
      </c>
      <c r="D83" s="71">
        <f>IF(F83&lt;&gt;0,VLOOKUP($J83,'Table 1'!$B$13:$C$33,2,FALSE)/12*1000*Study_MW,0)</f>
        <v>0</v>
      </c>
      <c r="E83" s="71">
        <f t="shared" si="50"/>
        <v>0</v>
      </c>
      <c r="F83" s="75">
        <f>INDEX([11]Delta!$F$1:$EE$997,$L$14,$I83)</f>
        <v>0</v>
      </c>
      <c r="G83" s="76" t="e">
        <f t="shared" si="51"/>
        <v>#DIV/0!</v>
      </c>
      <c r="I83" s="77">
        <f t="shared" si="22"/>
        <v>76</v>
      </c>
      <c r="J83" s="73">
        <f t="shared" si="52"/>
        <v>2027</v>
      </c>
      <c r="K83" s="78" t="str">
        <f t="shared" si="23"/>
        <v/>
      </c>
    </row>
    <row r="84" spans="2:11" hidden="1" outlineLevel="1">
      <c r="B84" s="82">
        <f t="shared" si="49"/>
        <v>46722</v>
      </c>
      <c r="C84" s="79">
        <f>IF(F84&lt;&gt;0,-INDEX([11]Delta!$F$1:$EE$997,$L$13,$I84),0)</f>
        <v>0</v>
      </c>
      <c r="D84" s="80">
        <f>IF(F84&lt;&gt;0,VLOOKUP($J84,'Table 1'!$B$13:$C$33,2,FALSE)/12*1000*Study_MW,0)</f>
        <v>0</v>
      </c>
      <c r="E84" s="80">
        <f t="shared" si="50"/>
        <v>0</v>
      </c>
      <c r="F84" s="79">
        <f>INDEX([11]Delta!$F$1:$EE$997,$L$14,$I84)</f>
        <v>0</v>
      </c>
      <c r="G84" s="81" t="e">
        <f t="shared" si="51"/>
        <v>#DIV/0!</v>
      </c>
      <c r="I84" s="64">
        <f t="shared" si="22"/>
        <v>77</v>
      </c>
      <c r="J84" s="73">
        <f t="shared" si="52"/>
        <v>2027</v>
      </c>
      <c r="K84" s="82" t="str">
        <f t="shared" si="23"/>
        <v/>
      </c>
    </row>
    <row r="85" spans="2:11" hidden="1" outlineLevel="1">
      <c r="B85" s="74">
        <f t="shared" si="49"/>
        <v>46753</v>
      </c>
      <c r="C85" s="69">
        <f>IF(F85&lt;&gt;0,-INDEX([11]Delta!$F$1:$EE$997,$L$13,$I85),0)</f>
        <v>0</v>
      </c>
      <c r="D85" s="70">
        <f>IF(F85&lt;&gt;0,VLOOKUP($J85,'Table 1'!$B$13:$C$33,2,FALSE)/12*1000*Study_MW,0)</f>
        <v>0</v>
      </c>
      <c r="E85" s="70">
        <f t="shared" si="50"/>
        <v>0</v>
      </c>
      <c r="F85" s="69">
        <f>INDEX([11]Delta!$F$1:$EE$997,$L$14,$I85)</f>
        <v>0</v>
      </c>
      <c r="G85" s="72" t="e">
        <f t="shared" si="51"/>
        <v>#DIV/0!</v>
      </c>
      <c r="I85" s="60">
        <f>I73+13</f>
        <v>79</v>
      </c>
      <c r="J85" s="73">
        <f t="shared" si="52"/>
        <v>2028</v>
      </c>
      <c r="K85" s="74" t="str">
        <f t="shared" si="23"/>
        <v/>
      </c>
    </row>
    <row r="86" spans="2:11" hidden="1" outlineLevel="1">
      <c r="B86" s="78">
        <f t="shared" si="49"/>
        <v>46784</v>
      </c>
      <c r="C86" s="75">
        <f>IF(F86&lt;&gt;0,-INDEX([11]Delta!$F$1:$EE$997,$L$13,$I86),0)</f>
        <v>0</v>
      </c>
      <c r="D86" s="71">
        <f>IF(F86&lt;&gt;0,VLOOKUP($J86,'Table 1'!$B$13:$C$33,2,FALSE)/12*1000*Study_MW,0)</f>
        <v>0</v>
      </c>
      <c r="E86" s="71">
        <f t="shared" si="50"/>
        <v>0</v>
      </c>
      <c r="F86" s="75">
        <f>INDEX([11]Delta!$F$1:$EE$997,$L$14,$I86)</f>
        <v>0</v>
      </c>
      <c r="G86" s="76" t="e">
        <f t="shared" si="51"/>
        <v>#DIV/0!</v>
      </c>
      <c r="I86" s="77">
        <f t="shared" si="22"/>
        <v>80</v>
      </c>
      <c r="J86" s="73">
        <f t="shared" si="52"/>
        <v>2028</v>
      </c>
      <c r="K86" s="78" t="str">
        <f t="shared" si="23"/>
        <v/>
      </c>
    </row>
    <row r="87" spans="2:11" hidden="1" outlineLevel="1">
      <c r="B87" s="78">
        <f t="shared" si="49"/>
        <v>46813</v>
      </c>
      <c r="C87" s="75">
        <f>IF(F87&lt;&gt;0,-INDEX([11]Delta!$F$1:$EE$997,$L$13,$I87),0)</f>
        <v>0</v>
      </c>
      <c r="D87" s="71">
        <f>IF(F87&lt;&gt;0,VLOOKUP($J87,'Table 1'!$B$13:$C$33,2,FALSE)/12*1000*Study_MW,0)</f>
        <v>0</v>
      </c>
      <c r="E87" s="71">
        <f t="shared" si="50"/>
        <v>0</v>
      </c>
      <c r="F87" s="75">
        <f>INDEX([11]Delta!$F$1:$EE$997,$L$14,$I87)</f>
        <v>0</v>
      </c>
      <c r="G87" s="76" t="e">
        <f t="shared" si="51"/>
        <v>#DIV/0!</v>
      </c>
      <c r="I87" s="77">
        <f t="shared" si="22"/>
        <v>81</v>
      </c>
      <c r="J87" s="73">
        <f t="shared" si="52"/>
        <v>2028</v>
      </c>
      <c r="K87" s="78" t="str">
        <f t="shared" si="23"/>
        <v/>
      </c>
    </row>
    <row r="88" spans="2:11" hidden="1" outlineLevel="1">
      <c r="B88" s="78">
        <f t="shared" si="49"/>
        <v>46844</v>
      </c>
      <c r="C88" s="75">
        <f>IF(F88&lt;&gt;0,-INDEX([11]Delta!$F$1:$EE$997,$L$13,$I88),0)</f>
        <v>0</v>
      </c>
      <c r="D88" s="71">
        <f>IF(F88&lt;&gt;0,VLOOKUP($J88,'Table 1'!$B$13:$C$33,2,FALSE)/12*1000*Study_MW,0)</f>
        <v>0</v>
      </c>
      <c r="E88" s="71">
        <f t="shared" si="50"/>
        <v>0</v>
      </c>
      <c r="F88" s="75">
        <f>INDEX([11]Delta!$F$1:$EE$997,$L$14,$I88)</f>
        <v>0</v>
      </c>
      <c r="G88" s="76" t="e">
        <f t="shared" si="51"/>
        <v>#DIV/0!</v>
      </c>
      <c r="I88" s="77">
        <f t="shared" si="22"/>
        <v>82</v>
      </c>
      <c r="J88" s="73">
        <f t="shared" si="52"/>
        <v>2028</v>
      </c>
      <c r="K88" s="78" t="str">
        <f t="shared" si="23"/>
        <v/>
      </c>
    </row>
    <row r="89" spans="2:11" hidden="1" outlineLevel="1">
      <c r="B89" s="78">
        <f t="shared" si="49"/>
        <v>46874</v>
      </c>
      <c r="C89" s="75">
        <f>IF(F89&lt;&gt;0,-INDEX([11]Delta!$F$1:$EE$997,$L$13,$I89),0)</f>
        <v>0</v>
      </c>
      <c r="D89" s="71">
        <f>IF(F89&lt;&gt;0,VLOOKUP($J89,'Table 1'!$B$13:$C$33,2,FALSE)/12*1000*Study_MW,0)</f>
        <v>0</v>
      </c>
      <c r="E89" s="71">
        <f t="shared" si="50"/>
        <v>0</v>
      </c>
      <c r="F89" s="75">
        <f>INDEX([11]Delta!$F$1:$EE$997,$L$14,$I89)</f>
        <v>0</v>
      </c>
      <c r="G89" s="76" t="e">
        <f t="shared" si="51"/>
        <v>#DIV/0!</v>
      </c>
      <c r="I89" s="77">
        <f t="shared" si="22"/>
        <v>83</v>
      </c>
      <c r="J89" s="73">
        <f t="shared" si="52"/>
        <v>2028</v>
      </c>
      <c r="K89" s="78" t="str">
        <f t="shared" si="23"/>
        <v/>
      </c>
    </row>
    <row r="90" spans="2:11" hidden="1" outlineLevel="1">
      <c r="B90" s="78">
        <f t="shared" si="49"/>
        <v>46905</v>
      </c>
      <c r="C90" s="75">
        <f>IF(F90&lt;&gt;0,-INDEX([11]Delta!$F$1:$EE$997,$L$13,$I90),0)</f>
        <v>0</v>
      </c>
      <c r="D90" s="71">
        <f>IF(F90&lt;&gt;0,VLOOKUP($J90,'Table 1'!$B$13:$C$33,2,FALSE)/12*1000*Study_MW,0)</f>
        <v>0</v>
      </c>
      <c r="E90" s="71">
        <f t="shared" si="50"/>
        <v>0</v>
      </c>
      <c r="F90" s="75">
        <f>INDEX([11]Delta!$F$1:$EE$997,$L$14,$I90)</f>
        <v>0</v>
      </c>
      <c r="G90" s="76" t="e">
        <f t="shared" si="51"/>
        <v>#DIV/0!</v>
      </c>
      <c r="I90" s="77">
        <f t="shared" ref="I90:I96" si="53">I78+13</f>
        <v>84</v>
      </c>
      <c r="J90" s="73">
        <f t="shared" si="52"/>
        <v>2028</v>
      </c>
      <c r="K90" s="78" t="str">
        <f t="shared" ref="K90:K153" si="54">IF(ISNUMBER(F90),IF(F90&lt;&gt;0,B90,""),"")</f>
        <v/>
      </c>
    </row>
    <row r="91" spans="2:11" hidden="1" outlineLevel="1">
      <c r="B91" s="78">
        <f t="shared" si="49"/>
        <v>46935</v>
      </c>
      <c r="C91" s="75">
        <f>IF(F91&lt;&gt;0,-INDEX([11]Delta!$F$1:$EE$997,$L$13,$I91),0)</f>
        <v>0</v>
      </c>
      <c r="D91" s="71">
        <f>IF(F91&lt;&gt;0,VLOOKUP($J91,'Table 1'!$B$13:$C$33,2,FALSE)/12*1000*Study_MW,0)</f>
        <v>0</v>
      </c>
      <c r="E91" s="71">
        <f t="shared" si="50"/>
        <v>0</v>
      </c>
      <c r="F91" s="75">
        <f>INDEX([11]Delta!$F$1:$EE$997,$L$14,$I91)</f>
        <v>0</v>
      </c>
      <c r="G91" s="76" t="e">
        <f t="shared" si="51"/>
        <v>#DIV/0!</v>
      </c>
      <c r="I91" s="77">
        <f t="shared" si="53"/>
        <v>85</v>
      </c>
      <c r="J91" s="73">
        <f t="shared" si="52"/>
        <v>2028</v>
      </c>
      <c r="K91" s="78" t="str">
        <f t="shared" si="54"/>
        <v/>
      </c>
    </row>
    <row r="92" spans="2:11" hidden="1" outlineLevel="1">
      <c r="B92" s="78">
        <f t="shared" si="49"/>
        <v>46966</v>
      </c>
      <c r="C92" s="75">
        <f>IF(F92&lt;&gt;0,-INDEX([11]Delta!$F$1:$EE$997,$L$13,$I92),0)</f>
        <v>0</v>
      </c>
      <c r="D92" s="71">
        <f>IF(F92&lt;&gt;0,VLOOKUP($J92,'Table 1'!$B$13:$C$33,2,FALSE)/12*1000*Study_MW,0)</f>
        <v>0</v>
      </c>
      <c r="E92" s="71">
        <f t="shared" si="50"/>
        <v>0</v>
      </c>
      <c r="F92" s="75">
        <f>INDEX([11]Delta!$F$1:$EE$997,$L$14,$I92)</f>
        <v>0</v>
      </c>
      <c r="G92" s="76" t="e">
        <f t="shared" si="51"/>
        <v>#DIV/0!</v>
      </c>
      <c r="I92" s="77">
        <f t="shared" si="53"/>
        <v>86</v>
      </c>
      <c r="J92" s="73">
        <f t="shared" si="52"/>
        <v>2028</v>
      </c>
      <c r="K92" s="78" t="str">
        <f t="shared" si="54"/>
        <v/>
      </c>
    </row>
    <row r="93" spans="2:11" hidden="1" outlineLevel="1">
      <c r="B93" s="78">
        <f t="shared" si="49"/>
        <v>46997</v>
      </c>
      <c r="C93" s="75">
        <f>IF(F93&lt;&gt;0,-INDEX([11]Delta!$F$1:$EE$997,$L$13,$I93),0)</f>
        <v>0</v>
      </c>
      <c r="D93" s="71">
        <f>IF(F93&lt;&gt;0,VLOOKUP($J93,'Table 1'!$B$13:$C$33,2,FALSE)/12*1000*Study_MW,0)</f>
        <v>0</v>
      </c>
      <c r="E93" s="71">
        <f t="shared" si="50"/>
        <v>0</v>
      </c>
      <c r="F93" s="75">
        <f>INDEX([11]Delta!$F$1:$EE$997,$L$14,$I93)</f>
        <v>0</v>
      </c>
      <c r="G93" s="76" t="e">
        <f t="shared" si="51"/>
        <v>#DIV/0!</v>
      </c>
      <c r="I93" s="77">
        <f t="shared" si="53"/>
        <v>87</v>
      </c>
      <c r="J93" s="73">
        <f t="shared" si="52"/>
        <v>2028</v>
      </c>
      <c r="K93" s="78" t="str">
        <f t="shared" si="54"/>
        <v/>
      </c>
    </row>
    <row r="94" spans="2:11" hidden="1" outlineLevel="1">
      <c r="B94" s="78">
        <f t="shared" si="49"/>
        <v>47027</v>
      </c>
      <c r="C94" s="75">
        <f>IF(F94&lt;&gt;0,-INDEX([11]Delta!$F$1:$EE$997,$L$13,$I94),0)</f>
        <v>0</v>
      </c>
      <c r="D94" s="71">
        <f>IF(F94&lt;&gt;0,VLOOKUP($J94,'Table 1'!$B$13:$C$33,2,FALSE)/12*1000*Study_MW,0)</f>
        <v>0</v>
      </c>
      <c r="E94" s="71">
        <f t="shared" si="50"/>
        <v>0</v>
      </c>
      <c r="F94" s="75">
        <f>INDEX([11]Delta!$F$1:$EE$997,$L$14,$I94)</f>
        <v>0</v>
      </c>
      <c r="G94" s="76" t="e">
        <f t="shared" si="51"/>
        <v>#DIV/0!</v>
      </c>
      <c r="I94" s="77">
        <f t="shared" si="53"/>
        <v>88</v>
      </c>
      <c r="J94" s="73">
        <f t="shared" si="52"/>
        <v>2028</v>
      </c>
      <c r="K94" s="78" t="str">
        <f t="shared" si="54"/>
        <v/>
      </c>
    </row>
    <row r="95" spans="2:11" hidden="1" outlineLevel="1">
      <c r="B95" s="78">
        <f t="shared" si="49"/>
        <v>47058</v>
      </c>
      <c r="C95" s="75">
        <f>IF(F95&lt;&gt;0,-INDEX([11]Delta!$F$1:$EE$997,$L$13,$I95),0)</f>
        <v>0</v>
      </c>
      <c r="D95" s="71">
        <f>IF(F95&lt;&gt;0,VLOOKUP($J95,'Table 1'!$B$13:$C$33,2,FALSE)/12*1000*Study_MW,0)</f>
        <v>0</v>
      </c>
      <c r="E95" s="71">
        <f t="shared" si="50"/>
        <v>0</v>
      </c>
      <c r="F95" s="75">
        <f>INDEX([11]Delta!$F$1:$EE$997,$L$14,$I95)</f>
        <v>0</v>
      </c>
      <c r="G95" s="76" t="e">
        <f t="shared" si="51"/>
        <v>#DIV/0!</v>
      </c>
      <c r="I95" s="77">
        <f t="shared" si="53"/>
        <v>89</v>
      </c>
      <c r="J95" s="73">
        <f t="shared" si="52"/>
        <v>2028</v>
      </c>
      <c r="K95" s="78" t="str">
        <f t="shared" si="54"/>
        <v/>
      </c>
    </row>
    <row r="96" spans="2:11" hidden="1" outlineLevel="1">
      <c r="B96" s="82">
        <f t="shared" si="49"/>
        <v>47088</v>
      </c>
      <c r="C96" s="79">
        <f>IF(F96&lt;&gt;0,-INDEX([11]Delta!$F$1:$EE$997,$L$13,$I96),0)</f>
        <v>0</v>
      </c>
      <c r="D96" s="80">
        <f>IF(F96&lt;&gt;0,VLOOKUP($J96,'Table 1'!$B$13:$C$33,2,FALSE)/12*1000*Study_MW,0)</f>
        <v>0</v>
      </c>
      <c r="E96" s="80">
        <f t="shared" si="50"/>
        <v>0</v>
      </c>
      <c r="F96" s="79">
        <f>INDEX([11]Delta!$F$1:$EE$997,$L$14,$I96)</f>
        <v>0</v>
      </c>
      <c r="G96" s="81" t="e">
        <f t="shared" si="51"/>
        <v>#DIV/0!</v>
      </c>
      <c r="I96" s="64">
        <f t="shared" si="53"/>
        <v>90</v>
      </c>
      <c r="J96" s="73">
        <f t="shared" si="52"/>
        <v>2028</v>
      </c>
      <c r="K96" s="82" t="str">
        <f t="shared" si="54"/>
        <v/>
      </c>
    </row>
    <row r="97" spans="2:11" hidden="1" outlineLevel="1">
      <c r="B97" s="74">
        <f t="shared" si="49"/>
        <v>47119</v>
      </c>
      <c r="C97" s="69">
        <f>IF(F97&lt;&gt;0,-INDEX([11]Delta!$F$1:$EE$997,$L$13,$I97),0)</f>
        <v>0</v>
      </c>
      <c r="D97" s="70">
        <f>IF(F97&lt;&gt;0,VLOOKUP($J97,'Table 1'!$B$13:$C$33,2,FALSE)/12*1000*Study_MW,0)</f>
        <v>0</v>
      </c>
      <c r="E97" s="70">
        <f t="shared" si="50"/>
        <v>0</v>
      </c>
      <c r="F97" s="69">
        <f>INDEX([11]Delta!$F$1:$EE$997,$L$14,$I97)</f>
        <v>0</v>
      </c>
      <c r="G97" s="72" t="e">
        <f t="shared" si="51"/>
        <v>#DIV/0!</v>
      </c>
      <c r="I97" s="60">
        <f>I85+13</f>
        <v>92</v>
      </c>
      <c r="J97" s="73">
        <f t="shared" si="52"/>
        <v>2029</v>
      </c>
      <c r="K97" s="74" t="str">
        <f t="shared" si="54"/>
        <v/>
      </c>
    </row>
    <row r="98" spans="2:11" hidden="1" outlineLevel="1">
      <c r="B98" s="78">
        <f t="shared" si="49"/>
        <v>47150</v>
      </c>
      <c r="C98" s="75">
        <f>IF(F98&lt;&gt;0,-INDEX([11]Delta!$F$1:$EE$997,$L$13,$I98),0)</f>
        <v>0</v>
      </c>
      <c r="D98" s="71">
        <f>IF(F98&lt;&gt;0,VLOOKUP($J98,'Table 1'!$B$13:$C$33,2,FALSE)/12*1000*Study_MW,0)</f>
        <v>0</v>
      </c>
      <c r="E98" s="71">
        <f t="shared" si="50"/>
        <v>0</v>
      </c>
      <c r="F98" s="75">
        <f>INDEX([11]Delta!$F$1:$EE$997,$L$14,$I98)</f>
        <v>0</v>
      </c>
      <c r="G98" s="76" t="e">
        <f t="shared" si="51"/>
        <v>#DIV/0!</v>
      </c>
      <c r="I98" s="77">
        <f t="shared" ref="I98:I120" si="55">I86+13</f>
        <v>93</v>
      </c>
      <c r="J98" s="73">
        <f t="shared" si="52"/>
        <v>2029</v>
      </c>
      <c r="K98" s="78" t="str">
        <f t="shared" si="54"/>
        <v/>
      </c>
    </row>
    <row r="99" spans="2:11" hidden="1" outlineLevel="1">
      <c r="B99" s="78">
        <f t="shared" si="49"/>
        <v>47178</v>
      </c>
      <c r="C99" s="75">
        <f>IF(F99&lt;&gt;0,-INDEX([11]Delta!$F$1:$EE$997,$L$13,$I99),0)</f>
        <v>0</v>
      </c>
      <c r="D99" s="71">
        <f>IF(F99&lt;&gt;0,VLOOKUP($J99,'Table 1'!$B$13:$C$33,2,FALSE)/12*1000*Study_MW,0)</f>
        <v>0</v>
      </c>
      <c r="E99" s="71">
        <f t="shared" si="50"/>
        <v>0</v>
      </c>
      <c r="F99" s="75">
        <f>INDEX([11]Delta!$F$1:$EE$997,$L$14,$I99)</f>
        <v>0</v>
      </c>
      <c r="G99" s="76" t="e">
        <f t="shared" si="51"/>
        <v>#DIV/0!</v>
      </c>
      <c r="I99" s="77">
        <f t="shared" si="55"/>
        <v>94</v>
      </c>
      <c r="J99" s="73">
        <f t="shared" si="52"/>
        <v>2029</v>
      </c>
      <c r="K99" s="78" t="str">
        <f t="shared" si="54"/>
        <v/>
      </c>
    </row>
    <row r="100" spans="2:11" hidden="1" outlineLevel="1">
      <c r="B100" s="78">
        <f t="shared" si="49"/>
        <v>47209</v>
      </c>
      <c r="C100" s="75">
        <f>IF(F100&lt;&gt;0,-INDEX([11]Delta!$F$1:$EE$997,$L$13,$I100),0)</f>
        <v>0</v>
      </c>
      <c r="D100" s="71">
        <f>IF(F100&lt;&gt;0,VLOOKUP($J100,'Table 1'!$B$13:$C$33,2,FALSE)/12*1000*Study_MW,0)</f>
        <v>0</v>
      </c>
      <c r="E100" s="71">
        <f t="shared" si="50"/>
        <v>0</v>
      </c>
      <c r="F100" s="75">
        <f>INDEX([11]Delta!$F$1:$EE$997,$L$14,$I100)</f>
        <v>0</v>
      </c>
      <c r="G100" s="76" t="e">
        <f t="shared" si="51"/>
        <v>#DIV/0!</v>
      </c>
      <c r="I100" s="77">
        <f t="shared" si="55"/>
        <v>95</v>
      </c>
      <c r="J100" s="73">
        <f t="shared" si="52"/>
        <v>2029</v>
      </c>
      <c r="K100" s="78" t="str">
        <f t="shared" si="54"/>
        <v/>
      </c>
    </row>
    <row r="101" spans="2:11" hidden="1" outlineLevel="1">
      <c r="B101" s="78">
        <f t="shared" si="49"/>
        <v>47239</v>
      </c>
      <c r="C101" s="75">
        <f>IF(F101&lt;&gt;0,-INDEX([11]Delta!$F$1:$EE$997,$L$13,$I101),0)</f>
        <v>0</v>
      </c>
      <c r="D101" s="71">
        <f>IF(F101&lt;&gt;0,VLOOKUP($J101,'Table 1'!$B$13:$C$33,2,FALSE)/12*1000*Study_MW,0)</f>
        <v>0</v>
      </c>
      <c r="E101" s="71">
        <f t="shared" si="50"/>
        <v>0</v>
      </c>
      <c r="F101" s="75">
        <f>INDEX([11]Delta!$F$1:$EE$997,$L$14,$I101)</f>
        <v>0</v>
      </c>
      <c r="G101" s="76" t="e">
        <f t="shared" si="51"/>
        <v>#DIV/0!</v>
      </c>
      <c r="I101" s="77">
        <f t="shared" si="55"/>
        <v>96</v>
      </c>
      <c r="J101" s="73">
        <f t="shared" si="52"/>
        <v>2029</v>
      </c>
      <c r="K101" s="78" t="str">
        <f t="shared" si="54"/>
        <v/>
      </c>
    </row>
    <row r="102" spans="2:11" hidden="1" outlineLevel="1">
      <c r="B102" s="78">
        <f t="shared" si="49"/>
        <v>47270</v>
      </c>
      <c r="C102" s="75">
        <f>IF(F102&lt;&gt;0,-INDEX([11]Delta!$F$1:$EE$997,$L$13,$I102),0)</f>
        <v>0</v>
      </c>
      <c r="D102" s="71">
        <f>IF(F102&lt;&gt;0,VLOOKUP($J102,'Table 1'!$B$13:$C$33,2,FALSE)/12*1000*Study_MW,0)</f>
        <v>0</v>
      </c>
      <c r="E102" s="71">
        <f t="shared" si="50"/>
        <v>0</v>
      </c>
      <c r="F102" s="75">
        <f>INDEX([11]Delta!$F$1:$EE$997,$L$14,$I102)</f>
        <v>0</v>
      </c>
      <c r="G102" s="76" t="e">
        <f t="shared" si="51"/>
        <v>#DIV/0!</v>
      </c>
      <c r="I102" s="77">
        <f t="shared" si="55"/>
        <v>97</v>
      </c>
      <c r="J102" s="73">
        <f t="shared" si="52"/>
        <v>2029</v>
      </c>
      <c r="K102" s="78" t="str">
        <f t="shared" si="54"/>
        <v/>
      </c>
    </row>
    <row r="103" spans="2:11" hidden="1" outlineLevel="1">
      <c r="B103" s="78">
        <f t="shared" si="49"/>
        <v>47300</v>
      </c>
      <c r="C103" s="75">
        <f>IF(F103&lt;&gt;0,-INDEX([11]Delta!$F$1:$EE$997,$L$13,$I103),0)</f>
        <v>0</v>
      </c>
      <c r="D103" s="71">
        <f>IF(F103&lt;&gt;0,VLOOKUP($J103,'Table 1'!$B$13:$C$33,2,FALSE)/12*1000*Study_MW,0)</f>
        <v>0</v>
      </c>
      <c r="E103" s="71">
        <f t="shared" si="50"/>
        <v>0</v>
      </c>
      <c r="F103" s="75">
        <f>INDEX([11]Delta!$F$1:$EE$997,$L$14,$I103)</f>
        <v>0</v>
      </c>
      <c r="G103" s="76" t="e">
        <f t="shared" si="51"/>
        <v>#DIV/0!</v>
      </c>
      <c r="I103" s="77">
        <f t="shared" si="55"/>
        <v>98</v>
      </c>
      <c r="J103" s="73">
        <f t="shared" si="52"/>
        <v>2029</v>
      </c>
      <c r="K103" s="78" t="str">
        <f t="shared" si="54"/>
        <v/>
      </c>
    </row>
    <row r="104" spans="2:11" hidden="1" outlineLevel="1">
      <c r="B104" s="78">
        <f t="shared" si="49"/>
        <v>47331</v>
      </c>
      <c r="C104" s="75">
        <f>IF(F104&lt;&gt;0,-INDEX([11]Delta!$F$1:$EE$997,$L$13,$I104),0)</f>
        <v>0</v>
      </c>
      <c r="D104" s="71">
        <f>IF(F104&lt;&gt;0,VLOOKUP($J104,'Table 1'!$B$13:$C$33,2,FALSE)/12*1000*Study_MW,0)</f>
        <v>0</v>
      </c>
      <c r="E104" s="71">
        <f t="shared" si="50"/>
        <v>0</v>
      </c>
      <c r="F104" s="75">
        <f>INDEX([11]Delta!$F$1:$EE$997,$L$14,$I104)</f>
        <v>0</v>
      </c>
      <c r="G104" s="76" t="e">
        <f t="shared" si="51"/>
        <v>#DIV/0!</v>
      </c>
      <c r="I104" s="77">
        <f t="shared" si="55"/>
        <v>99</v>
      </c>
      <c r="J104" s="73">
        <f t="shared" si="52"/>
        <v>2029</v>
      </c>
      <c r="K104" s="78" t="str">
        <f t="shared" si="54"/>
        <v/>
      </c>
    </row>
    <row r="105" spans="2:11" hidden="1" outlineLevel="1">
      <c r="B105" s="78">
        <f t="shared" si="49"/>
        <v>47362</v>
      </c>
      <c r="C105" s="75">
        <f>IF(F105&lt;&gt;0,-INDEX([11]Delta!$F$1:$EE$997,$L$13,$I105),0)</f>
        <v>0</v>
      </c>
      <c r="D105" s="71">
        <f>IF(F105&lt;&gt;0,VLOOKUP($J105,'Table 1'!$B$13:$C$33,2,FALSE)/12*1000*Study_MW,0)</f>
        <v>0</v>
      </c>
      <c r="E105" s="71">
        <f t="shared" si="50"/>
        <v>0</v>
      </c>
      <c r="F105" s="75">
        <f>INDEX([11]Delta!$F$1:$EE$997,$L$14,$I105)</f>
        <v>0</v>
      </c>
      <c r="G105" s="76" t="e">
        <f t="shared" si="51"/>
        <v>#DIV/0!</v>
      </c>
      <c r="I105" s="77">
        <f t="shared" si="55"/>
        <v>100</v>
      </c>
      <c r="J105" s="73">
        <f t="shared" si="52"/>
        <v>2029</v>
      </c>
      <c r="K105" s="78" t="str">
        <f t="shared" si="54"/>
        <v/>
      </c>
    </row>
    <row r="106" spans="2:11" hidden="1" outlineLevel="1">
      <c r="B106" s="78">
        <f t="shared" si="49"/>
        <v>47392</v>
      </c>
      <c r="C106" s="75">
        <f>IF(F106&lt;&gt;0,-INDEX([11]Delta!$F$1:$EE$997,$L$13,$I106),0)</f>
        <v>0</v>
      </c>
      <c r="D106" s="71">
        <f>IF(F106&lt;&gt;0,VLOOKUP($J106,'Table 1'!$B$13:$C$33,2,FALSE)/12*1000*Study_MW,0)</f>
        <v>0</v>
      </c>
      <c r="E106" s="71">
        <f t="shared" si="50"/>
        <v>0</v>
      </c>
      <c r="F106" s="75">
        <f>INDEX([11]Delta!$F$1:$EE$997,$L$14,$I106)</f>
        <v>0</v>
      </c>
      <c r="G106" s="76" t="e">
        <f t="shared" si="51"/>
        <v>#DIV/0!</v>
      </c>
      <c r="I106" s="77">
        <f t="shared" si="55"/>
        <v>101</v>
      </c>
      <c r="J106" s="73">
        <f t="shared" si="52"/>
        <v>2029</v>
      </c>
      <c r="K106" s="78" t="str">
        <f t="shared" si="54"/>
        <v/>
      </c>
    </row>
    <row r="107" spans="2:11" hidden="1" outlineLevel="1">
      <c r="B107" s="78">
        <f t="shared" si="49"/>
        <v>47423</v>
      </c>
      <c r="C107" s="75">
        <f>IF(F107&lt;&gt;0,-INDEX([11]Delta!$F$1:$EE$997,$L$13,$I107),0)</f>
        <v>0</v>
      </c>
      <c r="D107" s="71">
        <f>IF(F107&lt;&gt;0,VLOOKUP($J107,'Table 1'!$B$13:$C$33,2,FALSE)/12*1000*Study_MW,0)</f>
        <v>0</v>
      </c>
      <c r="E107" s="71">
        <f t="shared" si="50"/>
        <v>0</v>
      </c>
      <c r="F107" s="75">
        <f>INDEX([11]Delta!$F$1:$EE$997,$L$14,$I107)</f>
        <v>0</v>
      </c>
      <c r="G107" s="76" t="e">
        <f t="shared" si="51"/>
        <v>#DIV/0!</v>
      </c>
      <c r="I107" s="77">
        <f t="shared" si="55"/>
        <v>102</v>
      </c>
      <c r="J107" s="73">
        <f t="shared" si="52"/>
        <v>2029</v>
      </c>
      <c r="K107" s="78" t="str">
        <f t="shared" si="54"/>
        <v/>
      </c>
    </row>
    <row r="108" spans="2:11" hidden="1" outlineLevel="1">
      <c r="B108" s="82">
        <f t="shared" si="49"/>
        <v>47453</v>
      </c>
      <c r="C108" s="79">
        <f>IF(F108&lt;&gt;0,-INDEX([11]Delta!$F$1:$EE$997,$L$13,$I108),0)</f>
        <v>0</v>
      </c>
      <c r="D108" s="80">
        <f>IF(F108&lt;&gt;0,VLOOKUP($J108,'Table 1'!$B$13:$C$33,2,FALSE)/12*1000*Study_MW,0)</f>
        <v>0</v>
      </c>
      <c r="E108" s="80">
        <f t="shared" si="50"/>
        <v>0</v>
      </c>
      <c r="F108" s="79">
        <f>INDEX([11]Delta!$F$1:$EE$997,$L$14,$I108)</f>
        <v>0</v>
      </c>
      <c r="G108" s="81" t="e">
        <f t="shared" si="51"/>
        <v>#DIV/0!</v>
      </c>
      <c r="I108" s="64">
        <f t="shared" si="55"/>
        <v>103</v>
      </c>
      <c r="J108" s="73">
        <f t="shared" si="52"/>
        <v>2029</v>
      </c>
      <c r="K108" s="82" t="str">
        <f t="shared" si="54"/>
        <v/>
      </c>
    </row>
    <row r="109" spans="2:11" hidden="1" outlineLevel="1">
      <c r="B109" s="74">
        <f t="shared" si="49"/>
        <v>47484</v>
      </c>
      <c r="C109" s="69">
        <f>IF(F109&lt;&gt;0,-INDEX([11]Delta!$F$1:$EE$997,$L$13,$I109),0)</f>
        <v>0</v>
      </c>
      <c r="D109" s="70">
        <f>IF(F109&lt;&gt;0,VLOOKUP($J109,'Table 1'!$B$13:$C$33,2,FALSE)/12*1000*Study_MW,0)</f>
        <v>0</v>
      </c>
      <c r="E109" s="70">
        <f t="shared" si="50"/>
        <v>0</v>
      </c>
      <c r="F109" s="69">
        <f>INDEX([11]Delta!$F$1:$EE$997,$L$14,$I109)</f>
        <v>0</v>
      </c>
      <c r="G109" s="72" t="e">
        <f t="shared" si="51"/>
        <v>#DIV/0!</v>
      </c>
      <c r="I109" s="60">
        <f>I97+13</f>
        <v>105</v>
      </c>
      <c r="J109" s="73">
        <f t="shared" si="52"/>
        <v>2030</v>
      </c>
      <c r="K109" s="74" t="str">
        <f t="shared" si="54"/>
        <v/>
      </c>
    </row>
    <row r="110" spans="2:11" hidden="1" outlineLevel="1">
      <c r="B110" s="78">
        <f t="shared" si="49"/>
        <v>47515</v>
      </c>
      <c r="C110" s="75">
        <f>IF(F110&lt;&gt;0,-INDEX([11]Delta!$F$1:$EE$997,$L$13,$I110),0)</f>
        <v>0</v>
      </c>
      <c r="D110" s="71">
        <f>IF(F110&lt;&gt;0,VLOOKUP($J110,'Table 1'!$B$13:$C$33,2,FALSE)/12*1000*Study_MW,0)</f>
        <v>0</v>
      </c>
      <c r="E110" s="71">
        <f t="shared" si="50"/>
        <v>0</v>
      </c>
      <c r="F110" s="75">
        <f>INDEX([11]Delta!$F$1:$EE$997,$L$14,$I110)</f>
        <v>0</v>
      </c>
      <c r="G110" s="76" t="e">
        <f t="shared" si="51"/>
        <v>#DIV/0!</v>
      </c>
      <c r="I110" s="77">
        <f t="shared" si="55"/>
        <v>106</v>
      </c>
      <c r="J110" s="73">
        <f t="shared" si="52"/>
        <v>2030</v>
      </c>
      <c r="K110" s="78" t="str">
        <f t="shared" si="54"/>
        <v/>
      </c>
    </row>
    <row r="111" spans="2:11" hidden="1" outlineLevel="1">
      <c r="B111" s="78">
        <f t="shared" si="49"/>
        <v>47543</v>
      </c>
      <c r="C111" s="75">
        <f>IF(F111&lt;&gt;0,-INDEX([11]Delta!$F$1:$EE$997,$L$13,$I111),0)</f>
        <v>0</v>
      </c>
      <c r="D111" s="71">
        <f>IF(F111&lt;&gt;0,VLOOKUP($J111,'Table 1'!$B$13:$C$33,2,FALSE)/12*1000*Study_MW,0)</f>
        <v>0</v>
      </c>
      <c r="E111" s="71">
        <f t="shared" si="50"/>
        <v>0</v>
      </c>
      <c r="F111" s="75">
        <f>INDEX([11]Delta!$F$1:$EE$997,$L$14,$I111)</f>
        <v>0</v>
      </c>
      <c r="G111" s="76" t="e">
        <f t="shared" si="51"/>
        <v>#DIV/0!</v>
      </c>
      <c r="I111" s="77">
        <f t="shared" si="55"/>
        <v>107</v>
      </c>
      <c r="J111" s="73">
        <f t="shared" si="52"/>
        <v>2030</v>
      </c>
      <c r="K111" s="78" t="str">
        <f t="shared" si="54"/>
        <v/>
      </c>
    </row>
    <row r="112" spans="2:11" hidden="1" outlineLevel="1">
      <c r="B112" s="78">
        <f t="shared" si="49"/>
        <v>47574</v>
      </c>
      <c r="C112" s="75">
        <f>IF(F112&lt;&gt;0,-INDEX([11]Delta!$F$1:$EE$997,$L$13,$I112),0)</f>
        <v>0</v>
      </c>
      <c r="D112" s="71">
        <f>IF(F112&lt;&gt;0,VLOOKUP($J112,'Table 1'!$B$13:$C$33,2,FALSE)/12*1000*Study_MW,0)</f>
        <v>0</v>
      </c>
      <c r="E112" s="71">
        <f t="shared" si="50"/>
        <v>0</v>
      </c>
      <c r="F112" s="75">
        <f>INDEX([11]Delta!$F$1:$EE$997,$L$14,$I112)</f>
        <v>0</v>
      </c>
      <c r="G112" s="76" t="e">
        <f t="shared" si="51"/>
        <v>#DIV/0!</v>
      </c>
      <c r="I112" s="77">
        <f t="shared" si="55"/>
        <v>108</v>
      </c>
      <c r="J112" s="73">
        <f t="shared" si="52"/>
        <v>2030</v>
      </c>
      <c r="K112" s="78" t="str">
        <f t="shared" si="54"/>
        <v/>
      </c>
    </row>
    <row r="113" spans="2:11" hidden="1" outlineLevel="1">
      <c r="B113" s="78">
        <f t="shared" si="49"/>
        <v>47604</v>
      </c>
      <c r="C113" s="75">
        <f>IF(F113&lt;&gt;0,-INDEX([11]Delta!$F$1:$EE$997,$L$13,$I113),0)</f>
        <v>0</v>
      </c>
      <c r="D113" s="71">
        <f>IF(F113&lt;&gt;0,VLOOKUP($J113,'Table 1'!$B$13:$C$33,2,FALSE)/12*1000*Study_MW,0)</f>
        <v>0</v>
      </c>
      <c r="E113" s="71">
        <f t="shared" si="50"/>
        <v>0</v>
      </c>
      <c r="F113" s="75">
        <f>INDEX([11]Delta!$F$1:$EE$997,$L$14,$I113)</f>
        <v>0</v>
      </c>
      <c r="G113" s="76" t="e">
        <f t="shared" si="51"/>
        <v>#DIV/0!</v>
      </c>
      <c r="I113" s="77">
        <f t="shared" si="55"/>
        <v>109</v>
      </c>
      <c r="J113" s="73">
        <f t="shared" si="52"/>
        <v>2030</v>
      </c>
      <c r="K113" s="78" t="str">
        <f t="shared" si="54"/>
        <v/>
      </c>
    </row>
    <row r="114" spans="2:11" hidden="1" outlineLevel="1">
      <c r="B114" s="78">
        <f t="shared" si="49"/>
        <v>47635</v>
      </c>
      <c r="C114" s="75">
        <f>IF(F114&lt;&gt;0,-INDEX([11]Delta!$F$1:$EE$997,$L$13,$I114),0)</f>
        <v>0</v>
      </c>
      <c r="D114" s="71">
        <f>IF(F114&lt;&gt;0,VLOOKUP($J114,'Table 1'!$B$13:$C$33,2,FALSE)/12*1000*Study_MW,0)</f>
        <v>0</v>
      </c>
      <c r="E114" s="71">
        <f t="shared" si="50"/>
        <v>0</v>
      </c>
      <c r="F114" s="75">
        <f>INDEX([11]Delta!$F$1:$EE$997,$L$14,$I114)</f>
        <v>0</v>
      </c>
      <c r="G114" s="76" t="e">
        <f t="shared" si="51"/>
        <v>#DIV/0!</v>
      </c>
      <c r="I114" s="77">
        <f t="shared" si="55"/>
        <v>110</v>
      </c>
      <c r="J114" s="73">
        <f t="shared" si="52"/>
        <v>2030</v>
      </c>
      <c r="K114" s="78" t="str">
        <f t="shared" si="54"/>
        <v/>
      </c>
    </row>
    <row r="115" spans="2:11" hidden="1" outlineLevel="1">
      <c r="B115" s="78">
        <f t="shared" si="49"/>
        <v>47665</v>
      </c>
      <c r="C115" s="75">
        <f>IF(F115&lt;&gt;0,-INDEX([11]Delta!$F$1:$EE$997,$L$13,$I115),0)</f>
        <v>0</v>
      </c>
      <c r="D115" s="71">
        <f>IF(F115&lt;&gt;0,VLOOKUP($J115,'Table 1'!$B$13:$C$33,2,FALSE)/12*1000*Study_MW,0)</f>
        <v>0</v>
      </c>
      <c r="E115" s="71">
        <f t="shared" si="50"/>
        <v>0</v>
      </c>
      <c r="F115" s="75">
        <f>INDEX([11]Delta!$F$1:$EE$997,$L$14,$I115)</f>
        <v>0</v>
      </c>
      <c r="G115" s="76" t="e">
        <f t="shared" si="51"/>
        <v>#DIV/0!</v>
      </c>
      <c r="I115" s="77">
        <f t="shared" si="55"/>
        <v>111</v>
      </c>
      <c r="J115" s="73">
        <f t="shared" si="52"/>
        <v>2030</v>
      </c>
      <c r="K115" s="78" t="str">
        <f t="shared" si="54"/>
        <v/>
      </c>
    </row>
    <row r="116" spans="2:11" hidden="1" outlineLevel="1">
      <c r="B116" s="78">
        <f t="shared" si="49"/>
        <v>47696</v>
      </c>
      <c r="C116" s="75">
        <f>IF(F116&lt;&gt;0,-INDEX([11]Delta!$F$1:$EE$997,$L$13,$I116),0)</f>
        <v>0</v>
      </c>
      <c r="D116" s="71">
        <f>IF(F116&lt;&gt;0,VLOOKUP($J116,'Table 1'!$B$13:$C$33,2,FALSE)/12*1000*Study_MW,0)</f>
        <v>0</v>
      </c>
      <c r="E116" s="71">
        <f t="shared" si="50"/>
        <v>0</v>
      </c>
      <c r="F116" s="75">
        <f>INDEX([11]Delta!$F$1:$EE$997,$L$14,$I116)</f>
        <v>0</v>
      </c>
      <c r="G116" s="76" t="e">
        <f t="shared" si="51"/>
        <v>#DIV/0!</v>
      </c>
      <c r="I116" s="77">
        <f t="shared" si="55"/>
        <v>112</v>
      </c>
      <c r="J116" s="73">
        <f t="shared" si="52"/>
        <v>2030</v>
      </c>
      <c r="K116" s="78" t="str">
        <f t="shared" si="54"/>
        <v/>
      </c>
    </row>
    <row r="117" spans="2:11" hidden="1" outlineLevel="1">
      <c r="B117" s="78">
        <f t="shared" si="49"/>
        <v>47727</v>
      </c>
      <c r="C117" s="75">
        <f>IF(F117&lt;&gt;0,-INDEX([11]Delta!$F$1:$EE$997,$L$13,$I117),0)</f>
        <v>0</v>
      </c>
      <c r="D117" s="71">
        <f>IF(F117&lt;&gt;0,VLOOKUP($J117,'Table 1'!$B$13:$C$33,2,FALSE)/12*1000*Study_MW,0)</f>
        <v>0</v>
      </c>
      <c r="E117" s="71">
        <f t="shared" si="50"/>
        <v>0</v>
      </c>
      <c r="F117" s="75">
        <f>INDEX([11]Delta!$F$1:$EE$997,$L$14,$I117)</f>
        <v>0</v>
      </c>
      <c r="G117" s="76" t="e">
        <f t="shared" si="51"/>
        <v>#DIV/0!</v>
      </c>
      <c r="I117" s="77">
        <f t="shared" si="55"/>
        <v>113</v>
      </c>
      <c r="J117" s="73">
        <f t="shared" si="52"/>
        <v>2030</v>
      </c>
      <c r="K117" s="78" t="str">
        <f t="shared" si="54"/>
        <v/>
      </c>
    </row>
    <row r="118" spans="2:11" hidden="1" outlineLevel="1">
      <c r="B118" s="78">
        <f t="shared" si="49"/>
        <v>47757</v>
      </c>
      <c r="C118" s="75">
        <f>IF(F118&lt;&gt;0,-INDEX([11]Delta!$F$1:$EE$997,$L$13,$I118),0)</f>
        <v>0</v>
      </c>
      <c r="D118" s="71">
        <f>IF(F118&lt;&gt;0,VLOOKUP($J118,'Table 1'!$B$13:$C$33,2,FALSE)/12*1000*Study_MW,0)</f>
        <v>0</v>
      </c>
      <c r="E118" s="71">
        <f t="shared" si="50"/>
        <v>0</v>
      </c>
      <c r="F118" s="75">
        <f>INDEX([11]Delta!$F$1:$EE$997,$L$14,$I118)</f>
        <v>0</v>
      </c>
      <c r="G118" s="76" t="e">
        <f t="shared" si="51"/>
        <v>#DIV/0!</v>
      </c>
      <c r="I118" s="77">
        <f t="shared" si="55"/>
        <v>114</v>
      </c>
      <c r="J118" s="73">
        <f t="shared" si="52"/>
        <v>2030</v>
      </c>
      <c r="K118" s="78" t="str">
        <f t="shared" si="54"/>
        <v/>
      </c>
    </row>
    <row r="119" spans="2:11" hidden="1" outlineLevel="1">
      <c r="B119" s="78">
        <f t="shared" si="49"/>
        <v>47788</v>
      </c>
      <c r="C119" s="75">
        <f>IF(F119&lt;&gt;0,-INDEX([11]Delta!$F$1:$EE$997,$L$13,$I119),0)</f>
        <v>0</v>
      </c>
      <c r="D119" s="71">
        <f>IF(F119&lt;&gt;0,VLOOKUP($J119,'Table 1'!$B$13:$C$33,2,FALSE)/12*1000*Study_MW,0)</f>
        <v>0</v>
      </c>
      <c r="E119" s="71">
        <f t="shared" si="50"/>
        <v>0</v>
      </c>
      <c r="F119" s="75">
        <f>INDEX([11]Delta!$F$1:$EE$997,$L$14,$I119)</f>
        <v>0</v>
      </c>
      <c r="G119" s="76" t="e">
        <f t="shared" si="51"/>
        <v>#DIV/0!</v>
      </c>
      <c r="I119" s="77">
        <f t="shared" si="55"/>
        <v>115</v>
      </c>
      <c r="J119" s="73">
        <f t="shared" si="52"/>
        <v>2030</v>
      </c>
      <c r="K119" s="78" t="str">
        <f t="shared" si="54"/>
        <v/>
      </c>
    </row>
    <row r="120" spans="2:11" hidden="1" outlineLevel="1">
      <c r="B120" s="82">
        <f t="shared" si="49"/>
        <v>47818</v>
      </c>
      <c r="C120" s="79">
        <f>IF(F120&lt;&gt;0,-INDEX([11]Delta!$F$1:$EE$997,$L$13,$I120),0)</f>
        <v>0</v>
      </c>
      <c r="D120" s="80">
        <f>IF(F120&lt;&gt;0,VLOOKUP($J120,'Table 1'!$B$13:$C$33,2,FALSE)/12*1000*Study_MW,0)</f>
        <v>0</v>
      </c>
      <c r="E120" s="80">
        <f t="shared" si="50"/>
        <v>0</v>
      </c>
      <c r="F120" s="79">
        <f>INDEX([11]Delta!$F$1:$EE$997,$L$14,$I120)</f>
        <v>0</v>
      </c>
      <c r="G120" s="81" t="e">
        <f t="shared" si="51"/>
        <v>#DIV/0!</v>
      </c>
      <c r="I120" s="64">
        <f t="shared" si="55"/>
        <v>116</v>
      </c>
      <c r="J120" s="73">
        <f t="shared" si="52"/>
        <v>2030</v>
      </c>
      <c r="K120" s="82" t="str">
        <f t="shared" si="54"/>
        <v/>
      </c>
    </row>
    <row r="121" spans="2:11" hidden="1" outlineLevel="1">
      <c r="B121" s="74">
        <f t="shared" si="49"/>
        <v>47849</v>
      </c>
      <c r="C121" s="69">
        <f>IF(F121&lt;&gt;0,-INDEX([11]Delta!$F$1:$EE$997,$L$13,$I121),0)</f>
        <v>0</v>
      </c>
      <c r="D121" s="70">
        <f>IF(F121&lt;&gt;0,VLOOKUP($J121,'Table 1'!$B$13:$C$33,2,FALSE)/12*1000*Study_MW,0)</f>
        <v>0</v>
      </c>
      <c r="E121" s="70">
        <f t="shared" si="50"/>
        <v>0</v>
      </c>
      <c r="F121" s="69">
        <f>INDEX([11]Delta!$F$1:$EE$997,$L$14,$I121)</f>
        <v>0</v>
      </c>
      <c r="G121" s="72" t="e">
        <f t="shared" si="51"/>
        <v>#DIV/0!</v>
      </c>
      <c r="I121" s="60">
        <f>I109+13</f>
        <v>118</v>
      </c>
      <c r="J121" s="73">
        <f t="shared" si="52"/>
        <v>2031</v>
      </c>
      <c r="K121" s="74" t="str">
        <f t="shared" si="54"/>
        <v/>
      </c>
    </row>
    <row r="122" spans="2:11" hidden="1" outlineLevel="1">
      <c r="B122" s="78">
        <f t="shared" si="49"/>
        <v>47880</v>
      </c>
      <c r="C122" s="75">
        <f>IF(F122&lt;&gt;0,-INDEX([11]Delta!$F$1:$EE$997,$L$13,$I122),0)</f>
        <v>0</v>
      </c>
      <c r="D122" s="71">
        <f>IF(F122&lt;&gt;0,VLOOKUP($J122,'Table 1'!$B$13:$C$33,2,FALSE)/12*1000*Study_MW,0)</f>
        <v>0</v>
      </c>
      <c r="E122" s="71">
        <f t="shared" si="50"/>
        <v>0</v>
      </c>
      <c r="F122" s="75">
        <f>INDEX([11]Delta!$F$1:$EE$997,$L$14,$I122)</f>
        <v>0</v>
      </c>
      <c r="G122" s="76" t="e">
        <f t="shared" si="51"/>
        <v>#DIV/0!</v>
      </c>
      <c r="I122" s="77">
        <f t="shared" ref="I122:I132" si="56">I110+13</f>
        <v>119</v>
      </c>
      <c r="J122" s="73">
        <f t="shared" si="52"/>
        <v>2031</v>
      </c>
      <c r="K122" s="78" t="str">
        <f t="shared" si="54"/>
        <v/>
      </c>
    </row>
    <row r="123" spans="2:11" hidden="1" outlineLevel="1">
      <c r="B123" s="78">
        <f t="shared" si="49"/>
        <v>47908</v>
      </c>
      <c r="C123" s="75">
        <f>IF(F123&lt;&gt;0,-INDEX([11]Delta!$F$1:$EE$997,$L$13,$I123),0)</f>
        <v>0</v>
      </c>
      <c r="D123" s="71">
        <f>IF(F123&lt;&gt;0,VLOOKUP($J123,'Table 1'!$B$13:$C$33,2,FALSE)/12*1000*Study_MW,0)</f>
        <v>0</v>
      </c>
      <c r="E123" s="71">
        <f t="shared" si="50"/>
        <v>0</v>
      </c>
      <c r="F123" s="75">
        <f>INDEX([11]Delta!$F$1:$EE$997,$L$14,$I123)</f>
        <v>0</v>
      </c>
      <c r="G123" s="76" t="e">
        <f t="shared" si="51"/>
        <v>#DIV/0!</v>
      </c>
      <c r="I123" s="77">
        <f t="shared" si="56"/>
        <v>120</v>
      </c>
      <c r="J123" s="73">
        <f t="shared" si="52"/>
        <v>2031</v>
      </c>
      <c r="K123" s="78" t="str">
        <f t="shared" si="54"/>
        <v/>
      </c>
    </row>
    <row r="124" spans="2:11" hidden="1" outlineLevel="1">
      <c r="B124" s="78">
        <f t="shared" si="49"/>
        <v>47939</v>
      </c>
      <c r="C124" s="75">
        <f>IF(F124&lt;&gt;0,-INDEX([11]Delta!$F$1:$EE$997,$L$13,$I124),0)</f>
        <v>0</v>
      </c>
      <c r="D124" s="71">
        <f>IF(F124&lt;&gt;0,VLOOKUP($J124,'Table 1'!$B$13:$C$33,2,FALSE)/12*1000*Study_MW,0)</f>
        <v>0</v>
      </c>
      <c r="E124" s="71">
        <f t="shared" si="50"/>
        <v>0</v>
      </c>
      <c r="F124" s="75">
        <f>INDEX([11]Delta!$F$1:$EE$997,$L$14,$I124)</f>
        <v>0</v>
      </c>
      <c r="G124" s="76" t="e">
        <f t="shared" si="51"/>
        <v>#DIV/0!</v>
      </c>
      <c r="I124" s="77">
        <f t="shared" si="56"/>
        <v>121</v>
      </c>
      <c r="J124" s="73">
        <f t="shared" si="52"/>
        <v>2031</v>
      </c>
      <c r="K124" s="78" t="str">
        <f t="shared" si="54"/>
        <v/>
      </c>
    </row>
    <row r="125" spans="2:11" hidden="1" outlineLevel="1">
      <c r="B125" s="78">
        <f t="shared" si="49"/>
        <v>47969</v>
      </c>
      <c r="C125" s="75">
        <f>IF(F125&lt;&gt;0,-INDEX([11]Delta!$F$1:$EE$997,$L$13,$I125),0)</f>
        <v>0</v>
      </c>
      <c r="D125" s="71">
        <f>IF(F125&lt;&gt;0,VLOOKUP($J125,'Table 1'!$B$13:$C$33,2,FALSE)/12*1000*Study_MW,0)</f>
        <v>0</v>
      </c>
      <c r="E125" s="71">
        <f t="shared" si="50"/>
        <v>0</v>
      </c>
      <c r="F125" s="75">
        <f>INDEX([11]Delta!$F$1:$EE$997,$L$14,$I125)</f>
        <v>0</v>
      </c>
      <c r="G125" s="76" t="e">
        <f t="shared" si="51"/>
        <v>#DIV/0!</v>
      </c>
      <c r="I125" s="77">
        <f t="shared" si="56"/>
        <v>122</v>
      </c>
      <c r="J125" s="73">
        <f t="shared" si="52"/>
        <v>2031</v>
      </c>
      <c r="K125" s="78" t="str">
        <f t="shared" si="54"/>
        <v/>
      </c>
    </row>
    <row r="126" spans="2:11" hidden="1" outlineLevel="1">
      <c r="B126" s="78">
        <f t="shared" si="49"/>
        <v>48000</v>
      </c>
      <c r="C126" s="75">
        <f>IF(F126&lt;&gt;0,-INDEX([11]Delta!$F$1:$EE$997,$L$13,$I126),0)</f>
        <v>0</v>
      </c>
      <c r="D126" s="71">
        <f>IF(F126&lt;&gt;0,VLOOKUP($J126,'Table 1'!$B$13:$C$33,2,FALSE)/12*1000*Study_MW,0)</f>
        <v>0</v>
      </c>
      <c r="E126" s="71">
        <f t="shared" si="50"/>
        <v>0</v>
      </c>
      <c r="F126" s="75">
        <f>INDEX([11]Delta!$F$1:$EE$997,$L$14,$I126)</f>
        <v>0</v>
      </c>
      <c r="G126" s="76" t="e">
        <f t="shared" si="51"/>
        <v>#DIV/0!</v>
      </c>
      <c r="I126" s="77">
        <f t="shared" si="56"/>
        <v>123</v>
      </c>
      <c r="J126" s="73">
        <f t="shared" si="52"/>
        <v>2031</v>
      </c>
      <c r="K126" s="78" t="str">
        <f t="shared" si="54"/>
        <v/>
      </c>
    </row>
    <row r="127" spans="2:11" hidden="1" outlineLevel="1">
      <c r="B127" s="78">
        <f t="shared" si="49"/>
        <v>48030</v>
      </c>
      <c r="C127" s="75">
        <f>IF(F127&lt;&gt;0,-INDEX([11]Delta!$F$1:$EE$997,$L$13,$I127),0)</f>
        <v>0</v>
      </c>
      <c r="D127" s="71">
        <f>IF(F127&lt;&gt;0,VLOOKUP($J127,'Table 1'!$B$13:$C$33,2,FALSE)/12*1000*Study_MW,0)</f>
        <v>0</v>
      </c>
      <c r="E127" s="71">
        <f t="shared" si="50"/>
        <v>0</v>
      </c>
      <c r="F127" s="75">
        <f>INDEX([11]Delta!$F$1:$EE$997,$L$14,$I127)</f>
        <v>0</v>
      </c>
      <c r="G127" s="76" t="e">
        <f t="shared" si="51"/>
        <v>#DIV/0!</v>
      </c>
      <c r="I127" s="77">
        <f t="shared" si="56"/>
        <v>124</v>
      </c>
      <c r="J127" s="73">
        <f t="shared" si="52"/>
        <v>2031</v>
      </c>
      <c r="K127" s="78" t="str">
        <f t="shared" si="54"/>
        <v/>
      </c>
    </row>
    <row r="128" spans="2:11" hidden="1" outlineLevel="1">
      <c r="B128" s="78">
        <f t="shared" si="49"/>
        <v>48061</v>
      </c>
      <c r="C128" s="75">
        <f>IF(F128&lt;&gt;0,-INDEX([11]Delta!$F$1:$EE$997,$L$13,$I128),0)</f>
        <v>0</v>
      </c>
      <c r="D128" s="71">
        <f>IF(F128&lt;&gt;0,VLOOKUP($J128,'Table 1'!$B$13:$C$33,2,FALSE)/12*1000*Study_MW,0)</f>
        <v>0</v>
      </c>
      <c r="E128" s="71">
        <f t="shared" si="50"/>
        <v>0</v>
      </c>
      <c r="F128" s="75">
        <f>INDEX([11]Delta!$F$1:$EE$997,$L$14,$I128)</f>
        <v>0</v>
      </c>
      <c r="G128" s="76" t="e">
        <f t="shared" si="51"/>
        <v>#DIV/0!</v>
      </c>
      <c r="I128" s="77">
        <f t="shared" si="56"/>
        <v>125</v>
      </c>
      <c r="J128" s="73">
        <f t="shared" si="52"/>
        <v>2031</v>
      </c>
      <c r="K128" s="78" t="str">
        <f t="shared" si="54"/>
        <v/>
      </c>
    </row>
    <row r="129" spans="2:11" hidden="1" outlineLevel="1">
      <c r="B129" s="78">
        <f t="shared" si="49"/>
        <v>48092</v>
      </c>
      <c r="C129" s="75">
        <f>IF(F129&lt;&gt;0,-INDEX([11]Delta!$F$1:$EE$997,$L$13,$I129),0)</f>
        <v>0</v>
      </c>
      <c r="D129" s="71">
        <f>IF(F129&lt;&gt;0,VLOOKUP($J129,'Table 1'!$B$13:$C$33,2,FALSE)/12*1000*Study_MW,0)</f>
        <v>0</v>
      </c>
      <c r="E129" s="71">
        <f t="shared" si="50"/>
        <v>0</v>
      </c>
      <c r="F129" s="75">
        <f>INDEX([11]Delta!$F$1:$EE$997,$L$14,$I129)</f>
        <v>0</v>
      </c>
      <c r="G129" s="76" t="e">
        <f t="shared" si="51"/>
        <v>#DIV/0!</v>
      </c>
      <c r="I129" s="77">
        <f t="shared" si="56"/>
        <v>126</v>
      </c>
      <c r="J129" s="73">
        <f t="shared" si="52"/>
        <v>2031</v>
      </c>
      <c r="K129" s="78" t="str">
        <f t="shared" si="54"/>
        <v/>
      </c>
    </row>
    <row r="130" spans="2:11" hidden="1" outlineLevel="1">
      <c r="B130" s="78">
        <f t="shared" si="49"/>
        <v>48122</v>
      </c>
      <c r="C130" s="75">
        <f>IF(F130&lt;&gt;0,-INDEX([11]Delta!$F$1:$EE$997,$L$13,$I130),0)</f>
        <v>0</v>
      </c>
      <c r="D130" s="71">
        <f>IF(F130&lt;&gt;0,VLOOKUP($J130,'Table 1'!$B$13:$C$33,2,FALSE)/12*1000*Study_MW,0)</f>
        <v>0</v>
      </c>
      <c r="E130" s="71">
        <f t="shared" si="50"/>
        <v>0</v>
      </c>
      <c r="F130" s="75">
        <f>INDEX([11]Delta!$F$1:$EE$997,$L$14,$I130)</f>
        <v>0</v>
      </c>
      <c r="G130" s="76" t="e">
        <f t="shared" si="51"/>
        <v>#DIV/0!</v>
      </c>
      <c r="I130" s="77">
        <f t="shared" si="56"/>
        <v>127</v>
      </c>
      <c r="J130" s="73">
        <f t="shared" si="52"/>
        <v>2031</v>
      </c>
      <c r="K130" s="78" t="str">
        <f t="shared" si="54"/>
        <v/>
      </c>
    </row>
    <row r="131" spans="2:11" hidden="1" outlineLevel="1">
      <c r="B131" s="78">
        <f t="shared" si="49"/>
        <v>48153</v>
      </c>
      <c r="C131" s="75">
        <f>IF(F131&lt;&gt;0,-INDEX([11]Delta!$F$1:$EE$997,$L$13,$I131),0)</f>
        <v>0</v>
      </c>
      <c r="D131" s="71">
        <f>IF(F131&lt;&gt;0,VLOOKUP($J131,'Table 1'!$B$13:$C$33,2,FALSE)/12*1000*Study_MW,0)</f>
        <v>0</v>
      </c>
      <c r="E131" s="71">
        <f t="shared" si="50"/>
        <v>0</v>
      </c>
      <c r="F131" s="75">
        <f>INDEX([11]Delta!$F$1:$EE$997,$L$14,$I131)</f>
        <v>0</v>
      </c>
      <c r="G131" s="76" t="e">
        <f t="shared" si="51"/>
        <v>#DIV/0!</v>
      </c>
      <c r="I131" s="77">
        <f t="shared" si="56"/>
        <v>128</v>
      </c>
      <c r="J131" s="73">
        <f t="shared" si="52"/>
        <v>2031</v>
      </c>
      <c r="K131" s="78" t="str">
        <f t="shared" si="54"/>
        <v/>
      </c>
    </row>
    <row r="132" spans="2:11" hidden="1" outlineLevel="1">
      <c r="B132" s="82">
        <f t="shared" si="49"/>
        <v>48183</v>
      </c>
      <c r="C132" s="79">
        <f>IF(F132&lt;&gt;0,-INDEX([11]Delta!$F$1:$EE$997,$L$13,$I132),0)</f>
        <v>0</v>
      </c>
      <c r="D132" s="80">
        <f>IF(F132&lt;&gt;0,VLOOKUP($J132,'Table 1'!$B$13:$C$33,2,FALSE)/12*1000*Study_MW,0)</f>
        <v>0</v>
      </c>
      <c r="E132" s="80">
        <f t="shared" si="50"/>
        <v>0</v>
      </c>
      <c r="F132" s="79">
        <f>INDEX([11]Delta!$F$1:$EE$997,$L$14,$I132)</f>
        <v>0</v>
      </c>
      <c r="G132" s="81" t="e">
        <f t="shared" si="51"/>
        <v>#DIV/0!</v>
      </c>
      <c r="I132" s="64">
        <f t="shared" si="56"/>
        <v>129</v>
      </c>
      <c r="J132" s="73">
        <f t="shared" si="52"/>
        <v>2031</v>
      </c>
      <c r="K132" s="82" t="str">
        <f t="shared" si="54"/>
        <v/>
      </c>
    </row>
    <row r="133" spans="2:11" hidden="1" outlineLevel="1">
      <c r="B133" s="74">
        <f t="shared" si="49"/>
        <v>48214</v>
      </c>
      <c r="C133" s="69"/>
      <c r="D133" s="70"/>
      <c r="E133" s="70"/>
      <c r="F133" s="69"/>
      <c r="G133" s="72"/>
      <c r="I133" s="60">
        <f>I13</f>
        <v>1</v>
      </c>
      <c r="J133" s="73">
        <f t="shared" si="52"/>
        <v>2032</v>
      </c>
      <c r="K133" s="74" t="str">
        <f t="shared" si="54"/>
        <v/>
      </c>
    </row>
    <row r="134" spans="2:11" hidden="1" outlineLevel="1">
      <c r="B134" s="78">
        <f t="shared" si="49"/>
        <v>48245</v>
      </c>
      <c r="C134" s="75"/>
      <c r="D134" s="71"/>
      <c r="E134" s="71"/>
      <c r="F134" s="75"/>
      <c r="G134" s="76"/>
      <c r="I134" s="77">
        <f t="shared" ref="I134:I197" si="57">I14</f>
        <v>2</v>
      </c>
      <c r="J134" s="73">
        <f t="shared" si="52"/>
        <v>2032</v>
      </c>
      <c r="K134" s="78" t="str">
        <f t="shared" si="54"/>
        <v/>
      </c>
    </row>
    <row r="135" spans="2:11" hidden="1" outlineLevel="1">
      <c r="B135" s="78">
        <f t="shared" si="49"/>
        <v>48274</v>
      </c>
      <c r="C135" s="75"/>
      <c r="D135" s="71"/>
      <c r="E135" s="71"/>
      <c r="F135" s="75"/>
      <c r="G135" s="76"/>
      <c r="I135" s="77">
        <f t="shared" si="57"/>
        <v>3</v>
      </c>
      <c r="J135" s="73">
        <f t="shared" si="52"/>
        <v>2032</v>
      </c>
      <c r="K135" s="78" t="str">
        <f t="shared" si="54"/>
        <v/>
      </c>
    </row>
    <row r="136" spans="2:11" hidden="1" outlineLevel="1">
      <c r="B136" s="78">
        <f t="shared" si="49"/>
        <v>48305</v>
      </c>
      <c r="C136" s="75"/>
      <c r="D136" s="71"/>
      <c r="E136" s="71"/>
      <c r="F136" s="75"/>
      <c r="G136" s="76"/>
      <c r="I136" s="77">
        <f t="shared" si="57"/>
        <v>4</v>
      </c>
      <c r="J136" s="73">
        <f t="shared" si="52"/>
        <v>2032</v>
      </c>
      <c r="K136" s="78" t="str">
        <f t="shared" si="54"/>
        <v/>
      </c>
    </row>
    <row r="137" spans="2:11" hidden="1" outlineLevel="1">
      <c r="B137" s="78">
        <f t="shared" si="49"/>
        <v>48335</v>
      </c>
      <c r="C137" s="75"/>
      <c r="D137" s="71"/>
      <c r="E137" s="71"/>
      <c r="F137" s="75"/>
      <c r="G137" s="76"/>
      <c r="I137" s="77">
        <f t="shared" si="57"/>
        <v>5</v>
      </c>
      <c r="J137" s="73">
        <f t="shared" si="52"/>
        <v>2032</v>
      </c>
      <c r="K137" s="78" t="str">
        <f t="shared" si="54"/>
        <v/>
      </c>
    </row>
    <row r="138" spans="2:11" hidden="1" outlineLevel="1">
      <c r="B138" s="78">
        <f t="shared" si="49"/>
        <v>48366</v>
      </c>
      <c r="C138" s="75"/>
      <c r="D138" s="71"/>
      <c r="E138" s="71"/>
      <c r="F138" s="75"/>
      <c r="G138" s="76"/>
      <c r="I138" s="77">
        <f t="shared" si="57"/>
        <v>6</v>
      </c>
      <c r="J138" s="73">
        <f t="shared" si="52"/>
        <v>2032</v>
      </c>
      <c r="K138" s="78" t="str">
        <f t="shared" si="54"/>
        <v/>
      </c>
    </row>
    <row r="139" spans="2:11" hidden="1" outlineLevel="1">
      <c r="B139" s="78">
        <f t="shared" si="49"/>
        <v>48396</v>
      </c>
      <c r="C139" s="75"/>
      <c r="D139" s="71"/>
      <c r="E139" s="71"/>
      <c r="F139" s="75"/>
      <c r="G139" s="76"/>
      <c r="I139" s="77">
        <f t="shared" si="57"/>
        <v>7</v>
      </c>
      <c r="J139" s="73">
        <f t="shared" si="52"/>
        <v>2032</v>
      </c>
      <c r="K139" s="78" t="str">
        <f t="shared" si="54"/>
        <v/>
      </c>
    </row>
    <row r="140" spans="2:11" hidden="1" outlineLevel="1">
      <c r="B140" s="78">
        <f t="shared" si="49"/>
        <v>48427</v>
      </c>
      <c r="C140" s="75"/>
      <c r="D140" s="71"/>
      <c r="E140" s="71"/>
      <c r="F140" s="75"/>
      <c r="G140" s="76"/>
      <c r="I140" s="77">
        <f t="shared" si="57"/>
        <v>8</v>
      </c>
      <c r="J140" s="73">
        <f t="shared" si="52"/>
        <v>2032</v>
      </c>
      <c r="K140" s="78" t="str">
        <f t="shared" si="54"/>
        <v/>
      </c>
    </row>
    <row r="141" spans="2:11" hidden="1" outlineLevel="1">
      <c r="B141" s="78">
        <f t="shared" si="49"/>
        <v>48458</v>
      </c>
      <c r="C141" s="75"/>
      <c r="D141" s="71"/>
      <c r="E141" s="71"/>
      <c r="F141" s="75"/>
      <c r="G141" s="76"/>
      <c r="I141" s="77">
        <f t="shared" si="57"/>
        <v>9</v>
      </c>
      <c r="J141" s="73">
        <f t="shared" si="52"/>
        <v>2032</v>
      </c>
      <c r="K141" s="78" t="str">
        <f t="shared" si="54"/>
        <v/>
      </c>
    </row>
    <row r="142" spans="2:11" hidden="1" outlineLevel="1">
      <c r="B142" s="78">
        <f t="shared" ref="B142:B205" si="58">EDATE(B141,1)</f>
        <v>48488</v>
      </c>
      <c r="C142" s="75"/>
      <c r="D142" s="71"/>
      <c r="E142" s="71"/>
      <c r="F142" s="75"/>
      <c r="G142" s="76"/>
      <c r="I142" s="77">
        <f t="shared" si="57"/>
        <v>10</v>
      </c>
      <c r="J142" s="73">
        <f t="shared" ref="J142:J192" si="59">YEAR(B142)</f>
        <v>2032</v>
      </c>
      <c r="K142" s="78" t="str">
        <f t="shared" si="54"/>
        <v/>
      </c>
    </row>
    <row r="143" spans="2:11" hidden="1" outlineLevel="1">
      <c r="B143" s="78">
        <f t="shared" si="58"/>
        <v>48519</v>
      </c>
      <c r="C143" s="75"/>
      <c r="D143" s="71"/>
      <c r="E143" s="71"/>
      <c r="F143" s="75"/>
      <c r="G143" s="76"/>
      <c r="I143" s="77">
        <f t="shared" si="57"/>
        <v>11</v>
      </c>
      <c r="J143" s="73">
        <f t="shared" si="59"/>
        <v>2032</v>
      </c>
      <c r="K143" s="78" t="str">
        <f t="shared" si="54"/>
        <v/>
      </c>
    </row>
    <row r="144" spans="2:11" hidden="1" outlineLevel="1">
      <c r="B144" s="82">
        <f t="shared" si="58"/>
        <v>48549</v>
      </c>
      <c r="C144" s="79"/>
      <c r="D144" s="80"/>
      <c r="E144" s="80"/>
      <c r="F144" s="79"/>
      <c r="G144" s="81"/>
      <c r="I144" s="64">
        <f t="shared" si="57"/>
        <v>12</v>
      </c>
      <c r="J144" s="73">
        <f t="shared" si="59"/>
        <v>2032</v>
      </c>
      <c r="K144" s="82" t="str">
        <f t="shared" si="54"/>
        <v/>
      </c>
    </row>
    <row r="145" spans="2:11" hidden="1" outlineLevel="1">
      <c r="B145" s="74">
        <f t="shared" si="58"/>
        <v>48580</v>
      </c>
      <c r="C145" s="69"/>
      <c r="D145" s="70"/>
      <c r="E145" s="70"/>
      <c r="F145" s="69"/>
      <c r="G145" s="72"/>
      <c r="I145" s="60">
        <f>I25</f>
        <v>14</v>
      </c>
      <c r="J145" s="73">
        <f t="shared" si="59"/>
        <v>2033</v>
      </c>
      <c r="K145" s="74" t="str">
        <f t="shared" si="54"/>
        <v/>
      </c>
    </row>
    <row r="146" spans="2:11" hidden="1" outlineLevel="1">
      <c r="B146" s="78">
        <f t="shared" si="58"/>
        <v>48611</v>
      </c>
      <c r="C146" s="75"/>
      <c r="D146" s="71"/>
      <c r="E146" s="71"/>
      <c r="F146" s="75"/>
      <c r="G146" s="76"/>
      <c r="I146" s="77">
        <f t="shared" si="57"/>
        <v>15</v>
      </c>
      <c r="J146" s="73">
        <f t="shared" si="59"/>
        <v>2033</v>
      </c>
      <c r="K146" s="78" t="str">
        <f t="shared" si="54"/>
        <v/>
      </c>
    </row>
    <row r="147" spans="2:11" hidden="1" outlineLevel="1">
      <c r="B147" s="78">
        <f t="shared" si="58"/>
        <v>48639</v>
      </c>
      <c r="C147" s="75"/>
      <c r="D147" s="71"/>
      <c r="E147" s="71"/>
      <c r="F147" s="75"/>
      <c r="G147" s="76"/>
      <c r="I147" s="77">
        <f t="shared" si="57"/>
        <v>16</v>
      </c>
      <c r="J147" s="73">
        <f t="shared" si="59"/>
        <v>2033</v>
      </c>
      <c r="K147" s="78" t="str">
        <f t="shared" si="54"/>
        <v/>
      </c>
    </row>
    <row r="148" spans="2:11" hidden="1" outlineLevel="1">
      <c r="B148" s="78">
        <f t="shared" si="58"/>
        <v>48670</v>
      </c>
      <c r="C148" s="75"/>
      <c r="D148" s="71"/>
      <c r="E148" s="71"/>
      <c r="F148" s="75"/>
      <c r="G148" s="76"/>
      <c r="I148" s="77">
        <f t="shared" si="57"/>
        <v>17</v>
      </c>
      <c r="J148" s="73">
        <f t="shared" si="59"/>
        <v>2033</v>
      </c>
      <c r="K148" s="78" t="str">
        <f t="shared" si="54"/>
        <v/>
      </c>
    </row>
    <row r="149" spans="2:11" hidden="1" outlineLevel="1">
      <c r="B149" s="78">
        <f t="shared" si="58"/>
        <v>48700</v>
      </c>
      <c r="C149" s="75"/>
      <c r="D149" s="71"/>
      <c r="E149" s="71"/>
      <c r="F149" s="75"/>
      <c r="G149" s="76"/>
      <c r="I149" s="77">
        <f t="shared" si="57"/>
        <v>18</v>
      </c>
      <c r="J149" s="73">
        <f t="shared" si="59"/>
        <v>2033</v>
      </c>
      <c r="K149" s="78" t="str">
        <f t="shared" si="54"/>
        <v/>
      </c>
    </row>
    <row r="150" spans="2:11" hidden="1" outlineLevel="1">
      <c r="B150" s="78">
        <f t="shared" si="58"/>
        <v>48731</v>
      </c>
      <c r="C150" s="75"/>
      <c r="D150" s="71"/>
      <c r="E150" s="71"/>
      <c r="F150" s="75"/>
      <c r="G150" s="76"/>
      <c r="I150" s="77">
        <f t="shared" si="57"/>
        <v>19</v>
      </c>
      <c r="J150" s="73">
        <f t="shared" si="59"/>
        <v>2033</v>
      </c>
      <c r="K150" s="78" t="str">
        <f t="shared" si="54"/>
        <v/>
      </c>
    </row>
    <row r="151" spans="2:11" hidden="1" outlineLevel="1">
      <c r="B151" s="78">
        <f t="shared" si="58"/>
        <v>48761</v>
      </c>
      <c r="C151" s="75"/>
      <c r="D151" s="71"/>
      <c r="E151" s="71"/>
      <c r="F151" s="75"/>
      <c r="G151" s="76"/>
      <c r="I151" s="77">
        <f t="shared" si="57"/>
        <v>20</v>
      </c>
      <c r="J151" s="73">
        <f t="shared" si="59"/>
        <v>2033</v>
      </c>
      <c r="K151" s="78" t="str">
        <f t="shared" si="54"/>
        <v/>
      </c>
    </row>
    <row r="152" spans="2:11" hidden="1" outlineLevel="1">
      <c r="B152" s="78">
        <f t="shared" si="58"/>
        <v>48792</v>
      </c>
      <c r="C152" s="75"/>
      <c r="D152" s="71"/>
      <c r="E152" s="71"/>
      <c r="F152" s="75"/>
      <c r="G152" s="76"/>
      <c r="I152" s="77">
        <f t="shared" si="57"/>
        <v>21</v>
      </c>
      <c r="J152" s="73">
        <f t="shared" si="59"/>
        <v>2033</v>
      </c>
      <c r="K152" s="78" t="str">
        <f t="shared" si="54"/>
        <v/>
      </c>
    </row>
    <row r="153" spans="2:11" hidden="1" outlineLevel="1">
      <c r="B153" s="78">
        <f t="shared" si="58"/>
        <v>48823</v>
      </c>
      <c r="C153" s="75"/>
      <c r="D153" s="71"/>
      <c r="E153" s="71"/>
      <c r="F153" s="75"/>
      <c r="G153" s="76"/>
      <c r="I153" s="77">
        <f t="shared" si="57"/>
        <v>22</v>
      </c>
      <c r="J153" s="73">
        <f t="shared" si="59"/>
        <v>2033</v>
      </c>
      <c r="K153" s="78" t="str">
        <f t="shared" si="54"/>
        <v/>
      </c>
    </row>
    <row r="154" spans="2:11" hidden="1" outlineLevel="1">
      <c r="B154" s="78">
        <f t="shared" si="58"/>
        <v>48853</v>
      </c>
      <c r="C154" s="75"/>
      <c r="D154" s="71"/>
      <c r="E154" s="71"/>
      <c r="F154" s="75"/>
      <c r="G154" s="76"/>
      <c r="I154" s="77">
        <f t="shared" si="57"/>
        <v>23</v>
      </c>
      <c r="J154" s="73">
        <f t="shared" si="59"/>
        <v>2033</v>
      </c>
      <c r="K154" s="78" t="str">
        <f t="shared" ref="K154:K192" si="60">IF(ISNUMBER(F154),IF(F154&lt;&gt;0,B154,""),"")</f>
        <v/>
      </c>
    </row>
    <row r="155" spans="2:11" hidden="1" outlineLevel="1">
      <c r="B155" s="78">
        <f t="shared" si="58"/>
        <v>48884</v>
      </c>
      <c r="C155" s="75"/>
      <c r="D155" s="71"/>
      <c r="E155" s="71"/>
      <c r="F155" s="75"/>
      <c r="G155" s="76"/>
      <c r="I155" s="77">
        <f t="shared" si="57"/>
        <v>24</v>
      </c>
      <c r="J155" s="73">
        <f t="shared" si="59"/>
        <v>2033</v>
      </c>
      <c r="K155" s="78" t="str">
        <f t="shared" si="60"/>
        <v/>
      </c>
    </row>
    <row r="156" spans="2:11" hidden="1" outlineLevel="1">
      <c r="B156" s="82">
        <f t="shared" si="58"/>
        <v>48914</v>
      </c>
      <c r="C156" s="79"/>
      <c r="D156" s="80"/>
      <c r="E156" s="80"/>
      <c r="F156" s="79"/>
      <c r="G156" s="81"/>
      <c r="I156" s="64">
        <f t="shared" si="57"/>
        <v>25</v>
      </c>
      <c r="J156" s="73">
        <f t="shared" si="59"/>
        <v>2033</v>
      </c>
      <c r="K156" s="82" t="str">
        <f t="shared" si="60"/>
        <v/>
      </c>
    </row>
    <row r="157" spans="2:11" hidden="1" outlineLevel="1">
      <c r="B157" s="74">
        <f t="shared" si="58"/>
        <v>48945</v>
      </c>
      <c r="C157" s="69"/>
      <c r="D157" s="70"/>
      <c r="E157" s="70"/>
      <c r="F157" s="69"/>
      <c r="G157" s="72"/>
      <c r="I157" s="60">
        <f>I37</f>
        <v>27</v>
      </c>
      <c r="J157" s="73">
        <f t="shared" si="59"/>
        <v>2034</v>
      </c>
      <c r="K157" s="74" t="str">
        <f t="shared" si="60"/>
        <v/>
      </c>
    </row>
    <row r="158" spans="2:11" hidden="1" outlineLevel="1">
      <c r="B158" s="78">
        <f t="shared" si="58"/>
        <v>48976</v>
      </c>
      <c r="C158" s="75"/>
      <c r="D158" s="71"/>
      <c r="E158" s="71"/>
      <c r="F158" s="75"/>
      <c r="G158" s="76"/>
      <c r="I158" s="77">
        <f t="shared" si="57"/>
        <v>28</v>
      </c>
      <c r="J158" s="73">
        <f t="shared" si="59"/>
        <v>2034</v>
      </c>
      <c r="K158" s="78" t="str">
        <f t="shared" si="60"/>
        <v/>
      </c>
    </row>
    <row r="159" spans="2:11" hidden="1" outlineLevel="1">
      <c r="B159" s="78">
        <f t="shared" si="58"/>
        <v>49004</v>
      </c>
      <c r="C159" s="75"/>
      <c r="D159" s="71"/>
      <c r="E159" s="71"/>
      <c r="F159" s="75"/>
      <c r="G159" s="76"/>
      <c r="I159" s="77">
        <f t="shared" si="57"/>
        <v>29</v>
      </c>
      <c r="J159" s="73">
        <f t="shared" si="59"/>
        <v>2034</v>
      </c>
      <c r="K159" s="78" t="str">
        <f t="shared" si="60"/>
        <v/>
      </c>
    </row>
    <row r="160" spans="2:11" hidden="1" outlineLevel="1">
      <c r="B160" s="78">
        <f t="shared" si="58"/>
        <v>49035</v>
      </c>
      <c r="C160" s="75"/>
      <c r="D160" s="71"/>
      <c r="E160" s="71"/>
      <c r="F160" s="75"/>
      <c r="G160" s="76"/>
      <c r="I160" s="77">
        <f t="shared" si="57"/>
        <v>30</v>
      </c>
      <c r="J160" s="73">
        <f t="shared" si="59"/>
        <v>2034</v>
      </c>
      <c r="K160" s="78" t="str">
        <f t="shared" si="60"/>
        <v/>
      </c>
    </row>
    <row r="161" spans="2:11" hidden="1" outlineLevel="1">
      <c r="B161" s="78">
        <f t="shared" si="58"/>
        <v>49065</v>
      </c>
      <c r="C161" s="75"/>
      <c r="D161" s="71"/>
      <c r="E161" s="71"/>
      <c r="F161" s="75"/>
      <c r="G161" s="76"/>
      <c r="I161" s="77">
        <f t="shared" si="57"/>
        <v>31</v>
      </c>
      <c r="J161" s="73">
        <f t="shared" si="59"/>
        <v>2034</v>
      </c>
      <c r="K161" s="78" t="str">
        <f t="shared" si="60"/>
        <v/>
      </c>
    </row>
    <row r="162" spans="2:11" hidden="1" outlineLevel="1">
      <c r="B162" s="78">
        <f t="shared" si="58"/>
        <v>49096</v>
      </c>
      <c r="C162" s="75"/>
      <c r="D162" s="71"/>
      <c r="E162" s="71"/>
      <c r="F162" s="75"/>
      <c r="G162" s="76"/>
      <c r="I162" s="77">
        <f t="shared" si="57"/>
        <v>32</v>
      </c>
      <c r="J162" s="73">
        <f t="shared" si="59"/>
        <v>2034</v>
      </c>
      <c r="K162" s="78" t="str">
        <f t="shared" si="60"/>
        <v/>
      </c>
    </row>
    <row r="163" spans="2:11" hidden="1" outlineLevel="1">
      <c r="B163" s="78">
        <f t="shared" si="58"/>
        <v>49126</v>
      </c>
      <c r="C163" s="75"/>
      <c r="D163" s="71"/>
      <c r="E163" s="71"/>
      <c r="F163" s="75"/>
      <c r="G163" s="76"/>
      <c r="I163" s="77">
        <f t="shared" si="57"/>
        <v>33</v>
      </c>
      <c r="J163" s="73">
        <f t="shared" si="59"/>
        <v>2034</v>
      </c>
      <c r="K163" s="78" t="str">
        <f t="shared" si="60"/>
        <v/>
      </c>
    </row>
    <row r="164" spans="2:11" hidden="1" outlineLevel="1">
      <c r="B164" s="78">
        <f t="shared" si="58"/>
        <v>49157</v>
      </c>
      <c r="C164" s="75"/>
      <c r="D164" s="71"/>
      <c r="E164" s="71"/>
      <c r="F164" s="75"/>
      <c r="G164" s="76"/>
      <c r="I164" s="77">
        <f t="shared" si="57"/>
        <v>34</v>
      </c>
      <c r="J164" s="73">
        <f t="shared" si="59"/>
        <v>2034</v>
      </c>
      <c r="K164" s="78" t="str">
        <f t="shared" si="60"/>
        <v/>
      </c>
    </row>
    <row r="165" spans="2:11" hidden="1" outlineLevel="1">
      <c r="B165" s="78">
        <f t="shared" si="58"/>
        <v>49188</v>
      </c>
      <c r="C165" s="75"/>
      <c r="D165" s="71"/>
      <c r="E165" s="71"/>
      <c r="F165" s="75"/>
      <c r="G165" s="76"/>
      <c r="I165" s="77">
        <f t="shared" si="57"/>
        <v>35</v>
      </c>
      <c r="J165" s="73">
        <f t="shared" si="59"/>
        <v>2034</v>
      </c>
      <c r="K165" s="78" t="str">
        <f t="shared" si="60"/>
        <v/>
      </c>
    </row>
    <row r="166" spans="2:11" hidden="1" outlineLevel="1">
      <c r="B166" s="78">
        <f t="shared" si="58"/>
        <v>49218</v>
      </c>
      <c r="C166" s="75"/>
      <c r="D166" s="71"/>
      <c r="E166" s="71"/>
      <c r="F166" s="75"/>
      <c r="G166" s="76"/>
      <c r="I166" s="77">
        <f t="shared" si="57"/>
        <v>36</v>
      </c>
      <c r="J166" s="73">
        <f t="shared" si="59"/>
        <v>2034</v>
      </c>
      <c r="K166" s="78" t="str">
        <f t="shared" si="60"/>
        <v/>
      </c>
    </row>
    <row r="167" spans="2:11" hidden="1" outlineLevel="1">
      <c r="B167" s="78">
        <f t="shared" si="58"/>
        <v>49249</v>
      </c>
      <c r="C167" s="75"/>
      <c r="D167" s="71"/>
      <c r="E167" s="71"/>
      <c r="F167" s="75"/>
      <c r="G167" s="76"/>
      <c r="I167" s="77">
        <f t="shared" si="57"/>
        <v>37</v>
      </c>
      <c r="J167" s="73">
        <f t="shared" si="59"/>
        <v>2034</v>
      </c>
      <c r="K167" s="78" t="str">
        <f t="shared" si="60"/>
        <v/>
      </c>
    </row>
    <row r="168" spans="2:11" hidden="1" outlineLevel="1">
      <c r="B168" s="82">
        <f t="shared" si="58"/>
        <v>49279</v>
      </c>
      <c r="C168" s="79"/>
      <c r="D168" s="80"/>
      <c r="E168" s="80"/>
      <c r="F168" s="79"/>
      <c r="G168" s="81"/>
      <c r="I168" s="64">
        <f t="shared" si="57"/>
        <v>38</v>
      </c>
      <c r="J168" s="73">
        <f t="shared" si="59"/>
        <v>2034</v>
      </c>
      <c r="K168" s="82" t="str">
        <f t="shared" si="60"/>
        <v/>
      </c>
    </row>
    <row r="169" spans="2:11" hidden="1" outlineLevel="1">
      <c r="B169" s="74">
        <f t="shared" si="58"/>
        <v>49310</v>
      </c>
      <c r="C169" s="69"/>
      <c r="D169" s="70"/>
      <c r="E169" s="70"/>
      <c r="F169" s="69"/>
      <c r="G169" s="72"/>
      <c r="I169" s="60">
        <f>I49</f>
        <v>40</v>
      </c>
      <c r="J169" s="73">
        <f t="shared" si="59"/>
        <v>2035</v>
      </c>
      <c r="K169" s="74" t="str">
        <f t="shared" si="60"/>
        <v/>
      </c>
    </row>
    <row r="170" spans="2:11" hidden="1" outlineLevel="1">
      <c r="B170" s="78">
        <f t="shared" si="58"/>
        <v>49341</v>
      </c>
      <c r="C170" s="75"/>
      <c r="D170" s="71"/>
      <c r="E170" s="71"/>
      <c r="F170" s="75"/>
      <c r="G170" s="76"/>
      <c r="I170" s="77">
        <f t="shared" si="57"/>
        <v>41</v>
      </c>
      <c r="J170" s="73">
        <f t="shared" si="59"/>
        <v>2035</v>
      </c>
      <c r="K170" s="78" t="str">
        <f t="shared" si="60"/>
        <v/>
      </c>
    </row>
    <row r="171" spans="2:11" hidden="1" outlineLevel="1">
      <c r="B171" s="78">
        <f t="shared" si="58"/>
        <v>49369</v>
      </c>
      <c r="C171" s="75"/>
      <c r="D171" s="71"/>
      <c r="E171" s="71"/>
      <c r="F171" s="75"/>
      <c r="G171" s="76"/>
      <c r="I171" s="77">
        <f t="shared" si="57"/>
        <v>42</v>
      </c>
      <c r="J171" s="73">
        <f t="shared" si="59"/>
        <v>2035</v>
      </c>
      <c r="K171" s="78" t="str">
        <f t="shared" si="60"/>
        <v/>
      </c>
    </row>
    <row r="172" spans="2:11" hidden="1" outlineLevel="1">
      <c r="B172" s="78">
        <f t="shared" si="58"/>
        <v>49400</v>
      </c>
      <c r="C172" s="75"/>
      <c r="D172" s="71"/>
      <c r="E172" s="71"/>
      <c r="F172" s="75"/>
      <c r="G172" s="76"/>
      <c r="I172" s="77">
        <f t="shared" si="57"/>
        <v>43</v>
      </c>
      <c r="J172" s="73">
        <f t="shared" si="59"/>
        <v>2035</v>
      </c>
      <c r="K172" s="78" t="str">
        <f t="shared" si="60"/>
        <v/>
      </c>
    </row>
    <row r="173" spans="2:11" hidden="1" outlineLevel="1">
      <c r="B173" s="78">
        <f t="shared" si="58"/>
        <v>49430</v>
      </c>
      <c r="C173" s="75"/>
      <c r="D173" s="71"/>
      <c r="E173" s="71"/>
      <c r="F173" s="75"/>
      <c r="G173" s="76"/>
      <c r="I173" s="77">
        <f t="shared" si="57"/>
        <v>44</v>
      </c>
      <c r="J173" s="73">
        <f t="shared" si="59"/>
        <v>2035</v>
      </c>
      <c r="K173" s="78" t="str">
        <f t="shared" si="60"/>
        <v/>
      </c>
    </row>
    <row r="174" spans="2:11" hidden="1" outlineLevel="1">
      <c r="B174" s="78">
        <f t="shared" si="58"/>
        <v>49461</v>
      </c>
      <c r="C174" s="75"/>
      <c r="D174" s="71"/>
      <c r="E174" s="71"/>
      <c r="F174" s="75"/>
      <c r="G174" s="76"/>
      <c r="I174" s="77">
        <f t="shared" si="57"/>
        <v>45</v>
      </c>
      <c r="J174" s="73">
        <f t="shared" si="59"/>
        <v>2035</v>
      </c>
      <c r="K174" s="78" t="str">
        <f t="shared" si="60"/>
        <v/>
      </c>
    </row>
    <row r="175" spans="2:11" hidden="1" outlineLevel="1">
      <c r="B175" s="78">
        <f t="shared" si="58"/>
        <v>49491</v>
      </c>
      <c r="C175" s="75"/>
      <c r="D175" s="71"/>
      <c r="E175" s="71"/>
      <c r="F175" s="75"/>
      <c r="G175" s="76"/>
      <c r="I175" s="77">
        <f t="shared" si="57"/>
        <v>46</v>
      </c>
      <c r="J175" s="73">
        <f t="shared" si="59"/>
        <v>2035</v>
      </c>
      <c r="K175" s="78" t="str">
        <f t="shared" si="60"/>
        <v/>
      </c>
    </row>
    <row r="176" spans="2:11" hidden="1" outlineLevel="1">
      <c r="B176" s="78">
        <f t="shared" si="58"/>
        <v>49522</v>
      </c>
      <c r="C176" s="75"/>
      <c r="D176" s="71"/>
      <c r="E176" s="71"/>
      <c r="F176" s="75"/>
      <c r="G176" s="76"/>
      <c r="I176" s="77">
        <f t="shared" si="57"/>
        <v>47</v>
      </c>
      <c r="J176" s="73">
        <f t="shared" si="59"/>
        <v>2035</v>
      </c>
      <c r="K176" s="78" t="str">
        <f t="shared" si="60"/>
        <v/>
      </c>
    </row>
    <row r="177" spans="2:11" hidden="1" outlineLevel="1">
      <c r="B177" s="78">
        <f t="shared" si="58"/>
        <v>49553</v>
      </c>
      <c r="C177" s="75"/>
      <c r="D177" s="71"/>
      <c r="E177" s="71"/>
      <c r="F177" s="75"/>
      <c r="G177" s="76"/>
      <c r="I177" s="77">
        <f t="shared" si="57"/>
        <v>48</v>
      </c>
      <c r="J177" s="73">
        <f t="shared" si="59"/>
        <v>2035</v>
      </c>
      <c r="K177" s="78" t="str">
        <f t="shared" si="60"/>
        <v/>
      </c>
    </row>
    <row r="178" spans="2:11" hidden="1" outlineLevel="1">
      <c r="B178" s="78">
        <f t="shared" si="58"/>
        <v>49583</v>
      </c>
      <c r="C178" s="75"/>
      <c r="D178" s="71"/>
      <c r="E178" s="71"/>
      <c r="F178" s="75"/>
      <c r="G178" s="76"/>
      <c r="I178" s="77">
        <f t="shared" si="57"/>
        <v>49</v>
      </c>
      <c r="J178" s="73">
        <f t="shared" si="59"/>
        <v>2035</v>
      </c>
      <c r="K178" s="78" t="str">
        <f t="shared" si="60"/>
        <v/>
      </c>
    </row>
    <row r="179" spans="2:11" hidden="1" outlineLevel="1">
      <c r="B179" s="78">
        <f t="shared" si="58"/>
        <v>49614</v>
      </c>
      <c r="C179" s="75"/>
      <c r="D179" s="71"/>
      <c r="E179" s="71"/>
      <c r="F179" s="75"/>
      <c r="G179" s="76"/>
      <c r="I179" s="77">
        <f t="shared" si="57"/>
        <v>50</v>
      </c>
      <c r="J179" s="73">
        <f t="shared" si="59"/>
        <v>2035</v>
      </c>
      <c r="K179" s="78" t="str">
        <f t="shared" si="60"/>
        <v/>
      </c>
    </row>
    <row r="180" spans="2:11" hidden="1" outlineLevel="1">
      <c r="B180" s="82">
        <f t="shared" si="58"/>
        <v>49644</v>
      </c>
      <c r="C180" s="79"/>
      <c r="D180" s="80"/>
      <c r="E180" s="80"/>
      <c r="F180" s="79"/>
      <c r="G180" s="81"/>
      <c r="I180" s="64">
        <f t="shared" si="57"/>
        <v>51</v>
      </c>
      <c r="J180" s="73">
        <f t="shared" si="59"/>
        <v>2035</v>
      </c>
      <c r="K180" s="82" t="str">
        <f t="shared" si="60"/>
        <v/>
      </c>
    </row>
    <row r="181" spans="2:11" hidden="1" collapsed="1">
      <c r="B181" s="74">
        <f t="shared" si="58"/>
        <v>49675</v>
      </c>
      <c r="C181" s="69"/>
      <c r="D181" s="70"/>
      <c r="E181" s="70"/>
      <c r="F181" s="69"/>
      <c r="G181" s="72"/>
      <c r="I181" s="60">
        <f>I61</f>
        <v>53</v>
      </c>
      <c r="J181" s="73">
        <f t="shared" si="59"/>
        <v>2036</v>
      </c>
      <c r="K181" s="74" t="str">
        <f t="shared" si="60"/>
        <v/>
      </c>
    </row>
    <row r="182" spans="2:11" hidden="1">
      <c r="B182" s="78">
        <f t="shared" si="58"/>
        <v>49706</v>
      </c>
      <c r="C182" s="75"/>
      <c r="D182" s="71"/>
      <c r="E182" s="71"/>
      <c r="F182" s="75"/>
      <c r="G182" s="76"/>
      <c r="I182" s="77">
        <f t="shared" si="57"/>
        <v>54</v>
      </c>
      <c r="J182" s="73">
        <f t="shared" si="59"/>
        <v>2036</v>
      </c>
      <c r="K182" s="78" t="str">
        <f t="shared" si="60"/>
        <v/>
      </c>
    </row>
    <row r="183" spans="2:11" hidden="1">
      <c r="B183" s="78">
        <f t="shared" si="58"/>
        <v>49735</v>
      </c>
      <c r="C183" s="75"/>
      <c r="D183" s="71"/>
      <c r="E183" s="71"/>
      <c r="F183" s="75"/>
      <c r="G183" s="76"/>
      <c r="I183" s="77">
        <f t="shared" si="57"/>
        <v>55</v>
      </c>
      <c r="J183" s="73">
        <f t="shared" si="59"/>
        <v>2036</v>
      </c>
      <c r="K183" s="78" t="str">
        <f t="shared" si="60"/>
        <v/>
      </c>
    </row>
    <row r="184" spans="2:11" hidden="1">
      <c r="B184" s="78">
        <f t="shared" si="58"/>
        <v>49766</v>
      </c>
      <c r="C184" s="75"/>
      <c r="D184" s="71"/>
      <c r="E184" s="71"/>
      <c r="F184" s="75"/>
      <c r="G184" s="76"/>
      <c r="I184" s="77">
        <f t="shared" si="57"/>
        <v>56</v>
      </c>
      <c r="J184" s="73">
        <f t="shared" si="59"/>
        <v>2036</v>
      </c>
      <c r="K184" s="78" t="str">
        <f t="shared" si="60"/>
        <v/>
      </c>
    </row>
    <row r="185" spans="2:11" hidden="1">
      <c r="B185" s="78">
        <f t="shared" si="58"/>
        <v>49796</v>
      </c>
      <c r="C185" s="75"/>
      <c r="D185" s="71"/>
      <c r="E185" s="71"/>
      <c r="F185" s="75"/>
      <c r="G185" s="76"/>
      <c r="I185" s="77">
        <f t="shared" si="57"/>
        <v>57</v>
      </c>
      <c r="J185" s="73">
        <f t="shared" si="59"/>
        <v>2036</v>
      </c>
      <c r="K185" s="78" t="str">
        <f t="shared" si="60"/>
        <v/>
      </c>
    </row>
    <row r="186" spans="2:11" hidden="1">
      <c r="B186" s="78">
        <f t="shared" si="58"/>
        <v>49827</v>
      </c>
      <c r="C186" s="75"/>
      <c r="D186" s="71"/>
      <c r="E186" s="71"/>
      <c r="F186" s="75"/>
      <c r="G186" s="76"/>
      <c r="I186" s="77">
        <f t="shared" si="57"/>
        <v>58</v>
      </c>
      <c r="J186" s="73">
        <f t="shared" si="59"/>
        <v>2036</v>
      </c>
      <c r="K186" s="78" t="str">
        <f t="shared" si="60"/>
        <v/>
      </c>
    </row>
    <row r="187" spans="2:11" hidden="1">
      <c r="B187" s="78">
        <f t="shared" si="58"/>
        <v>49857</v>
      </c>
      <c r="C187" s="75"/>
      <c r="D187" s="71"/>
      <c r="E187" s="71"/>
      <c r="F187" s="75"/>
      <c r="G187" s="76"/>
      <c r="I187" s="77">
        <f t="shared" si="57"/>
        <v>59</v>
      </c>
      <c r="J187" s="73">
        <f t="shared" si="59"/>
        <v>2036</v>
      </c>
      <c r="K187" s="78" t="str">
        <f t="shared" si="60"/>
        <v/>
      </c>
    </row>
    <row r="188" spans="2:11" hidden="1">
      <c r="B188" s="78">
        <f t="shared" si="58"/>
        <v>49888</v>
      </c>
      <c r="C188" s="75"/>
      <c r="D188" s="71"/>
      <c r="E188" s="71"/>
      <c r="F188" s="75"/>
      <c r="G188" s="76"/>
      <c r="I188" s="77">
        <f t="shared" si="57"/>
        <v>60</v>
      </c>
      <c r="J188" s="73">
        <f t="shared" si="59"/>
        <v>2036</v>
      </c>
      <c r="K188" s="78" t="str">
        <f t="shared" si="60"/>
        <v/>
      </c>
    </row>
    <row r="189" spans="2:11" hidden="1">
      <c r="B189" s="78">
        <f t="shared" si="58"/>
        <v>49919</v>
      </c>
      <c r="C189" s="75"/>
      <c r="D189" s="71"/>
      <c r="E189" s="71"/>
      <c r="F189" s="75"/>
      <c r="G189" s="76"/>
      <c r="I189" s="77">
        <f t="shared" si="57"/>
        <v>61</v>
      </c>
      <c r="J189" s="73">
        <f t="shared" si="59"/>
        <v>2036</v>
      </c>
      <c r="K189" s="78" t="str">
        <f t="shared" si="60"/>
        <v/>
      </c>
    </row>
    <row r="190" spans="2:11" hidden="1">
      <c r="B190" s="78">
        <f t="shared" si="58"/>
        <v>49949</v>
      </c>
      <c r="C190" s="75"/>
      <c r="D190" s="71"/>
      <c r="E190" s="71"/>
      <c r="F190" s="75"/>
      <c r="G190" s="76"/>
      <c r="I190" s="77">
        <f t="shared" si="57"/>
        <v>62</v>
      </c>
      <c r="J190" s="73">
        <f t="shared" si="59"/>
        <v>2036</v>
      </c>
      <c r="K190" s="78" t="str">
        <f t="shared" si="60"/>
        <v/>
      </c>
    </row>
    <row r="191" spans="2:11" hidden="1">
      <c r="B191" s="78">
        <f t="shared" si="58"/>
        <v>49980</v>
      </c>
      <c r="C191" s="75"/>
      <c r="D191" s="71"/>
      <c r="E191" s="71"/>
      <c r="F191" s="75"/>
      <c r="G191" s="76"/>
      <c r="I191" s="77">
        <f t="shared" si="57"/>
        <v>63</v>
      </c>
      <c r="J191" s="73">
        <f t="shared" si="59"/>
        <v>2036</v>
      </c>
      <c r="K191" s="78" t="str">
        <f t="shared" si="60"/>
        <v/>
      </c>
    </row>
    <row r="192" spans="2:11" hidden="1">
      <c r="B192" s="82">
        <f t="shared" si="58"/>
        <v>50010</v>
      </c>
      <c r="C192" s="79"/>
      <c r="D192" s="80"/>
      <c r="E192" s="80"/>
      <c r="F192" s="79"/>
      <c r="G192" s="81"/>
      <c r="I192" s="64">
        <f t="shared" si="57"/>
        <v>64</v>
      </c>
      <c r="J192" s="73">
        <f t="shared" si="59"/>
        <v>2036</v>
      </c>
      <c r="K192" s="82" t="str">
        <f t="shared" si="60"/>
        <v/>
      </c>
    </row>
    <row r="193" spans="2:20" hidden="1" outlineLevel="1">
      <c r="B193" s="74">
        <f t="shared" si="58"/>
        <v>50041</v>
      </c>
      <c r="C193" s="69"/>
      <c r="D193" s="70"/>
      <c r="E193" s="70"/>
      <c r="F193" s="69"/>
      <c r="G193" s="72"/>
      <c r="I193" s="60">
        <f>I73</f>
        <v>66</v>
      </c>
      <c r="J193" s="73">
        <f t="shared" ref="J193:J240" si="61">YEAR(B193)</f>
        <v>2037</v>
      </c>
      <c r="K193" s="74" t="str">
        <f t="shared" ref="K193:K240" si="62">IF(ISNUMBER(F193),IF(F193&lt;&gt;0,B193,""),"")</f>
        <v/>
      </c>
      <c r="M193" s="41">
        <v>2.3E-2</v>
      </c>
    </row>
    <row r="194" spans="2:20" hidden="1" outlineLevel="1">
      <c r="B194" s="78">
        <f t="shared" si="58"/>
        <v>50072</v>
      </c>
      <c r="C194" s="75"/>
      <c r="D194" s="71"/>
      <c r="E194" s="71"/>
      <c r="F194" s="75"/>
      <c r="G194" s="76"/>
      <c r="I194" s="77">
        <f t="shared" si="57"/>
        <v>67</v>
      </c>
      <c r="J194" s="73">
        <f t="shared" si="61"/>
        <v>2037</v>
      </c>
      <c r="K194" s="78" t="str">
        <f t="shared" si="62"/>
        <v/>
      </c>
      <c r="M194" s="41">
        <v>2.3E-2</v>
      </c>
    </row>
    <row r="195" spans="2:20" hidden="1" outlineLevel="1">
      <c r="B195" s="78">
        <f t="shared" si="58"/>
        <v>50100</v>
      </c>
      <c r="C195" s="75"/>
      <c r="D195" s="71"/>
      <c r="E195" s="71"/>
      <c r="F195" s="75"/>
      <c r="G195" s="76"/>
      <c r="I195" s="77">
        <f t="shared" si="57"/>
        <v>68</v>
      </c>
      <c r="J195" s="73">
        <f t="shared" si="61"/>
        <v>2037</v>
      </c>
      <c r="K195" s="78" t="str">
        <f t="shared" si="62"/>
        <v/>
      </c>
      <c r="M195" s="41">
        <v>2.3E-2</v>
      </c>
    </row>
    <row r="196" spans="2:20" hidden="1" outlineLevel="1">
      <c r="B196" s="78">
        <f t="shared" si="58"/>
        <v>50131</v>
      </c>
      <c r="C196" s="75"/>
      <c r="D196" s="71"/>
      <c r="E196" s="71"/>
      <c r="F196" s="75"/>
      <c r="G196" s="76"/>
      <c r="I196" s="77">
        <f t="shared" si="57"/>
        <v>69</v>
      </c>
      <c r="J196" s="73">
        <f t="shared" si="61"/>
        <v>2037</v>
      </c>
      <c r="K196" s="78" t="str">
        <f t="shared" si="62"/>
        <v/>
      </c>
      <c r="M196" s="41">
        <v>2.3E-2</v>
      </c>
    </row>
    <row r="197" spans="2:20" hidden="1" outlineLevel="1">
      <c r="B197" s="78">
        <f t="shared" si="58"/>
        <v>50161</v>
      </c>
      <c r="C197" s="75"/>
      <c r="D197" s="71"/>
      <c r="E197" s="71"/>
      <c r="F197" s="75"/>
      <c r="G197" s="76"/>
      <c r="I197" s="77">
        <f t="shared" si="57"/>
        <v>70</v>
      </c>
      <c r="J197" s="73">
        <f t="shared" si="61"/>
        <v>2037</v>
      </c>
      <c r="K197" s="78" t="str">
        <f t="shared" si="62"/>
        <v/>
      </c>
      <c r="M197" s="41">
        <v>2.3E-2</v>
      </c>
    </row>
    <row r="198" spans="2:20" hidden="1" outlineLevel="1">
      <c r="B198" s="78">
        <f t="shared" si="58"/>
        <v>50192</v>
      </c>
      <c r="C198" s="75"/>
      <c r="D198" s="71"/>
      <c r="E198" s="71"/>
      <c r="F198" s="75"/>
      <c r="G198" s="76"/>
      <c r="I198" s="77">
        <f t="shared" ref="I198:I204" si="63">I78</f>
        <v>71</v>
      </c>
      <c r="J198" s="73">
        <f t="shared" si="61"/>
        <v>2037</v>
      </c>
      <c r="K198" s="78" t="str">
        <f t="shared" si="62"/>
        <v/>
      </c>
      <c r="M198" s="41">
        <v>2.3E-2</v>
      </c>
    </row>
    <row r="199" spans="2:20" hidden="1" outlineLevel="1">
      <c r="B199" s="78">
        <f t="shared" si="58"/>
        <v>50222</v>
      </c>
      <c r="C199" s="75"/>
      <c r="D199" s="71"/>
      <c r="E199" s="71"/>
      <c r="F199" s="75"/>
      <c r="G199" s="76"/>
      <c r="I199" s="77">
        <f t="shared" si="63"/>
        <v>72</v>
      </c>
      <c r="J199" s="73">
        <f t="shared" si="61"/>
        <v>2037</v>
      </c>
      <c r="K199" s="78" t="str">
        <f t="shared" si="62"/>
        <v/>
      </c>
      <c r="M199" s="41">
        <v>2.3E-2</v>
      </c>
    </row>
    <row r="200" spans="2:20" hidden="1" outlineLevel="1">
      <c r="B200" s="78">
        <f t="shared" si="58"/>
        <v>50253</v>
      </c>
      <c r="C200" s="75"/>
      <c r="D200" s="71"/>
      <c r="E200" s="71"/>
      <c r="F200" s="75"/>
      <c r="G200" s="76"/>
      <c r="I200" s="77">
        <f t="shared" si="63"/>
        <v>73</v>
      </c>
      <c r="J200" s="73">
        <f t="shared" si="61"/>
        <v>2037</v>
      </c>
      <c r="K200" s="78" t="str">
        <f t="shared" si="62"/>
        <v/>
      </c>
      <c r="M200" s="41">
        <v>2.3E-2</v>
      </c>
    </row>
    <row r="201" spans="2:20" hidden="1" outlineLevel="1">
      <c r="B201" s="78">
        <f t="shared" si="58"/>
        <v>50284</v>
      </c>
      <c r="C201" s="75"/>
      <c r="D201" s="71"/>
      <c r="E201" s="71"/>
      <c r="F201" s="75"/>
      <c r="G201" s="76"/>
      <c r="I201" s="77">
        <f t="shared" si="63"/>
        <v>74</v>
      </c>
      <c r="J201" s="73">
        <f t="shared" si="61"/>
        <v>2037</v>
      </c>
      <c r="K201" s="78" t="str">
        <f t="shared" si="62"/>
        <v/>
      </c>
      <c r="M201" s="41">
        <v>2.3E-2</v>
      </c>
    </row>
    <row r="202" spans="2:20" hidden="1" outlineLevel="1">
      <c r="B202" s="78">
        <f t="shared" si="58"/>
        <v>50314</v>
      </c>
      <c r="C202" s="75"/>
      <c r="D202" s="71"/>
      <c r="E202" s="71"/>
      <c r="F202" s="75"/>
      <c r="G202" s="76"/>
      <c r="I202" s="77">
        <f t="shared" si="63"/>
        <v>75</v>
      </c>
      <c r="J202" s="73">
        <f t="shared" si="61"/>
        <v>2037</v>
      </c>
      <c r="K202" s="78" t="str">
        <f t="shared" si="62"/>
        <v/>
      </c>
      <c r="M202" s="41">
        <v>2.3E-2</v>
      </c>
    </row>
    <row r="203" spans="2:20" hidden="1" outlineLevel="1">
      <c r="B203" s="78">
        <f t="shared" si="58"/>
        <v>50345</v>
      </c>
      <c r="C203" s="75"/>
      <c r="D203" s="71"/>
      <c r="E203" s="71"/>
      <c r="F203" s="75"/>
      <c r="G203" s="76"/>
      <c r="I203" s="77">
        <f t="shared" si="63"/>
        <v>76</v>
      </c>
      <c r="J203" s="73">
        <f t="shared" si="61"/>
        <v>2037</v>
      </c>
      <c r="K203" s="78" t="str">
        <f t="shared" si="62"/>
        <v/>
      </c>
      <c r="M203" s="41">
        <v>2.3E-2</v>
      </c>
    </row>
    <row r="204" spans="2:20" hidden="1" outlineLevel="1">
      <c r="B204" s="82">
        <f t="shared" si="58"/>
        <v>50375</v>
      </c>
      <c r="C204" s="79"/>
      <c r="D204" s="80"/>
      <c r="E204" s="80"/>
      <c r="F204" s="79"/>
      <c r="G204" s="81"/>
      <c r="I204" s="64">
        <f t="shared" si="63"/>
        <v>77</v>
      </c>
      <c r="J204" s="73">
        <f t="shared" si="61"/>
        <v>2037</v>
      </c>
      <c r="K204" s="82" t="str">
        <f t="shared" si="62"/>
        <v/>
      </c>
      <c r="M204" s="41">
        <v>2.3E-2</v>
      </c>
    </row>
    <row r="205" spans="2:20" hidden="1" outlineLevel="1">
      <c r="B205" s="74">
        <f t="shared" si="58"/>
        <v>50406</v>
      </c>
      <c r="C205" s="69"/>
      <c r="D205" s="70"/>
      <c r="E205" s="70"/>
      <c r="F205" s="69"/>
      <c r="G205" s="72"/>
      <c r="I205" s="60">
        <f>I85</f>
        <v>79</v>
      </c>
      <c r="J205" s="73">
        <f t="shared" si="61"/>
        <v>2038</v>
      </c>
      <c r="K205" s="74" t="str">
        <f t="shared" si="62"/>
        <v/>
      </c>
      <c r="M205" s="41">
        <v>2.3E-2</v>
      </c>
      <c r="T205" s="173"/>
    </row>
    <row r="206" spans="2:20" hidden="1" outlineLevel="1">
      <c r="B206" s="78">
        <f t="shared" ref="B206:B240" si="64">EDATE(B205,1)</f>
        <v>50437</v>
      </c>
      <c r="C206" s="75"/>
      <c r="D206" s="71"/>
      <c r="E206" s="71"/>
      <c r="F206" s="75"/>
      <c r="G206" s="76"/>
      <c r="I206" s="77">
        <f t="shared" ref="I206:I216" si="65">I86</f>
        <v>80</v>
      </c>
      <c r="J206" s="73">
        <f t="shared" si="61"/>
        <v>2038</v>
      </c>
      <c r="K206" s="78" t="str">
        <f t="shared" si="62"/>
        <v/>
      </c>
      <c r="M206" s="41">
        <v>2.3E-2</v>
      </c>
      <c r="T206" s="173"/>
    </row>
    <row r="207" spans="2:20" hidden="1" outlineLevel="1">
      <c r="B207" s="78">
        <f t="shared" si="64"/>
        <v>50465</v>
      </c>
      <c r="C207" s="75"/>
      <c r="D207" s="71"/>
      <c r="E207" s="71"/>
      <c r="F207" s="75"/>
      <c r="G207" s="76"/>
      <c r="I207" s="77">
        <f t="shared" si="65"/>
        <v>81</v>
      </c>
      <c r="J207" s="73">
        <f t="shared" si="61"/>
        <v>2038</v>
      </c>
      <c r="K207" s="78" t="str">
        <f t="shared" si="62"/>
        <v/>
      </c>
      <c r="M207" s="41">
        <v>2.3E-2</v>
      </c>
      <c r="T207" s="173"/>
    </row>
    <row r="208" spans="2:20" hidden="1" outlineLevel="1">
      <c r="B208" s="78">
        <f t="shared" si="64"/>
        <v>50496</v>
      </c>
      <c r="C208" s="75"/>
      <c r="D208" s="71"/>
      <c r="E208" s="71"/>
      <c r="F208" s="75"/>
      <c r="G208" s="76"/>
      <c r="I208" s="77">
        <f t="shared" si="65"/>
        <v>82</v>
      </c>
      <c r="J208" s="73">
        <f t="shared" si="61"/>
        <v>2038</v>
      </c>
      <c r="K208" s="78" t="str">
        <f t="shared" si="62"/>
        <v/>
      </c>
      <c r="M208" s="41">
        <v>2.3E-2</v>
      </c>
      <c r="T208" s="173"/>
    </row>
    <row r="209" spans="2:20" hidden="1" outlineLevel="1">
      <c r="B209" s="78">
        <f t="shared" si="64"/>
        <v>50526</v>
      </c>
      <c r="C209" s="75"/>
      <c r="D209" s="71"/>
      <c r="E209" s="71"/>
      <c r="F209" s="75"/>
      <c r="G209" s="76"/>
      <c r="I209" s="77">
        <f t="shared" si="65"/>
        <v>83</v>
      </c>
      <c r="J209" s="73">
        <f t="shared" si="61"/>
        <v>2038</v>
      </c>
      <c r="K209" s="78" t="str">
        <f t="shared" si="62"/>
        <v/>
      </c>
      <c r="M209" s="41">
        <v>2.3E-2</v>
      </c>
      <c r="T209" s="173"/>
    </row>
    <row r="210" spans="2:20" hidden="1" outlineLevel="1">
      <c r="B210" s="78">
        <f t="shared" si="64"/>
        <v>50557</v>
      </c>
      <c r="C210" s="75"/>
      <c r="D210" s="71"/>
      <c r="E210" s="71"/>
      <c r="F210" s="75"/>
      <c r="G210" s="76"/>
      <c r="I210" s="77">
        <f t="shared" si="65"/>
        <v>84</v>
      </c>
      <c r="J210" s="73">
        <f t="shared" si="61"/>
        <v>2038</v>
      </c>
      <c r="K210" s="78" t="str">
        <f t="shared" si="62"/>
        <v/>
      </c>
      <c r="M210" s="41">
        <v>2.3E-2</v>
      </c>
      <c r="T210" s="173"/>
    </row>
    <row r="211" spans="2:20" hidden="1" outlineLevel="1">
      <c r="B211" s="78">
        <f t="shared" si="64"/>
        <v>50587</v>
      </c>
      <c r="C211" s="75"/>
      <c r="D211" s="71"/>
      <c r="E211" s="71"/>
      <c r="F211" s="75"/>
      <c r="G211" s="76"/>
      <c r="I211" s="77">
        <f t="shared" si="65"/>
        <v>85</v>
      </c>
      <c r="J211" s="73">
        <f t="shared" si="61"/>
        <v>2038</v>
      </c>
      <c r="K211" s="78" t="str">
        <f t="shared" si="62"/>
        <v/>
      </c>
      <c r="M211" s="41">
        <v>2.3E-2</v>
      </c>
      <c r="T211" s="173"/>
    </row>
    <row r="212" spans="2:20" hidden="1" outlineLevel="1">
      <c r="B212" s="78">
        <f t="shared" si="64"/>
        <v>50618</v>
      </c>
      <c r="C212" s="75"/>
      <c r="D212" s="71"/>
      <c r="E212" s="71"/>
      <c r="F212" s="75"/>
      <c r="G212" s="76"/>
      <c r="I212" s="77">
        <f t="shared" si="65"/>
        <v>86</v>
      </c>
      <c r="J212" s="73">
        <f t="shared" si="61"/>
        <v>2038</v>
      </c>
      <c r="K212" s="78" t="str">
        <f t="shared" si="62"/>
        <v/>
      </c>
      <c r="M212" s="41">
        <v>2.3E-2</v>
      </c>
      <c r="T212" s="173"/>
    </row>
    <row r="213" spans="2:20" hidden="1" outlineLevel="1">
      <c r="B213" s="78">
        <f t="shared" si="64"/>
        <v>50649</v>
      </c>
      <c r="C213" s="75"/>
      <c r="D213" s="71"/>
      <c r="E213" s="71"/>
      <c r="F213" s="75"/>
      <c r="G213" s="76"/>
      <c r="I213" s="77">
        <f t="shared" si="65"/>
        <v>87</v>
      </c>
      <c r="J213" s="73">
        <f t="shared" si="61"/>
        <v>2038</v>
      </c>
      <c r="K213" s="78" t="str">
        <f t="shared" si="62"/>
        <v/>
      </c>
      <c r="M213" s="41">
        <v>2.3E-2</v>
      </c>
      <c r="T213" s="173"/>
    </row>
    <row r="214" spans="2:20" hidden="1" outlineLevel="1">
      <c r="B214" s="78">
        <f t="shared" si="64"/>
        <v>50679</v>
      </c>
      <c r="C214" s="75"/>
      <c r="D214" s="71"/>
      <c r="E214" s="71"/>
      <c r="F214" s="75"/>
      <c r="G214" s="76"/>
      <c r="I214" s="77">
        <f t="shared" si="65"/>
        <v>88</v>
      </c>
      <c r="J214" s="73">
        <f t="shared" si="61"/>
        <v>2038</v>
      </c>
      <c r="K214" s="78" t="str">
        <f t="shared" si="62"/>
        <v/>
      </c>
      <c r="M214" s="41">
        <v>2.3E-2</v>
      </c>
      <c r="T214" s="173"/>
    </row>
    <row r="215" spans="2:20" hidden="1" outlineLevel="1">
      <c r="B215" s="78">
        <f t="shared" si="64"/>
        <v>50710</v>
      </c>
      <c r="C215" s="75"/>
      <c r="D215" s="71"/>
      <c r="E215" s="71"/>
      <c r="F215" s="75"/>
      <c r="G215" s="76"/>
      <c r="I215" s="77">
        <f t="shared" si="65"/>
        <v>89</v>
      </c>
      <c r="J215" s="73">
        <f t="shared" si="61"/>
        <v>2038</v>
      </c>
      <c r="K215" s="78" t="str">
        <f t="shared" si="62"/>
        <v/>
      </c>
      <c r="M215" s="41">
        <v>2.3E-2</v>
      </c>
      <c r="T215" s="173"/>
    </row>
    <row r="216" spans="2:20" hidden="1" outlineLevel="1">
      <c r="B216" s="82">
        <f t="shared" si="64"/>
        <v>50740</v>
      </c>
      <c r="C216" s="79"/>
      <c r="D216" s="80"/>
      <c r="E216" s="80"/>
      <c r="F216" s="79"/>
      <c r="G216" s="81"/>
      <c r="I216" s="64">
        <f t="shared" si="65"/>
        <v>90</v>
      </c>
      <c r="J216" s="73">
        <f t="shared" si="61"/>
        <v>2038</v>
      </c>
      <c r="K216" s="82" t="str">
        <f t="shared" si="62"/>
        <v/>
      </c>
      <c r="M216" s="41">
        <v>2.3E-2</v>
      </c>
      <c r="T216" s="173"/>
    </row>
    <row r="217" spans="2:20" hidden="1" outlineLevel="1">
      <c r="B217" s="74">
        <f t="shared" si="64"/>
        <v>50771</v>
      </c>
      <c r="C217" s="390"/>
      <c r="D217" s="391"/>
      <c r="E217" s="391"/>
      <c r="F217" s="390"/>
      <c r="G217" s="392"/>
      <c r="I217" s="60">
        <f>I97</f>
        <v>92</v>
      </c>
      <c r="J217" s="73">
        <f t="shared" si="61"/>
        <v>2039</v>
      </c>
      <c r="K217" s="74" t="str">
        <f t="shared" si="62"/>
        <v/>
      </c>
      <c r="M217" s="41">
        <v>2.3E-2</v>
      </c>
      <c r="T217" s="173"/>
    </row>
    <row r="218" spans="2:20" hidden="1" outlineLevel="1">
      <c r="B218" s="78">
        <f t="shared" si="64"/>
        <v>50802</v>
      </c>
      <c r="C218" s="393"/>
      <c r="D218" s="394"/>
      <c r="E218" s="394"/>
      <c r="F218" s="393"/>
      <c r="G218" s="395"/>
      <c r="I218" s="77">
        <f t="shared" ref="I218:I228" si="66">I98</f>
        <v>93</v>
      </c>
      <c r="J218" s="73">
        <f t="shared" si="61"/>
        <v>2039</v>
      </c>
      <c r="K218" s="78" t="str">
        <f t="shared" si="62"/>
        <v/>
      </c>
      <c r="M218" s="41">
        <v>2.3E-2</v>
      </c>
      <c r="T218" s="173"/>
    </row>
    <row r="219" spans="2:20" hidden="1" outlineLevel="1">
      <c r="B219" s="78">
        <f t="shared" si="64"/>
        <v>50830</v>
      </c>
      <c r="C219" s="393"/>
      <c r="D219" s="394"/>
      <c r="E219" s="394"/>
      <c r="F219" s="393"/>
      <c r="G219" s="395"/>
      <c r="I219" s="77">
        <f t="shared" si="66"/>
        <v>94</v>
      </c>
      <c r="J219" s="73">
        <f t="shared" si="61"/>
        <v>2039</v>
      </c>
      <c r="K219" s="78" t="str">
        <f t="shared" si="62"/>
        <v/>
      </c>
      <c r="M219" s="41">
        <v>2.3E-2</v>
      </c>
      <c r="T219" s="173"/>
    </row>
    <row r="220" spans="2:20" hidden="1" outlineLevel="1">
      <c r="B220" s="78">
        <f t="shared" si="64"/>
        <v>50861</v>
      </c>
      <c r="C220" s="393"/>
      <c r="D220" s="394"/>
      <c r="E220" s="394"/>
      <c r="F220" s="393"/>
      <c r="G220" s="395"/>
      <c r="I220" s="77">
        <f t="shared" si="66"/>
        <v>95</v>
      </c>
      <c r="J220" s="73">
        <f t="shared" si="61"/>
        <v>2039</v>
      </c>
      <c r="K220" s="78" t="str">
        <f t="shared" si="62"/>
        <v/>
      </c>
      <c r="M220" s="41">
        <v>2.3E-2</v>
      </c>
      <c r="T220" s="173"/>
    </row>
    <row r="221" spans="2:20" hidden="1" outlineLevel="1">
      <c r="B221" s="78">
        <f t="shared" si="64"/>
        <v>50891</v>
      </c>
      <c r="C221" s="393"/>
      <c r="D221" s="394"/>
      <c r="E221" s="394"/>
      <c r="F221" s="393"/>
      <c r="G221" s="395"/>
      <c r="I221" s="77">
        <f t="shared" si="66"/>
        <v>96</v>
      </c>
      <c r="J221" s="73">
        <f t="shared" si="61"/>
        <v>2039</v>
      </c>
      <c r="K221" s="78" t="str">
        <f t="shared" si="62"/>
        <v/>
      </c>
      <c r="M221" s="41">
        <v>2.3E-2</v>
      </c>
      <c r="T221" s="173"/>
    </row>
    <row r="222" spans="2:20" hidden="1" outlineLevel="1">
      <c r="B222" s="78">
        <f t="shared" si="64"/>
        <v>50922</v>
      </c>
      <c r="C222" s="393"/>
      <c r="D222" s="394"/>
      <c r="E222" s="394"/>
      <c r="F222" s="393"/>
      <c r="G222" s="395"/>
      <c r="I222" s="77">
        <f t="shared" si="66"/>
        <v>97</v>
      </c>
      <c r="J222" s="73">
        <f t="shared" si="61"/>
        <v>2039</v>
      </c>
      <c r="K222" s="78" t="str">
        <f t="shared" si="62"/>
        <v/>
      </c>
      <c r="M222" s="41">
        <v>2.3E-2</v>
      </c>
      <c r="T222" s="173"/>
    </row>
    <row r="223" spans="2:20" hidden="1" outlineLevel="1">
      <c r="B223" s="78">
        <f t="shared" si="64"/>
        <v>50952</v>
      </c>
      <c r="C223" s="393"/>
      <c r="D223" s="394"/>
      <c r="E223" s="394"/>
      <c r="F223" s="393"/>
      <c r="G223" s="395"/>
      <c r="I223" s="77">
        <f t="shared" si="66"/>
        <v>98</v>
      </c>
      <c r="J223" s="73">
        <f t="shared" si="61"/>
        <v>2039</v>
      </c>
      <c r="K223" s="78" t="str">
        <f t="shared" si="62"/>
        <v/>
      </c>
      <c r="M223" s="41">
        <v>2.3E-2</v>
      </c>
      <c r="T223" s="173"/>
    </row>
    <row r="224" spans="2:20" hidden="1" outlineLevel="1">
      <c r="B224" s="78">
        <f t="shared" si="64"/>
        <v>50983</v>
      </c>
      <c r="C224" s="393"/>
      <c r="D224" s="394"/>
      <c r="E224" s="394"/>
      <c r="F224" s="393"/>
      <c r="G224" s="395"/>
      <c r="I224" s="77">
        <f t="shared" si="66"/>
        <v>99</v>
      </c>
      <c r="J224" s="73">
        <f t="shared" si="61"/>
        <v>2039</v>
      </c>
      <c r="K224" s="78" t="str">
        <f t="shared" si="62"/>
        <v/>
      </c>
      <c r="M224" s="41">
        <v>2.3E-2</v>
      </c>
      <c r="T224" s="173"/>
    </row>
    <row r="225" spans="2:20" hidden="1" outlineLevel="1">
      <c r="B225" s="78">
        <f t="shared" si="64"/>
        <v>51014</v>
      </c>
      <c r="C225" s="393"/>
      <c r="D225" s="394"/>
      <c r="E225" s="394"/>
      <c r="F225" s="393"/>
      <c r="G225" s="395"/>
      <c r="I225" s="77">
        <f t="shared" si="66"/>
        <v>100</v>
      </c>
      <c r="J225" s="73">
        <f t="shared" si="61"/>
        <v>2039</v>
      </c>
      <c r="K225" s="78" t="str">
        <f t="shared" si="62"/>
        <v/>
      </c>
      <c r="M225" s="41">
        <v>2.3E-2</v>
      </c>
      <c r="T225" s="173"/>
    </row>
    <row r="226" spans="2:20" hidden="1" outlineLevel="1">
      <c r="B226" s="78">
        <f t="shared" si="64"/>
        <v>51044</v>
      </c>
      <c r="C226" s="393"/>
      <c r="D226" s="394"/>
      <c r="E226" s="394"/>
      <c r="F226" s="393"/>
      <c r="G226" s="395"/>
      <c r="I226" s="77">
        <f t="shared" si="66"/>
        <v>101</v>
      </c>
      <c r="J226" s="73">
        <f t="shared" si="61"/>
        <v>2039</v>
      </c>
      <c r="K226" s="78" t="str">
        <f t="shared" si="62"/>
        <v/>
      </c>
      <c r="M226" s="41">
        <v>2.3E-2</v>
      </c>
      <c r="T226" s="173"/>
    </row>
    <row r="227" spans="2:20" hidden="1" outlineLevel="1">
      <c r="B227" s="78">
        <f t="shared" si="64"/>
        <v>51075</v>
      </c>
      <c r="C227" s="393"/>
      <c r="D227" s="394"/>
      <c r="E227" s="394"/>
      <c r="F227" s="393"/>
      <c r="G227" s="395"/>
      <c r="I227" s="77">
        <f t="shared" si="66"/>
        <v>102</v>
      </c>
      <c r="J227" s="73">
        <f t="shared" si="61"/>
        <v>2039</v>
      </c>
      <c r="K227" s="78" t="str">
        <f t="shared" si="62"/>
        <v/>
      </c>
      <c r="M227" s="41">
        <v>2.3E-2</v>
      </c>
      <c r="T227" s="173"/>
    </row>
    <row r="228" spans="2:20" hidden="1" outlineLevel="1">
      <c r="B228" s="82">
        <f t="shared" si="64"/>
        <v>51105</v>
      </c>
      <c r="C228" s="396"/>
      <c r="D228" s="397"/>
      <c r="E228" s="397"/>
      <c r="F228" s="396"/>
      <c r="G228" s="398"/>
      <c r="I228" s="64">
        <f t="shared" si="66"/>
        <v>103</v>
      </c>
      <c r="J228" s="73">
        <f t="shared" si="61"/>
        <v>2039</v>
      </c>
      <c r="K228" s="82" t="str">
        <f t="shared" si="62"/>
        <v/>
      </c>
      <c r="M228" s="41">
        <v>2.3E-2</v>
      </c>
      <c r="T228" s="173"/>
    </row>
    <row r="229" spans="2:20" hidden="1" outlineLevel="1">
      <c r="B229" s="74">
        <f t="shared" si="64"/>
        <v>51136</v>
      </c>
      <c r="C229" s="390"/>
      <c r="D229" s="391"/>
      <c r="E229" s="391"/>
      <c r="F229" s="390"/>
      <c r="G229" s="392"/>
      <c r="I229" s="60">
        <f>I109</f>
        <v>105</v>
      </c>
      <c r="J229" s="73">
        <f t="shared" si="61"/>
        <v>2040</v>
      </c>
      <c r="K229" s="74" t="str">
        <f t="shared" si="62"/>
        <v/>
      </c>
      <c r="M229" s="41">
        <v>2.3E-2</v>
      </c>
      <c r="T229" s="173"/>
    </row>
    <row r="230" spans="2:20" hidden="1" outlineLevel="1">
      <c r="B230" s="78">
        <f t="shared" si="64"/>
        <v>51167</v>
      </c>
      <c r="C230" s="393"/>
      <c r="D230" s="394"/>
      <c r="E230" s="394"/>
      <c r="F230" s="393"/>
      <c r="G230" s="395"/>
      <c r="I230" s="77">
        <f t="shared" ref="I230:I240" si="67">I110</f>
        <v>106</v>
      </c>
      <c r="J230" s="73">
        <f t="shared" si="61"/>
        <v>2040</v>
      </c>
      <c r="K230" s="78" t="str">
        <f t="shared" si="62"/>
        <v/>
      </c>
      <c r="M230" s="41">
        <v>2.3E-2</v>
      </c>
      <c r="T230" s="173"/>
    </row>
    <row r="231" spans="2:20" hidden="1" outlineLevel="1">
      <c r="B231" s="78">
        <f t="shared" si="64"/>
        <v>51196</v>
      </c>
      <c r="C231" s="393"/>
      <c r="D231" s="394"/>
      <c r="E231" s="394"/>
      <c r="F231" s="393"/>
      <c r="G231" s="395"/>
      <c r="I231" s="77">
        <f t="shared" si="67"/>
        <v>107</v>
      </c>
      <c r="J231" s="73">
        <f t="shared" si="61"/>
        <v>2040</v>
      </c>
      <c r="K231" s="78" t="str">
        <f t="shared" si="62"/>
        <v/>
      </c>
      <c r="M231" s="41">
        <v>2.3E-2</v>
      </c>
      <c r="T231" s="173"/>
    </row>
    <row r="232" spans="2:20" hidden="1" outlineLevel="1">
      <c r="B232" s="78">
        <f t="shared" si="64"/>
        <v>51227</v>
      </c>
      <c r="C232" s="393"/>
      <c r="D232" s="394"/>
      <c r="E232" s="394"/>
      <c r="F232" s="393"/>
      <c r="G232" s="395"/>
      <c r="I232" s="77">
        <f t="shared" si="67"/>
        <v>108</v>
      </c>
      <c r="J232" s="73">
        <f t="shared" si="61"/>
        <v>2040</v>
      </c>
      <c r="K232" s="78" t="str">
        <f t="shared" si="62"/>
        <v/>
      </c>
      <c r="M232" s="41">
        <v>2.3E-2</v>
      </c>
      <c r="T232" s="173"/>
    </row>
    <row r="233" spans="2:20" hidden="1" outlineLevel="1">
      <c r="B233" s="78">
        <f t="shared" si="64"/>
        <v>51257</v>
      </c>
      <c r="C233" s="393"/>
      <c r="D233" s="394"/>
      <c r="E233" s="394"/>
      <c r="F233" s="393"/>
      <c r="G233" s="395"/>
      <c r="I233" s="77">
        <f t="shared" si="67"/>
        <v>109</v>
      </c>
      <c r="J233" s="73">
        <f t="shared" si="61"/>
        <v>2040</v>
      </c>
      <c r="K233" s="78" t="str">
        <f t="shared" si="62"/>
        <v/>
      </c>
      <c r="M233" s="41">
        <v>2.3E-2</v>
      </c>
      <c r="T233" s="173"/>
    </row>
    <row r="234" spans="2:20" hidden="1" outlineLevel="1">
      <c r="B234" s="78">
        <f t="shared" si="64"/>
        <v>51288</v>
      </c>
      <c r="C234" s="393"/>
      <c r="D234" s="394"/>
      <c r="E234" s="394"/>
      <c r="F234" s="393"/>
      <c r="G234" s="395"/>
      <c r="I234" s="77">
        <f t="shared" si="67"/>
        <v>110</v>
      </c>
      <c r="J234" s="73">
        <f t="shared" si="61"/>
        <v>2040</v>
      </c>
      <c r="K234" s="78" t="str">
        <f t="shared" si="62"/>
        <v/>
      </c>
      <c r="M234" s="41">
        <v>2.3E-2</v>
      </c>
      <c r="T234" s="173"/>
    </row>
    <row r="235" spans="2:20" hidden="1" outlineLevel="1">
      <c r="B235" s="78">
        <f t="shared" si="64"/>
        <v>51318</v>
      </c>
      <c r="C235" s="393"/>
      <c r="D235" s="394"/>
      <c r="E235" s="394"/>
      <c r="F235" s="393"/>
      <c r="G235" s="395"/>
      <c r="I235" s="77">
        <f t="shared" si="67"/>
        <v>111</v>
      </c>
      <c r="J235" s="73">
        <f t="shared" si="61"/>
        <v>2040</v>
      </c>
      <c r="K235" s="78" t="str">
        <f t="shared" si="62"/>
        <v/>
      </c>
      <c r="M235" s="41">
        <v>2.3E-2</v>
      </c>
      <c r="T235" s="173"/>
    </row>
    <row r="236" spans="2:20" hidden="1" outlineLevel="1">
      <c r="B236" s="78">
        <f t="shared" si="64"/>
        <v>51349</v>
      </c>
      <c r="C236" s="393"/>
      <c r="D236" s="394"/>
      <c r="E236" s="394"/>
      <c r="F236" s="393"/>
      <c r="G236" s="395"/>
      <c r="I236" s="77">
        <f t="shared" si="67"/>
        <v>112</v>
      </c>
      <c r="J236" s="73">
        <f t="shared" si="61"/>
        <v>2040</v>
      </c>
      <c r="K236" s="78" t="str">
        <f t="shared" si="62"/>
        <v/>
      </c>
      <c r="M236" s="41">
        <v>2.3E-2</v>
      </c>
      <c r="T236" s="173"/>
    </row>
    <row r="237" spans="2:20" hidden="1" outlineLevel="1">
      <c r="B237" s="78">
        <f t="shared" si="64"/>
        <v>51380</v>
      </c>
      <c r="C237" s="393"/>
      <c r="D237" s="394"/>
      <c r="E237" s="394"/>
      <c r="F237" s="393"/>
      <c r="G237" s="395"/>
      <c r="I237" s="77">
        <f t="shared" si="67"/>
        <v>113</v>
      </c>
      <c r="J237" s="73">
        <f t="shared" si="61"/>
        <v>2040</v>
      </c>
      <c r="K237" s="78" t="str">
        <f t="shared" si="62"/>
        <v/>
      </c>
      <c r="M237" s="41">
        <v>2.3E-2</v>
      </c>
      <c r="T237" s="173"/>
    </row>
    <row r="238" spans="2:20" hidden="1" outlineLevel="1">
      <c r="B238" s="78">
        <f t="shared" si="64"/>
        <v>51410</v>
      </c>
      <c r="C238" s="393"/>
      <c r="D238" s="394"/>
      <c r="E238" s="394"/>
      <c r="F238" s="393"/>
      <c r="G238" s="395"/>
      <c r="I238" s="77">
        <f t="shared" si="67"/>
        <v>114</v>
      </c>
      <c r="J238" s="73">
        <f t="shared" si="61"/>
        <v>2040</v>
      </c>
      <c r="K238" s="78" t="str">
        <f t="shared" si="62"/>
        <v/>
      </c>
      <c r="M238" s="41">
        <v>2.3E-2</v>
      </c>
      <c r="T238" s="173"/>
    </row>
    <row r="239" spans="2:20" hidden="1" outlineLevel="1">
      <c r="B239" s="78">
        <f t="shared" si="64"/>
        <v>51441</v>
      </c>
      <c r="C239" s="393"/>
      <c r="D239" s="394"/>
      <c r="E239" s="394"/>
      <c r="F239" s="393"/>
      <c r="G239" s="395"/>
      <c r="I239" s="77">
        <f t="shared" si="67"/>
        <v>115</v>
      </c>
      <c r="J239" s="73">
        <f t="shared" si="61"/>
        <v>2040</v>
      </c>
      <c r="K239" s="78" t="str">
        <f t="shared" si="62"/>
        <v/>
      </c>
      <c r="M239" s="41">
        <v>2.3E-2</v>
      </c>
      <c r="T239" s="173"/>
    </row>
    <row r="240" spans="2:20" hidden="1" outlineLevel="1">
      <c r="B240" s="82">
        <f t="shared" si="64"/>
        <v>51471</v>
      </c>
      <c r="C240" s="396"/>
      <c r="D240" s="397"/>
      <c r="E240" s="397"/>
      <c r="F240" s="396"/>
      <c r="G240" s="398"/>
      <c r="I240" s="64">
        <f t="shared" si="67"/>
        <v>116</v>
      </c>
      <c r="J240" s="73">
        <f t="shared" si="61"/>
        <v>2040</v>
      </c>
      <c r="K240" s="82" t="str">
        <f t="shared" si="62"/>
        <v/>
      </c>
      <c r="M240" s="41">
        <v>2.3E-2</v>
      </c>
      <c r="T240" s="173"/>
    </row>
    <row r="241" spans="2:20" hidden="1" outlineLevel="1">
      <c r="B241" s="189">
        <f t="shared" ref="B241:B304" si="68">EDATE(B240,1)</f>
        <v>51502</v>
      </c>
      <c r="C241" s="390"/>
      <c r="D241" s="391"/>
      <c r="E241" s="391"/>
      <c r="F241" s="390"/>
      <c r="G241" s="392"/>
      <c r="I241" s="60">
        <f>I121</f>
        <v>118</v>
      </c>
      <c r="J241" s="73">
        <f t="shared" ref="J241:J252" si="69">YEAR(B241)</f>
        <v>2041</v>
      </c>
      <c r="K241" s="74" t="str">
        <f t="shared" ref="K241:K252" si="70">IF(ISNUMBER(F241),IF(F241&lt;&gt;0,B241,""),"")</f>
        <v/>
      </c>
      <c r="M241" s="41">
        <v>2.1999999999999999E-2</v>
      </c>
      <c r="T241" s="173"/>
    </row>
    <row r="242" spans="2:20" hidden="1" outlineLevel="1">
      <c r="B242" s="190">
        <f t="shared" si="68"/>
        <v>51533</v>
      </c>
      <c r="C242" s="393"/>
      <c r="D242" s="394"/>
      <c r="E242" s="394"/>
      <c r="F242" s="393"/>
      <c r="G242" s="395"/>
      <c r="I242" s="77">
        <f t="shared" ref="I242:I305" si="71">I122</f>
        <v>119</v>
      </c>
      <c r="J242" s="73">
        <f t="shared" si="69"/>
        <v>2041</v>
      </c>
      <c r="K242" s="78" t="str">
        <f t="shared" si="70"/>
        <v/>
      </c>
      <c r="M242" s="41">
        <v>2.1999999999999999E-2</v>
      </c>
      <c r="T242" s="173"/>
    </row>
    <row r="243" spans="2:20" hidden="1" outlineLevel="1">
      <c r="B243" s="190">
        <f t="shared" si="68"/>
        <v>51561</v>
      </c>
      <c r="C243" s="393"/>
      <c r="D243" s="394"/>
      <c r="E243" s="394"/>
      <c r="F243" s="393"/>
      <c r="G243" s="395"/>
      <c r="I243" s="77">
        <f t="shared" si="71"/>
        <v>120</v>
      </c>
      <c r="J243" s="73">
        <f t="shared" si="69"/>
        <v>2041</v>
      </c>
      <c r="K243" s="78" t="str">
        <f t="shared" si="70"/>
        <v/>
      </c>
      <c r="M243" s="41">
        <v>2.1999999999999999E-2</v>
      </c>
      <c r="T243" s="173"/>
    </row>
    <row r="244" spans="2:20" hidden="1" outlineLevel="1">
      <c r="B244" s="190">
        <f t="shared" si="68"/>
        <v>51592</v>
      </c>
      <c r="C244" s="393"/>
      <c r="D244" s="394"/>
      <c r="E244" s="394"/>
      <c r="F244" s="393"/>
      <c r="G244" s="395"/>
      <c r="I244" s="77">
        <f t="shared" si="71"/>
        <v>121</v>
      </c>
      <c r="J244" s="73">
        <f t="shared" si="69"/>
        <v>2041</v>
      </c>
      <c r="K244" s="78" t="str">
        <f t="shared" si="70"/>
        <v/>
      </c>
      <c r="M244" s="41">
        <v>2.1999999999999999E-2</v>
      </c>
      <c r="T244" s="173"/>
    </row>
    <row r="245" spans="2:20" hidden="1" outlineLevel="1">
      <c r="B245" s="190">
        <f t="shared" si="68"/>
        <v>51622</v>
      </c>
      <c r="C245" s="393"/>
      <c r="D245" s="394"/>
      <c r="E245" s="394"/>
      <c r="F245" s="393"/>
      <c r="G245" s="395"/>
      <c r="I245" s="77">
        <f t="shared" si="71"/>
        <v>122</v>
      </c>
      <c r="J245" s="73">
        <f t="shared" si="69"/>
        <v>2041</v>
      </c>
      <c r="K245" s="78" t="str">
        <f t="shared" si="70"/>
        <v/>
      </c>
      <c r="M245" s="41">
        <v>2.1999999999999999E-2</v>
      </c>
      <c r="T245" s="173"/>
    </row>
    <row r="246" spans="2:20" hidden="1" outlineLevel="1">
      <c r="B246" s="190">
        <f t="shared" si="68"/>
        <v>51653</v>
      </c>
      <c r="C246" s="393"/>
      <c r="D246" s="394"/>
      <c r="E246" s="394"/>
      <c r="F246" s="393"/>
      <c r="G246" s="395"/>
      <c r="I246" s="77">
        <f t="shared" si="71"/>
        <v>123</v>
      </c>
      <c r="J246" s="73">
        <f t="shared" si="69"/>
        <v>2041</v>
      </c>
      <c r="K246" s="78" t="str">
        <f t="shared" si="70"/>
        <v/>
      </c>
      <c r="M246" s="41">
        <v>2.1999999999999999E-2</v>
      </c>
      <c r="T246" s="173"/>
    </row>
    <row r="247" spans="2:20" hidden="1" outlineLevel="1">
      <c r="B247" s="190">
        <f t="shared" si="68"/>
        <v>51683</v>
      </c>
      <c r="C247" s="393"/>
      <c r="D247" s="394"/>
      <c r="E247" s="394"/>
      <c r="F247" s="393"/>
      <c r="G247" s="395"/>
      <c r="I247" s="77">
        <f t="shared" si="71"/>
        <v>124</v>
      </c>
      <c r="J247" s="73">
        <f t="shared" si="69"/>
        <v>2041</v>
      </c>
      <c r="K247" s="78" t="str">
        <f t="shared" si="70"/>
        <v/>
      </c>
      <c r="M247" s="41">
        <v>2.1999999999999999E-2</v>
      </c>
      <c r="T247" s="173"/>
    </row>
    <row r="248" spans="2:20" hidden="1" outlineLevel="1">
      <c r="B248" s="190">
        <f t="shared" si="68"/>
        <v>51714</v>
      </c>
      <c r="C248" s="393"/>
      <c r="D248" s="394"/>
      <c r="E248" s="394"/>
      <c r="F248" s="393"/>
      <c r="G248" s="395"/>
      <c r="I248" s="77">
        <f t="shared" si="71"/>
        <v>125</v>
      </c>
      <c r="J248" s="73">
        <f t="shared" si="69"/>
        <v>2041</v>
      </c>
      <c r="K248" s="78" t="str">
        <f t="shared" si="70"/>
        <v/>
      </c>
      <c r="M248" s="41">
        <v>2.1999999999999999E-2</v>
      </c>
      <c r="T248" s="173"/>
    </row>
    <row r="249" spans="2:20" hidden="1" outlineLevel="1">
      <c r="B249" s="190">
        <f t="shared" si="68"/>
        <v>51745</v>
      </c>
      <c r="C249" s="393"/>
      <c r="D249" s="394"/>
      <c r="E249" s="394"/>
      <c r="F249" s="393"/>
      <c r="G249" s="395"/>
      <c r="I249" s="77">
        <f t="shared" si="71"/>
        <v>126</v>
      </c>
      <c r="J249" s="73">
        <f t="shared" si="69"/>
        <v>2041</v>
      </c>
      <c r="K249" s="78" t="str">
        <f t="shared" si="70"/>
        <v/>
      </c>
      <c r="M249" s="41">
        <v>2.1999999999999999E-2</v>
      </c>
      <c r="T249" s="173"/>
    </row>
    <row r="250" spans="2:20" hidden="1" outlineLevel="1">
      <c r="B250" s="190">
        <f t="shared" si="68"/>
        <v>51775</v>
      </c>
      <c r="C250" s="393"/>
      <c r="D250" s="394"/>
      <c r="E250" s="394"/>
      <c r="F250" s="393"/>
      <c r="G250" s="395"/>
      <c r="I250" s="77">
        <f t="shared" si="71"/>
        <v>127</v>
      </c>
      <c r="J250" s="73">
        <f t="shared" si="69"/>
        <v>2041</v>
      </c>
      <c r="K250" s="78" t="str">
        <f t="shared" si="70"/>
        <v/>
      </c>
      <c r="M250" s="41">
        <v>2.1999999999999999E-2</v>
      </c>
      <c r="T250" s="173"/>
    </row>
    <row r="251" spans="2:20" hidden="1" outlineLevel="1">
      <c r="B251" s="190">
        <f t="shared" si="68"/>
        <v>51806</v>
      </c>
      <c r="C251" s="393"/>
      <c r="D251" s="394"/>
      <c r="E251" s="394"/>
      <c r="F251" s="393"/>
      <c r="G251" s="395"/>
      <c r="I251" s="77">
        <f t="shared" si="71"/>
        <v>128</v>
      </c>
      <c r="J251" s="73">
        <f t="shared" si="69"/>
        <v>2041</v>
      </c>
      <c r="K251" s="78" t="str">
        <f t="shared" si="70"/>
        <v/>
      </c>
      <c r="M251" s="41">
        <v>2.1999999999999999E-2</v>
      </c>
      <c r="O251" s="173"/>
      <c r="P251" s="173"/>
      <c r="T251" s="173"/>
    </row>
    <row r="252" spans="2:20" hidden="1" outlineLevel="1" collapsed="1">
      <c r="B252" s="191">
        <f t="shared" si="68"/>
        <v>51836</v>
      </c>
      <c r="C252" s="396"/>
      <c r="D252" s="397"/>
      <c r="E252" s="397"/>
      <c r="F252" s="396"/>
      <c r="G252" s="398"/>
      <c r="I252" s="64">
        <f t="shared" si="71"/>
        <v>129</v>
      </c>
      <c r="J252" s="73">
        <f t="shared" si="69"/>
        <v>2041</v>
      </c>
      <c r="K252" s="82" t="str">
        <f t="shared" si="70"/>
        <v/>
      </c>
      <c r="M252" s="41">
        <v>2.1999999999999999E-2</v>
      </c>
      <c r="O252" s="173"/>
      <c r="P252" s="173"/>
      <c r="T252" s="173"/>
    </row>
    <row r="253" spans="2:20" hidden="1" outlineLevel="1">
      <c r="B253" s="189">
        <f t="shared" si="68"/>
        <v>51867</v>
      </c>
      <c r="C253" s="390"/>
      <c r="D253" s="391"/>
      <c r="E253" s="391"/>
      <c r="F253" s="390"/>
      <c r="G253" s="392"/>
      <c r="I253" s="60">
        <f>I133</f>
        <v>1</v>
      </c>
      <c r="J253" s="73">
        <f t="shared" ref="J253:J276" si="72">YEAR(B253)</f>
        <v>2042</v>
      </c>
      <c r="K253" s="74" t="str">
        <f t="shared" ref="K253:K276" si="73">IF(ISNUMBER(F253),IF(F253&lt;&gt;0,B253,""),"")</f>
        <v/>
      </c>
      <c r="M253" s="41">
        <v>2.1999999999999999E-2</v>
      </c>
      <c r="O253" s="173"/>
      <c r="P253" s="173"/>
      <c r="T253" s="173"/>
    </row>
    <row r="254" spans="2:20" hidden="1" outlineLevel="1">
      <c r="B254" s="190">
        <f t="shared" si="68"/>
        <v>51898</v>
      </c>
      <c r="C254" s="393"/>
      <c r="D254" s="394"/>
      <c r="E254" s="394"/>
      <c r="F254" s="393"/>
      <c r="G254" s="395"/>
      <c r="I254" s="77">
        <f t="shared" si="71"/>
        <v>2</v>
      </c>
      <c r="J254" s="73">
        <f t="shared" si="72"/>
        <v>2042</v>
      </c>
      <c r="K254" s="78" t="str">
        <f t="shared" si="73"/>
        <v/>
      </c>
      <c r="M254" s="41">
        <v>2.1999999999999999E-2</v>
      </c>
      <c r="O254" s="173"/>
      <c r="P254" s="173"/>
      <c r="T254" s="173"/>
    </row>
    <row r="255" spans="2:20" hidden="1" outlineLevel="1">
      <c r="B255" s="190">
        <f t="shared" si="68"/>
        <v>51926</v>
      </c>
      <c r="C255" s="393"/>
      <c r="D255" s="394"/>
      <c r="E255" s="394"/>
      <c r="F255" s="393"/>
      <c r="G255" s="395"/>
      <c r="I255" s="77">
        <f t="shared" si="71"/>
        <v>3</v>
      </c>
      <c r="J255" s="73">
        <f t="shared" si="72"/>
        <v>2042</v>
      </c>
      <c r="K255" s="78" t="str">
        <f t="shared" si="73"/>
        <v/>
      </c>
      <c r="M255" s="41">
        <v>2.1999999999999999E-2</v>
      </c>
      <c r="O255" s="173"/>
      <c r="P255" s="173"/>
      <c r="T255" s="173"/>
    </row>
    <row r="256" spans="2:20" hidden="1" outlineLevel="1">
      <c r="B256" s="190">
        <f t="shared" si="68"/>
        <v>51957</v>
      </c>
      <c r="C256" s="393"/>
      <c r="D256" s="394"/>
      <c r="E256" s="394"/>
      <c r="F256" s="393"/>
      <c r="G256" s="395"/>
      <c r="I256" s="77">
        <f t="shared" si="71"/>
        <v>4</v>
      </c>
      <c r="J256" s="73">
        <f t="shared" si="72"/>
        <v>2042</v>
      </c>
      <c r="K256" s="78" t="str">
        <f t="shared" si="73"/>
        <v/>
      </c>
      <c r="M256" s="41">
        <v>2.1999999999999999E-2</v>
      </c>
      <c r="O256" s="173"/>
      <c r="P256" s="173"/>
      <c r="T256" s="173"/>
    </row>
    <row r="257" spans="2:20" hidden="1" outlineLevel="1">
      <c r="B257" s="190">
        <f t="shared" si="68"/>
        <v>51987</v>
      </c>
      <c r="C257" s="393"/>
      <c r="D257" s="394"/>
      <c r="E257" s="394"/>
      <c r="F257" s="393"/>
      <c r="G257" s="395"/>
      <c r="I257" s="77">
        <f t="shared" si="71"/>
        <v>5</v>
      </c>
      <c r="J257" s="73">
        <f t="shared" si="72"/>
        <v>2042</v>
      </c>
      <c r="K257" s="78" t="str">
        <f t="shared" si="73"/>
        <v/>
      </c>
      <c r="M257" s="41">
        <v>2.1999999999999999E-2</v>
      </c>
      <c r="O257" s="173"/>
      <c r="P257" s="173"/>
      <c r="T257" s="173"/>
    </row>
    <row r="258" spans="2:20" hidden="1" outlineLevel="1">
      <c r="B258" s="190">
        <f t="shared" si="68"/>
        <v>52018</v>
      </c>
      <c r="C258" s="393"/>
      <c r="D258" s="394"/>
      <c r="E258" s="394"/>
      <c r="F258" s="393"/>
      <c r="G258" s="395"/>
      <c r="I258" s="77">
        <f t="shared" si="71"/>
        <v>6</v>
      </c>
      <c r="J258" s="73">
        <f t="shared" si="72"/>
        <v>2042</v>
      </c>
      <c r="K258" s="78" t="str">
        <f t="shared" si="73"/>
        <v/>
      </c>
      <c r="M258" s="41">
        <v>2.1999999999999999E-2</v>
      </c>
      <c r="O258" s="173"/>
      <c r="P258" s="173"/>
      <c r="T258" s="173"/>
    </row>
    <row r="259" spans="2:20" hidden="1" outlineLevel="1">
      <c r="B259" s="190">
        <f t="shared" si="68"/>
        <v>52048</v>
      </c>
      <c r="C259" s="393"/>
      <c r="D259" s="394"/>
      <c r="E259" s="394"/>
      <c r="F259" s="393"/>
      <c r="G259" s="395"/>
      <c r="I259" s="77">
        <f t="shared" si="71"/>
        <v>7</v>
      </c>
      <c r="J259" s="73">
        <f t="shared" si="72"/>
        <v>2042</v>
      </c>
      <c r="K259" s="78" t="str">
        <f t="shared" si="73"/>
        <v/>
      </c>
      <c r="M259" s="41">
        <v>2.1999999999999999E-2</v>
      </c>
      <c r="O259" s="173"/>
      <c r="P259" s="173"/>
    </row>
    <row r="260" spans="2:20" hidden="1" outlineLevel="1">
      <c r="B260" s="190">
        <f t="shared" si="68"/>
        <v>52079</v>
      </c>
      <c r="C260" s="393"/>
      <c r="D260" s="394"/>
      <c r="E260" s="394"/>
      <c r="F260" s="393"/>
      <c r="G260" s="395"/>
      <c r="I260" s="77">
        <f t="shared" si="71"/>
        <v>8</v>
      </c>
      <c r="J260" s="73">
        <f t="shared" si="72"/>
        <v>2042</v>
      </c>
      <c r="K260" s="78" t="str">
        <f t="shared" si="73"/>
        <v/>
      </c>
      <c r="M260" s="41">
        <v>2.1999999999999999E-2</v>
      </c>
      <c r="O260" s="173"/>
      <c r="P260" s="173"/>
    </row>
    <row r="261" spans="2:20" hidden="1" outlineLevel="1">
      <c r="B261" s="190">
        <f t="shared" si="68"/>
        <v>52110</v>
      </c>
      <c r="C261" s="393"/>
      <c r="D261" s="394"/>
      <c r="E261" s="394"/>
      <c r="F261" s="393"/>
      <c r="G261" s="395"/>
      <c r="I261" s="77">
        <f t="shared" si="71"/>
        <v>9</v>
      </c>
      <c r="J261" s="73">
        <f t="shared" si="72"/>
        <v>2042</v>
      </c>
      <c r="K261" s="78" t="str">
        <f t="shared" si="73"/>
        <v/>
      </c>
      <c r="M261" s="41">
        <v>2.1999999999999999E-2</v>
      </c>
      <c r="O261" s="173"/>
      <c r="P261" s="173"/>
    </row>
    <row r="262" spans="2:20" hidden="1" outlineLevel="1">
      <c r="B262" s="190">
        <f t="shared" si="68"/>
        <v>52140</v>
      </c>
      <c r="C262" s="393"/>
      <c r="D262" s="394"/>
      <c r="E262" s="394"/>
      <c r="F262" s="393"/>
      <c r="G262" s="395"/>
      <c r="I262" s="77">
        <f t="shared" si="71"/>
        <v>10</v>
      </c>
      <c r="J262" s="73">
        <f t="shared" si="72"/>
        <v>2042</v>
      </c>
      <c r="K262" s="78" t="str">
        <f t="shared" si="73"/>
        <v/>
      </c>
      <c r="M262" s="41">
        <v>2.1999999999999999E-2</v>
      </c>
    </row>
    <row r="263" spans="2:20" hidden="1" outlineLevel="1">
      <c r="B263" s="190">
        <f t="shared" si="68"/>
        <v>52171</v>
      </c>
      <c r="C263" s="393"/>
      <c r="D263" s="394"/>
      <c r="E263" s="394"/>
      <c r="F263" s="393"/>
      <c r="G263" s="395"/>
      <c r="I263" s="77">
        <f t="shared" si="71"/>
        <v>11</v>
      </c>
      <c r="J263" s="73">
        <f t="shared" si="72"/>
        <v>2042</v>
      </c>
      <c r="K263" s="78" t="str">
        <f t="shared" si="73"/>
        <v/>
      </c>
      <c r="M263" s="41">
        <v>2.1999999999999999E-2</v>
      </c>
    </row>
    <row r="264" spans="2:20" hidden="1" outlineLevel="1">
      <c r="B264" s="191">
        <f t="shared" si="68"/>
        <v>52201</v>
      </c>
      <c r="C264" s="396"/>
      <c r="D264" s="397"/>
      <c r="E264" s="397"/>
      <c r="F264" s="396"/>
      <c r="G264" s="398"/>
      <c r="I264" s="64">
        <f t="shared" si="71"/>
        <v>12</v>
      </c>
      <c r="J264" s="73">
        <f t="shared" si="72"/>
        <v>2042</v>
      </c>
      <c r="K264" s="82" t="str">
        <f t="shared" si="73"/>
        <v/>
      </c>
      <c r="M264" s="41">
        <v>2.1999999999999999E-2</v>
      </c>
    </row>
    <row r="265" spans="2:20" hidden="1" outlineLevel="1">
      <c r="B265" s="189">
        <f t="shared" si="68"/>
        <v>52232</v>
      </c>
      <c r="C265" s="181"/>
      <c r="D265" s="182"/>
      <c r="E265" s="182"/>
      <c r="F265" s="181"/>
      <c r="G265" s="183"/>
      <c r="I265" s="60">
        <f>I145</f>
        <v>14</v>
      </c>
      <c r="J265" s="73">
        <f t="shared" si="72"/>
        <v>2043</v>
      </c>
      <c r="K265" s="74" t="str">
        <f t="shared" si="73"/>
        <v/>
      </c>
      <c r="M265" s="41">
        <v>2.3E-2</v>
      </c>
      <c r="O265" s="173"/>
      <c r="P265" s="173"/>
      <c r="T265" s="173"/>
    </row>
    <row r="266" spans="2:20" hidden="1" outlineLevel="1">
      <c r="B266" s="190">
        <f t="shared" si="68"/>
        <v>52263</v>
      </c>
      <c r="C266" s="175"/>
      <c r="D266" s="176"/>
      <c r="E266" s="176"/>
      <c r="F266" s="175"/>
      <c r="G266" s="177"/>
      <c r="I266" s="77">
        <f t="shared" si="71"/>
        <v>15</v>
      </c>
      <c r="J266" s="73">
        <f t="shared" si="72"/>
        <v>2043</v>
      </c>
      <c r="K266" s="78" t="str">
        <f t="shared" si="73"/>
        <v/>
      </c>
      <c r="M266" s="41">
        <v>2.3E-2</v>
      </c>
      <c r="O266" s="173"/>
      <c r="P266" s="173"/>
      <c r="T266" s="173"/>
    </row>
    <row r="267" spans="2:20" hidden="1" outlineLevel="1">
      <c r="B267" s="190">
        <f t="shared" si="68"/>
        <v>52291</v>
      </c>
      <c r="C267" s="175"/>
      <c r="D267" s="176"/>
      <c r="E267" s="176"/>
      <c r="F267" s="175"/>
      <c r="G267" s="177"/>
      <c r="I267" s="77">
        <f t="shared" si="71"/>
        <v>16</v>
      </c>
      <c r="J267" s="73">
        <f t="shared" si="72"/>
        <v>2043</v>
      </c>
      <c r="K267" s="78" t="str">
        <f t="shared" si="73"/>
        <v/>
      </c>
      <c r="M267" s="41">
        <v>2.3E-2</v>
      </c>
      <c r="O267" s="173"/>
      <c r="P267" s="173"/>
      <c r="T267" s="173"/>
    </row>
    <row r="268" spans="2:20" hidden="1" outlineLevel="1">
      <c r="B268" s="190">
        <f t="shared" si="68"/>
        <v>52322</v>
      </c>
      <c r="C268" s="175"/>
      <c r="D268" s="176"/>
      <c r="E268" s="176"/>
      <c r="F268" s="175"/>
      <c r="G268" s="177"/>
      <c r="I268" s="77">
        <f t="shared" si="71"/>
        <v>17</v>
      </c>
      <c r="J268" s="73">
        <f t="shared" si="72"/>
        <v>2043</v>
      </c>
      <c r="K268" s="78" t="str">
        <f t="shared" si="73"/>
        <v/>
      </c>
      <c r="M268" s="41">
        <v>2.3E-2</v>
      </c>
      <c r="O268" s="173"/>
      <c r="P268" s="173"/>
      <c r="T268" s="173"/>
    </row>
    <row r="269" spans="2:20" hidden="1" outlineLevel="1">
      <c r="B269" s="190">
        <f t="shared" si="68"/>
        <v>52352</v>
      </c>
      <c r="C269" s="175"/>
      <c r="D269" s="176"/>
      <c r="E269" s="176"/>
      <c r="F269" s="175"/>
      <c r="G269" s="177"/>
      <c r="I269" s="77">
        <f t="shared" si="71"/>
        <v>18</v>
      </c>
      <c r="J269" s="73">
        <f t="shared" si="72"/>
        <v>2043</v>
      </c>
      <c r="K269" s="78" t="str">
        <f t="shared" si="73"/>
        <v/>
      </c>
      <c r="M269" s="41">
        <v>2.3E-2</v>
      </c>
      <c r="O269" s="173"/>
      <c r="P269" s="173"/>
      <c r="T269" s="173"/>
    </row>
    <row r="270" spans="2:20" hidden="1" outlineLevel="1">
      <c r="B270" s="190">
        <f t="shared" si="68"/>
        <v>52383</v>
      </c>
      <c r="C270" s="175"/>
      <c r="D270" s="176"/>
      <c r="E270" s="176"/>
      <c r="F270" s="175"/>
      <c r="G270" s="177"/>
      <c r="I270" s="77">
        <f t="shared" si="71"/>
        <v>19</v>
      </c>
      <c r="J270" s="73">
        <f t="shared" si="72"/>
        <v>2043</v>
      </c>
      <c r="K270" s="78" t="str">
        <f t="shared" si="73"/>
        <v/>
      </c>
      <c r="M270" s="41">
        <v>2.3E-2</v>
      </c>
      <c r="O270" s="173"/>
      <c r="P270" s="173"/>
      <c r="T270" s="173"/>
    </row>
    <row r="271" spans="2:20" hidden="1" outlineLevel="1">
      <c r="B271" s="190">
        <f t="shared" si="68"/>
        <v>52413</v>
      </c>
      <c r="C271" s="175"/>
      <c r="D271" s="176"/>
      <c r="E271" s="176"/>
      <c r="F271" s="175"/>
      <c r="G271" s="177"/>
      <c r="I271" s="77">
        <f t="shared" si="71"/>
        <v>20</v>
      </c>
      <c r="J271" s="73">
        <f t="shared" si="72"/>
        <v>2043</v>
      </c>
      <c r="K271" s="78" t="str">
        <f t="shared" si="73"/>
        <v/>
      </c>
      <c r="M271" s="41">
        <v>2.3E-2</v>
      </c>
      <c r="O271" s="173"/>
      <c r="P271" s="173"/>
    </row>
    <row r="272" spans="2:20" hidden="1" outlineLevel="1">
      <c r="B272" s="190">
        <f t="shared" si="68"/>
        <v>52444</v>
      </c>
      <c r="C272" s="175"/>
      <c r="D272" s="176"/>
      <c r="E272" s="176"/>
      <c r="F272" s="175"/>
      <c r="G272" s="177"/>
      <c r="I272" s="77">
        <f t="shared" si="71"/>
        <v>21</v>
      </c>
      <c r="J272" s="73">
        <f t="shared" si="72"/>
        <v>2043</v>
      </c>
      <c r="K272" s="78" t="str">
        <f t="shared" si="73"/>
        <v/>
      </c>
      <c r="M272" s="41">
        <v>2.3E-2</v>
      </c>
      <c r="O272" s="173"/>
      <c r="P272" s="173"/>
    </row>
    <row r="273" spans="2:20" hidden="1" outlineLevel="1">
      <c r="B273" s="190">
        <f t="shared" si="68"/>
        <v>52475</v>
      </c>
      <c r="C273" s="175"/>
      <c r="D273" s="176"/>
      <c r="E273" s="176"/>
      <c r="F273" s="175"/>
      <c r="G273" s="177"/>
      <c r="I273" s="77">
        <f t="shared" si="71"/>
        <v>22</v>
      </c>
      <c r="J273" s="73">
        <f t="shared" si="72"/>
        <v>2043</v>
      </c>
      <c r="K273" s="78" t="str">
        <f t="shared" si="73"/>
        <v/>
      </c>
      <c r="M273" s="41">
        <v>2.3E-2</v>
      </c>
      <c r="O273" s="173"/>
      <c r="P273" s="173"/>
    </row>
    <row r="274" spans="2:20" hidden="1" outlineLevel="1">
      <c r="B274" s="190">
        <f t="shared" si="68"/>
        <v>52505</v>
      </c>
      <c r="C274" s="175"/>
      <c r="D274" s="176"/>
      <c r="E274" s="176"/>
      <c r="F274" s="175"/>
      <c r="G274" s="177"/>
      <c r="I274" s="77">
        <f t="shared" si="71"/>
        <v>23</v>
      </c>
      <c r="J274" s="73">
        <f t="shared" si="72"/>
        <v>2043</v>
      </c>
      <c r="K274" s="78" t="str">
        <f t="shared" si="73"/>
        <v/>
      </c>
      <c r="M274" s="41">
        <v>2.3E-2</v>
      </c>
    </row>
    <row r="275" spans="2:20" hidden="1" outlineLevel="1">
      <c r="B275" s="190">
        <f t="shared" si="68"/>
        <v>52536</v>
      </c>
      <c r="C275" s="175"/>
      <c r="D275" s="176"/>
      <c r="E275" s="176"/>
      <c r="F275" s="175"/>
      <c r="G275" s="177"/>
      <c r="I275" s="77">
        <f t="shared" si="71"/>
        <v>24</v>
      </c>
      <c r="J275" s="73">
        <f t="shared" si="72"/>
        <v>2043</v>
      </c>
      <c r="K275" s="78" t="str">
        <f t="shared" si="73"/>
        <v/>
      </c>
      <c r="M275" s="41">
        <v>2.3E-2</v>
      </c>
    </row>
    <row r="276" spans="2:20" hidden="1" outlineLevel="1">
      <c r="B276" s="191">
        <f t="shared" si="68"/>
        <v>52566</v>
      </c>
      <c r="C276" s="178"/>
      <c r="D276" s="179"/>
      <c r="E276" s="179"/>
      <c r="F276" s="178"/>
      <c r="G276" s="180"/>
      <c r="I276" s="64">
        <f t="shared" si="71"/>
        <v>25</v>
      </c>
      <c r="J276" s="73">
        <f t="shared" si="72"/>
        <v>2043</v>
      </c>
      <c r="K276" s="82" t="str">
        <f t="shared" si="73"/>
        <v/>
      </c>
      <c r="M276" s="41">
        <v>2.3E-2</v>
      </c>
    </row>
    <row r="277" spans="2:20" hidden="1" outlineLevel="1">
      <c r="B277" s="189">
        <f t="shared" si="68"/>
        <v>52597</v>
      </c>
      <c r="C277" s="181"/>
      <c r="D277" s="182"/>
      <c r="E277" s="182"/>
      <c r="F277" s="181"/>
      <c r="G277" s="183"/>
      <c r="I277" s="60">
        <f>I157</f>
        <v>27</v>
      </c>
      <c r="J277" s="73">
        <f t="shared" ref="J277:J288" si="74">YEAR(B277)</f>
        <v>2044</v>
      </c>
      <c r="K277" s="74" t="str">
        <f t="shared" ref="K277:K288" si="75">IF(ISNUMBER(F277),IF(F277&lt;&gt;0,B277,""),"")</f>
        <v/>
      </c>
      <c r="M277" s="41">
        <v>2.1999999999999999E-2</v>
      </c>
      <c r="O277" s="173"/>
      <c r="P277" s="173"/>
      <c r="T277" s="173"/>
    </row>
    <row r="278" spans="2:20" hidden="1" outlineLevel="1">
      <c r="B278" s="190">
        <f t="shared" si="68"/>
        <v>52628</v>
      </c>
      <c r="C278" s="175"/>
      <c r="D278" s="176"/>
      <c r="E278" s="176"/>
      <c r="F278" s="175"/>
      <c r="G278" s="177"/>
      <c r="I278" s="77">
        <f t="shared" si="71"/>
        <v>28</v>
      </c>
      <c r="J278" s="73">
        <f t="shared" si="74"/>
        <v>2044</v>
      </c>
      <c r="K278" s="78" t="str">
        <f t="shared" si="75"/>
        <v/>
      </c>
      <c r="M278" s="41">
        <v>2.1999999999999999E-2</v>
      </c>
      <c r="O278" s="173"/>
      <c r="P278" s="173"/>
      <c r="T278" s="173"/>
    </row>
    <row r="279" spans="2:20" hidden="1" outlineLevel="1">
      <c r="B279" s="190">
        <f t="shared" si="68"/>
        <v>52657</v>
      </c>
      <c r="C279" s="175"/>
      <c r="D279" s="176"/>
      <c r="E279" s="176"/>
      <c r="F279" s="175"/>
      <c r="G279" s="177"/>
      <c r="I279" s="77">
        <f t="shared" si="71"/>
        <v>29</v>
      </c>
      <c r="J279" s="73">
        <f t="shared" si="74"/>
        <v>2044</v>
      </c>
      <c r="K279" s="78" t="str">
        <f t="shared" si="75"/>
        <v/>
      </c>
      <c r="M279" s="41">
        <v>2.1999999999999999E-2</v>
      </c>
      <c r="O279" s="173"/>
      <c r="P279" s="173"/>
      <c r="T279" s="173"/>
    </row>
    <row r="280" spans="2:20" hidden="1" outlineLevel="1">
      <c r="B280" s="190">
        <f t="shared" si="68"/>
        <v>52688</v>
      </c>
      <c r="C280" s="175"/>
      <c r="D280" s="176"/>
      <c r="E280" s="176"/>
      <c r="F280" s="175"/>
      <c r="G280" s="177"/>
      <c r="I280" s="77">
        <f t="shared" si="71"/>
        <v>30</v>
      </c>
      <c r="J280" s="73">
        <f t="shared" si="74"/>
        <v>2044</v>
      </c>
      <c r="K280" s="78" t="str">
        <f t="shared" si="75"/>
        <v/>
      </c>
      <c r="M280" s="41">
        <v>2.1999999999999999E-2</v>
      </c>
      <c r="O280" s="173"/>
      <c r="P280" s="173"/>
      <c r="T280" s="173"/>
    </row>
    <row r="281" spans="2:20" hidden="1" outlineLevel="1">
      <c r="B281" s="190">
        <f t="shared" si="68"/>
        <v>52718</v>
      </c>
      <c r="C281" s="175"/>
      <c r="D281" s="176"/>
      <c r="E281" s="176"/>
      <c r="F281" s="175"/>
      <c r="G281" s="177"/>
      <c r="I281" s="77">
        <f t="shared" si="71"/>
        <v>31</v>
      </c>
      <c r="J281" s="73">
        <f t="shared" si="74"/>
        <v>2044</v>
      </c>
      <c r="K281" s="78" t="str">
        <f t="shared" si="75"/>
        <v/>
      </c>
      <c r="M281" s="41">
        <v>2.1999999999999999E-2</v>
      </c>
      <c r="O281" s="173"/>
      <c r="P281" s="173"/>
      <c r="T281" s="173"/>
    </row>
    <row r="282" spans="2:20" hidden="1" outlineLevel="1">
      <c r="B282" s="190">
        <f t="shared" si="68"/>
        <v>52749</v>
      </c>
      <c r="C282" s="175"/>
      <c r="D282" s="176"/>
      <c r="E282" s="176"/>
      <c r="F282" s="175"/>
      <c r="G282" s="177"/>
      <c r="I282" s="77">
        <f t="shared" si="71"/>
        <v>32</v>
      </c>
      <c r="J282" s="73">
        <f t="shared" si="74"/>
        <v>2044</v>
      </c>
      <c r="K282" s="78" t="str">
        <f t="shared" si="75"/>
        <v/>
      </c>
      <c r="M282" s="41">
        <v>2.1999999999999999E-2</v>
      </c>
      <c r="O282" s="173"/>
      <c r="P282" s="173"/>
      <c r="T282" s="173"/>
    </row>
    <row r="283" spans="2:20" hidden="1" outlineLevel="1">
      <c r="B283" s="190">
        <f t="shared" si="68"/>
        <v>52779</v>
      </c>
      <c r="C283" s="175"/>
      <c r="D283" s="176"/>
      <c r="E283" s="176"/>
      <c r="F283" s="175"/>
      <c r="G283" s="177"/>
      <c r="I283" s="77">
        <f t="shared" si="71"/>
        <v>33</v>
      </c>
      <c r="J283" s="73">
        <f t="shared" si="74"/>
        <v>2044</v>
      </c>
      <c r="K283" s="78" t="str">
        <f t="shared" si="75"/>
        <v/>
      </c>
      <c r="M283" s="41">
        <v>2.1999999999999999E-2</v>
      </c>
      <c r="O283" s="173"/>
      <c r="P283" s="173"/>
    </row>
    <row r="284" spans="2:20" hidden="1" outlineLevel="1">
      <c r="B284" s="190">
        <f t="shared" si="68"/>
        <v>52810</v>
      </c>
      <c r="C284" s="175"/>
      <c r="D284" s="176"/>
      <c r="E284" s="176"/>
      <c r="F284" s="175"/>
      <c r="G284" s="177"/>
      <c r="I284" s="77">
        <f t="shared" si="71"/>
        <v>34</v>
      </c>
      <c r="J284" s="73">
        <f t="shared" si="74"/>
        <v>2044</v>
      </c>
      <c r="K284" s="78" t="str">
        <f t="shared" si="75"/>
        <v/>
      </c>
      <c r="M284" s="41">
        <v>2.1999999999999999E-2</v>
      </c>
      <c r="O284" s="173"/>
      <c r="P284" s="173"/>
    </row>
    <row r="285" spans="2:20" hidden="1" outlineLevel="1">
      <c r="B285" s="190">
        <f t="shared" si="68"/>
        <v>52841</v>
      </c>
      <c r="C285" s="175"/>
      <c r="D285" s="176"/>
      <c r="E285" s="176"/>
      <c r="F285" s="175"/>
      <c r="G285" s="177"/>
      <c r="I285" s="77">
        <f t="shared" si="71"/>
        <v>35</v>
      </c>
      <c r="J285" s="73">
        <f t="shared" si="74"/>
        <v>2044</v>
      </c>
      <c r="K285" s="78" t="str">
        <f t="shared" si="75"/>
        <v/>
      </c>
      <c r="M285" s="41">
        <v>2.1999999999999999E-2</v>
      </c>
      <c r="O285" s="173"/>
      <c r="P285" s="173"/>
    </row>
    <row r="286" spans="2:20" hidden="1" outlineLevel="1">
      <c r="B286" s="190">
        <f t="shared" si="68"/>
        <v>52871</v>
      </c>
      <c r="C286" s="175"/>
      <c r="D286" s="176"/>
      <c r="E286" s="176"/>
      <c r="F286" s="175"/>
      <c r="G286" s="177"/>
      <c r="I286" s="77">
        <f t="shared" si="71"/>
        <v>36</v>
      </c>
      <c r="J286" s="73">
        <f t="shared" si="74"/>
        <v>2044</v>
      </c>
      <c r="K286" s="78" t="str">
        <f t="shared" si="75"/>
        <v/>
      </c>
      <c r="M286" s="41">
        <v>2.1999999999999999E-2</v>
      </c>
    </row>
    <row r="287" spans="2:20" hidden="1" outlineLevel="1">
      <c r="B287" s="190">
        <f t="shared" si="68"/>
        <v>52902</v>
      </c>
      <c r="C287" s="175"/>
      <c r="D287" s="176"/>
      <c r="E287" s="176"/>
      <c r="F287" s="175"/>
      <c r="G287" s="177"/>
      <c r="I287" s="77">
        <f t="shared" si="71"/>
        <v>37</v>
      </c>
      <c r="J287" s="73">
        <f t="shared" si="74"/>
        <v>2044</v>
      </c>
      <c r="K287" s="78" t="str">
        <f t="shared" si="75"/>
        <v/>
      </c>
      <c r="M287" s="41">
        <v>2.1999999999999999E-2</v>
      </c>
    </row>
    <row r="288" spans="2:20" hidden="1" outlineLevel="1">
      <c r="B288" s="191">
        <f t="shared" si="68"/>
        <v>52932</v>
      </c>
      <c r="C288" s="178"/>
      <c r="D288" s="179"/>
      <c r="E288" s="179"/>
      <c r="F288" s="178"/>
      <c r="G288" s="180"/>
      <c r="I288" s="64">
        <f t="shared" si="71"/>
        <v>38</v>
      </c>
      <c r="J288" s="73">
        <f t="shared" si="74"/>
        <v>2044</v>
      </c>
      <c r="K288" s="82" t="str">
        <f t="shared" si="75"/>
        <v/>
      </c>
      <c r="M288" s="41">
        <v>2.1999999999999999E-2</v>
      </c>
    </row>
    <row r="289" spans="2:13" hidden="1" outlineLevel="1">
      <c r="B289" s="189">
        <f t="shared" si="68"/>
        <v>52963</v>
      </c>
      <c r="C289" s="181"/>
      <c r="D289" s="182"/>
      <c r="E289" s="182"/>
      <c r="F289" s="181"/>
      <c r="G289" s="183"/>
      <c r="I289" s="60">
        <f>I169</f>
        <v>40</v>
      </c>
      <c r="J289" s="73">
        <f t="shared" ref="J289:J324" si="76">YEAR(B289)</f>
        <v>2045</v>
      </c>
      <c r="K289" s="74" t="str">
        <f t="shared" ref="K289:K324" si="77">IF(ISNUMBER(F289),IF(F289&lt;&gt;0,B289,""),"")</f>
        <v/>
      </c>
      <c r="M289" s="41">
        <v>2.3E-2</v>
      </c>
    </row>
    <row r="290" spans="2:13" hidden="1" outlineLevel="1">
      <c r="B290" s="190">
        <f t="shared" si="68"/>
        <v>52994</v>
      </c>
      <c r="C290" s="175"/>
      <c r="D290" s="176"/>
      <c r="E290" s="176"/>
      <c r="F290" s="175"/>
      <c r="G290" s="177"/>
      <c r="I290" s="77">
        <f t="shared" si="71"/>
        <v>41</v>
      </c>
      <c r="J290" s="73">
        <f t="shared" si="76"/>
        <v>2045</v>
      </c>
      <c r="K290" s="78" t="str">
        <f t="shared" si="77"/>
        <v/>
      </c>
      <c r="M290" s="41">
        <v>2.3E-2</v>
      </c>
    </row>
    <row r="291" spans="2:13" hidden="1" outlineLevel="1">
      <c r="B291" s="190">
        <f t="shared" si="68"/>
        <v>53022</v>
      </c>
      <c r="C291" s="175"/>
      <c r="D291" s="176"/>
      <c r="E291" s="176"/>
      <c r="F291" s="175"/>
      <c r="G291" s="177"/>
      <c r="I291" s="77">
        <f t="shared" si="71"/>
        <v>42</v>
      </c>
      <c r="J291" s="73">
        <f t="shared" si="76"/>
        <v>2045</v>
      </c>
      <c r="K291" s="78" t="str">
        <f t="shared" si="77"/>
        <v/>
      </c>
      <c r="M291" s="41">
        <v>2.3E-2</v>
      </c>
    </row>
    <row r="292" spans="2:13" hidden="1" outlineLevel="1">
      <c r="B292" s="190">
        <f t="shared" si="68"/>
        <v>53053</v>
      </c>
      <c r="C292" s="175"/>
      <c r="D292" s="176"/>
      <c r="E292" s="176"/>
      <c r="F292" s="175"/>
      <c r="G292" s="177"/>
      <c r="I292" s="77">
        <f t="shared" si="71"/>
        <v>43</v>
      </c>
      <c r="J292" s="73">
        <f t="shared" si="76"/>
        <v>2045</v>
      </c>
      <c r="K292" s="78" t="str">
        <f t="shared" si="77"/>
        <v/>
      </c>
      <c r="M292" s="41">
        <v>2.3E-2</v>
      </c>
    </row>
    <row r="293" spans="2:13" hidden="1" outlineLevel="1">
      <c r="B293" s="190">
        <f t="shared" si="68"/>
        <v>53083</v>
      </c>
      <c r="C293" s="175"/>
      <c r="D293" s="176"/>
      <c r="E293" s="176"/>
      <c r="F293" s="175"/>
      <c r="G293" s="177"/>
      <c r="I293" s="77">
        <f t="shared" si="71"/>
        <v>44</v>
      </c>
      <c r="J293" s="73">
        <f t="shared" si="76"/>
        <v>2045</v>
      </c>
      <c r="K293" s="78" t="str">
        <f t="shared" si="77"/>
        <v/>
      </c>
      <c r="M293" s="41">
        <v>2.3E-2</v>
      </c>
    </row>
    <row r="294" spans="2:13" hidden="1" outlineLevel="1">
      <c r="B294" s="190">
        <f t="shared" si="68"/>
        <v>53114</v>
      </c>
      <c r="C294" s="175"/>
      <c r="D294" s="176"/>
      <c r="E294" s="176"/>
      <c r="F294" s="175"/>
      <c r="G294" s="177"/>
      <c r="I294" s="77">
        <f t="shared" si="71"/>
        <v>45</v>
      </c>
      <c r="J294" s="73">
        <f t="shared" si="76"/>
        <v>2045</v>
      </c>
      <c r="K294" s="78" t="str">
        <f t="shared" si="77"/>
        <v/>
      </c>
      <c r="M294" s="41">
        <v>2.3E-2</v>
      </c>
    </row>
    <row r="295" spans="2:13" hidden="1" outlineLevel="1">
      <c r="B295" s="190">
        <f t="shared" si="68"/>
        <v>53144</v>
      </c>
      <c r="C295" s="175"/>
      <c r="D295" s="176"/>
      <c r="E295" s="176"/>
      <c r="F295" s="175"/>
      <c r="G295" s="177"/>
      <c r="I295" s="77">
        <f t="shared" si="71"/>
        <v>46</v>
      </c>
      <c r="J295" s="73">
        <f t="shared" si="76"/>
        <v>2045</v>
      </c>
      <c r="K295" s="78" t="str">
        <f t="shared" si="77"/>
        <v/>
      </c>
      <c r="M295" s="41">
        <v>2.3E-2</v>
      </c>
    </row>
    <row r="296" spans="2:13" hidden="1" outlineLevel="1">
      <c r="B296" s="190">
        <f t="shared" si="68"/>
        <v>53175</v>
      </c>
      <c r="C296" s="175"/>
      <c r="D296" s="176"/>
      <c r="E296" s="176"/>
      <c r="F296" s="175"/>
      <c r="G296" s="177"/>
      <c r="I296" s="77">
        <f t="shared" si="71"/>
        <v>47</v>
      </c>
      <c r="J296" s="73">
        <f t="shared" si="76"/>
        <v>2045</v>
      </c>
      <c r="K296" s="78" t="str">
        <f t="shared" si="77"/>
        <v/>
      </c>
      <c r="M296" s="41">
        <v>2.3E-2</v>
      </c>
    </row>
    <row r="297" spans="2:13" hidden="1" outlineLevel="1">
      <c r="B297" s="190">
        <f t="shared" si="68"/>
        <v>53206</v>
      </c>
      <c r="C297" s="175"/>
      <c r="D297" s="176"/>
      <c r="E297" s="176"/>
      <c r="F297" s="175"/>
      <c r="G297" s="177"/>
      <c r="I297" s="77">
        <f t="shared" si="71"/>
        <v>48</v>
      </c>
      <c r="J297" s="73">
        <f t="shared" si="76"/>
        <v>2045</v>
      </c>
      <c r="K297" s="78" t="str">
        <f t="shared" si="77"/>
        <v/>
      </c>
      <c r="M297" s="41">
        <v>2.3E-2</v>
      </c>
    </row>
    <row r="298" spans="2:13" hidden="1" outlineLevel="1">
      <c r="B298" s="190">
        <f t="shared" si="68"/>
        <v>53236</v>
      </c>
      <c r="C298" s="175"/>
      <c r="D298" s="176"/>
      <c r="E298" s="176"/>
      <c r="F298" s="175"/>
      <c r="G298" s="177"/>
      <c r="I298" s="77">
        <f t="shared" si="71"/>
        <v>49</v>
      </c>
      <c r="J298" s="73">
        <f t="shared" si="76"/>
        <v>2045</v>
      </c>
      <c r="K298" s="78" t="str">
        <f t="shared" si="77"/>
        <v/>
      </c>
      <c r="M298" s="41">
        <v>2.3E-2</v>
      </c>
    </row>
    <row r="299" spans="2:13" hidden="1" outlineLevel="1">
      <c r="B299" s="190">
        <f t="shared" si="68"/>
        <v>53267</v>
      </c>
      <c r="C299" s="175"/>
      <c r="D299" s="176"/>
      <c r="E299" s="176"/>
      <c r="F299" s="175"/>
      <c r="G299" s="177"/>
      <c r="I299" s="77">
        <f t="shared" si="71"/>
        <v>50</v>
      </c>
      <c r="J299" s="73">
        <f t="shared" si="76"/>
        <v>2045</v>
      </c>
      <c r="K299" s="78" t="str">
        <f t="shared" si="77"/>
        <v/>
      </c>
      <c r="M299" s="41">
        <v>2.3E-2</v>
      </c>
    </row>
    <row r="300" spans="2:13" hidden="1" outlineLevel="1">
      <c r="B300" s="191">
        <f t="shared" si="68"/>
        <v>53297</v>
      </c>
      <c r="C300" s="178"/>
      <c r="D300" s="179"/>
      <c r="E300" s="179"/>
      <c r="F300" s="178"/>
      <c r="G300" s="180"/>
      <c r="I300" s="64">
        <f t="shared" si="71"/>
        <v>51</v>
      </c>
      <c r="J300" s="73">
        <f t="shared" si="76"/>
        <v>2045</v>
      </c>
      <c r="K300" s="82" t="str">
        <f t="shared" si="77"/>
        <v/>
      </c>
      <c r="M300" s="41">
        <v>2.3E-2</v>
      </c>
    </row>
    <row r="301" spans="2:13" hidden="1" outlineLevel="1">
      <c r="B301" s="189">
        <f t="shared" si="68"/>
        <v>53328</v>
      </c>
      <c r="C301" s="181"/>
      <c r="D301" s="182"/>
      <c r="E301" s="182"/>
      <c r="F301" s="181"/>
      <c r="G301" s="183"/>
      <c r="I301" s="60">
        <f>I181</f>
        <v>53</v>
      </c>
      <c r="J301" s="73">
        <f t="shared" si="76"/>
        <v>2046</v>
      </c>
      <c r="K301" s="74" t="str">
        <f t="shared" si="77"/>
        <v/>
      </c>
      <c r="M301" s="41">
        <v>2.3E-2</v>
      </c>
    </row>
    <row r="302" spans="2:13" hidden="1" outlineLevel="1">
      <c r="B302" s="190">
        <f t="shared" si="68"/>
        <v>53359</v>
      </c>
      <c r="C302" s="175"/>
      <c r="D302" s="176"/>
      <c r="E302" s="176"/>
      <c r="F302" s="175"/>
      <c r="G302" s="177"/>
      <c r="I302" s="77">
        <f t="shared" si="71"/>
        <v>54</v>
      </c>
      <c r="J302" s="73">
        <f t="shared" si="76"/>
        <v>2046</v>
      </c>
      <c r="K302" s="78" t="str">
        <f t="shared" si="77"/>
        <v/>
      </c>
      <c r="M302" s="41">
        <v>2.3E-2</v>
      </c>
    </row>
    <row r="303" spans="2:13" hidden="1" outlineLevel="1">
      <c r="B303" s="190">
        <f t="shared" si="68"/>
        <v>53387</v>
      </c>
      <c r="C303" s="175"/>
      <c r="D303" s="176"/>
      <c r="E303" s="176"/>
      <c r="F303" s="175"/>
      <c r="G303" s="177"/>
      <c r="I303" s="77">
        <f t="shared" si="71"/>
        <v>55</v>
      </c>
      <c r="J303" s="73">
        <f t="shared" si="76"/>
        <v>2046</v>
      </c>
      <c r="K303" s="78" t="str">
        <f t="shared" si="77"/>
        <v/>
      </c>
      <c r="M303" s="41">
        <v>2.3E-2</v>
      </c>
    </row>
    <row r="304" spans="2:13" hidden="1" outlineLevel="1">
      <c r="B304" s="190">
        <f t="shared" si="68"/>
        <v>53418</v>
      </c>
      <c r="C304" s="175"/>
      <c r="D304" s="176"/>
      <c r="E304" s="176"/>
      <c r="F304" s="175"/>
      <c r="G304" s="177"/>
      <c r="I304" s="77">
        <f t="shared" si="71"/>
        <v>56</v>
      </c>
      <c r="J304" s="73">
        <f t="shared" si="76"/>
        <v>2046</v>
      </c>
      <c r="K304" s="78" t="str">
        <f t="shared" si="77"/>
        <v/>
      </c>
      <c r="M304" s="41">
        <v>2.3E-2</v>
      </c>
    </row>
    <row r="305" spans="2:13" hidden="1" outlineLevel="1">
      <c r="B305" s="190">
        <f t="shared" ref="B305:B323" si="78">EDATE(B304,1)</f>
        <v>53448</v>
      </c>
      <c r="C305" s="175"/>
      <c r="D305" s="176"/>
      <c r="E305" s="176"/>
      <c r="F305" s="175"/>
      <c r="G305" s="177"/>
      <c r="I305" s="77">
        <f t="shared" si="71"/>
        <v>57</v>
      </c>
      <c r="J305" s="73">
        <f t="shared" si="76"/>
        <v>2046</v>
      </c>
      <c r="K305" s="78" t="str">
        <f t="shared" si="77"/>
        <v/>
      </c>
      <c r="M305" s="41">
        <v>2.3E-2</v>
      </c>
    </row>
    <row r="306" spans="2:13" hidden="1" outlineLevel="1">
      <c r="B306" s="190">
        <f t="shared" si="78"/>
        <v>53479</v>
      </c>
      <c r="C306" s="175"/>
      <c r="D306" s="176"/>
      <c r="E306" s="176"/>
      <c r="F306" s="175"/>
      <c r="G306" s="177"/>
      <c r="I306" s="77">
        <f t="shared" ref="I306:I312" si="79">I186</f>
        <v>58</v>
      </c>
      <c r="J306" s="73">
        <f t="shared" si="76"/>
        <v>2046</v>
      </c>
      <c r="K306" s="78" t="str">
        <f t="shared" si="77"/>
        <v/>
      </c>
      <c r="M306" s="41">
        <v>2.3E-2</v>
      </c>
    </row>
    <row r="307" spans="2:13" hidden="1" outlineLevel="1">
      <c r="B307" s="190">
        <f t="shared" si="78"/>
        <v>53509</v>
      </c>
      <c r="C307" s="175"/>
      <c r="D307" s="176"/>
      <c r="E307" s="176"/>
      <c r="F307" s="175"/>
      <c r="G307" s="177"/>
      <c r="I307" s="77">
        <f t="shared" si="79"/>
        <v>59</v>
      </c>
      <c r="J307" s="73">
        <f t="shared" si="76"/>
        <v>2046</v>
      </c>
      <c r="K307" s="78" t="str">
        <f t="shared" si="77"/>
        <v/>
      </c>
      <c r="M307" s="41">
        <v>2.3E-2</v>
      </c>
    </row>
    <row r="308" spans="2:13" hidden="1" outlineLevel="1">
      <c r="B308" s="190">
        <f t="shared" si="78"/>
        <v>53540</v>
      </c>
      <c r="C308" s="175"/>
      <c r="D308" s="176"/>
      <c r="E308" s="176"/>
      <c r="F308" s="175"/>
      <c r="G308" s="177"/>
      <c r="I308" s="77">
        <f t="shared" si="79"/>
        <v>60</v>
      </c>
      <c r="J308" s="73">
        <f t="shared" si="76"/>
        <v>2046</v>
      </c>
      <c r="K308" s="78" t="str">
        <f t="shared" si="77"/>
        <v/>
      </c>
      <c r="M308" s="41">
        <v>2.3E-2</v>
      </c>
    </row>
    <row r="309" spans="2:13" hidden="1" outlineLevel="1">
      <c r="B309" s="190">
        <f t="shared" si="78"/>
        <v>53571</v>
      </c>
      <c r="C309" s="175"/>
      <c r="D309" s="176"/>
      <c r="E309" s="176"/>
      <c r="F309" s="175"/>
      <c r="G309" s="177"/>
      <c r="I309" s="77">
        <f t="shared" si="79"/>
        <v>61</v>
      </c>
      <c r="J309" s="73">
        <f t="shared" si="76"/>
        <v>2046</v>
      </c>
      <c r="K309" s="78" t="str">
        <f t="shared" si="77"/>
        <v/>
      </c>
      <c r="M309" s="41">
        <v>2.3E-2</v>
      </c>
    </row>
    <row r="310" spans="2:13" hidden="1" outlineLevel="1">
      <c r="B310" s="190">
        <f t="shared" si="78"/>
        <v>53601</v>
      </c>
      <c r="C310" s="175"/>
      <c r="D310" s="176"/>
      <c r="E310" s="176"/>
      <c r="F310" s="175"/>
      <c r="G310" s="177"/>
      <c r="I310" s="77">
        <f t="shared" si="79"/>
        <v>62</v>
      </c>
      <c r="J310" s="73">
        <f t="shared" si="76"/>
        <v>2046</v>
      </c>
      <c r="K310" s="78" t="str">
        <f t="shared" si="77"/>
        <v/>
      </c>
      <c r="M310" s="41">
        <v>2.3E-2</v>
      </c>
    </row>
    <row r="311" spans="2:13" hidden="1" outlineLevel="1">
      <c r="B311" s="190">
        <f t="shared" si="78"/>
        <v>53632</v>
      </c>
      <c r="C311" s="175"/>
      <c r="D311" s="176"/>
      <c r="E311" s="176"/>
      <c r="F311" s="175"/>
      <c r="G311" s="177"/>
      <c r="I311" s="77">
        <f t="shared" si="79"/>
        <v>63</v>
      </c>
      <c r="J311" s="73">
        <f t="shared" si="76"/>
        <v>2046</v>
      </c>
      <c r="K311" s="78" t="str">
        <f t="shared" si="77"/>
        <v/>
      </c>
      <c r="M311" s="41">
        <v>2.3E-2</v>
      </c>
    </row>
    <row r="312" spans="2:13" hidden="1" outlineLevel="1">
      <c r="B312" s="191">
        <f t="shared" si="78"/>
        <v>53662</v>
      </c>
      <c r="C312" s="178"/>
      <c r="D312" s="179"/>
      <c r="E312" s="179"/>
      <c r="F312" s="178"/>
      <c r="G312" s="180"/>
      <c r="I312" s="64">
        <f t="shared" si="79"/>
        <v>64</v>
      </c>
      <c r="J312" s="73">
        <f t="shared" si="76"/>
        <v>2046</v>
      </c>
      <c r="K312" s="82" t="str">
        <f t="shared" si="77"/>
        <v/>
      </c>
      <c r="M312" s="41">
        <v>2.3E-2</v>
      </c>
    </row>
    <row r="313" spans="2:13" hidden="1" outlineLevel="1">
      <c r="B313" s="189">
        <f t="shared" si="78"/>
        <v>53693</v>
      </c>
      <c r="C313" s="181"/>
      <c r="D313" s="182"/>
      <c r="E313" s="182"/>
      <c r="F313" s="181"/>
      <c r="G313" s="183"/>
      <c r="I313" s="60">
        <f>I193</f>
        <v>66</v>
      </c>
      <c r="J313" s="73">
        <f t="shared" si="76"/>
        <v>2047</v>
      </c>
      <c r="K313" s="74" t="str">
        <f t="shared" si="77"/>
        <v/>
      </c>
      <c r="M313" s="41">
        <v>2.3E-2</v>
      </c>
    </row>
    <row r="314" spans="2:13" hidden="1" outlineLevel="1">
      <c r="B314" s="190">
        <f t="shared" si="78"/>
        <v>53724</v>
      </c>
      <c r="C314" s="175"/>
      <c r="D314" s="176"/>
      <c r="E314" s="176"/>
      <c r="F314" s="175"/>
      <c r="G314" s="177"/>
      <c r="I314" s="77">
        <f t="shared" ref="I314:I324" si="80">I194</f>
        <v>67</v>
      </c>
      <c r="J314" s="73">
        <f t="shared" si="76"/>
        <v>2047</v>
      </c>
      <c r="K314" s="78" t="str">
        <f t="shared" si="77"/>
        <v/>
      </c>
      <c r="M314" s="41">
        <v>2.3E-2</v>
      </c>
    </row>
    <row r="315" spans="2:13" hidden="1" outlineLevel="1">
      <c r="B315" s="190">
        <f t="shared" si="78"/>
        <v>53752</v>
      </c>
      <c r="C315" s="175"/>
      <c r="D315" s="176"/>
      <c r="E315" s="176"/>
      <c r="F315" s="175"/>
      <c r="G315" s="177"/>
      <c r="I315" s="77">
        <f t="shared" si="80"/>
        <v>68</v>
      </c>
      <c r="J315" s="73">
        <f t="shared" si="76"/>
        <v>2047</v>
      </c>
      <c r="K315" s="78" t="str">
        <f t="shared" si="77"/>
        <v/>
      </c>
      <c r="M315" s="41">
        <v>2.3E-2</v>
      </c>
    </row>
    <row r="316" spans="2:13" hidden="1" outlineLevel="1">
      <c r="B316" s="190">
        <f t="shared" si="78"/>
        <v>53783</v>
      </c>
      <c r="C316" s="175"/>
      <c r="D316" s="176"/>
      <c r="E316" s="176"/>
      <c r="F316" s="175"/>
      <c r="G316" s="177"/>
      <c r="I316" s="77">
        <f t="shared" si="80"/>
        <v>69</v>
      </c>
      <c r="J316" s="73">
        <f t="shared" si="76"/>
        <v>2047</v>
      </c>
      <c r="K316" s="78" t="str">
        <f t="shared" si="77"/>
        <v/>
      </c>
      <c r="M316" s="41">
        <v>2.3E-2</v>
      </c>
    </row>
    <row r="317" spans="2:13" hidden="1" outlineLevel="1">
      <c r="B317" s="190">
        <f t="shared" si="78"/>
        <v>53813</v>
      </c>
      <c r="C317" s="175"/>
      <c r="D317" s="176"/>
      <c r="E317" s="176"/>
      <c r="F317" s="175"/>
      <c r="G317" s="177"/>
      <c r="I317" s="77">
        <f t="shared" si="80"/>
        <v>70</v>
      </c>
      <c r="J317" s="73">
        <f t="shared" si="76"/>
        <v>2047</v>
      </c>
      <c r="K317" s="78" t="str">
        <f t="shared" si="77"/>
        <v/>
      </c>
      <c r="M317" s="41">
        <v>2.3E-2</v>
      </c>
    </row>
    <row r="318" spans="2:13" hidden="1" outlineLevel="1">
      <c r="B318" s="190">
        <f t="shared" si="78"/>
        <v>53844</v>
      </c>
      <c r="C318" s="175"/>
      <c r="D318" s="176"/>
      <c r="E318" s="176"/>
      <c r="F318" s="175"/>
      <c r="G318" s="177"/>
      <c r="I318" s="77">
        <f t="shared" si="80"/>
        <v>71</v>
      </c>
      <c r="J318" s="73">
        <f t="shared" si="76"/>
        <v>2047</v>
      </c>
      <c r="K318" s="78" t="str">
        <f t="shared" si="77"/>
        <v/>
      </c>
      <c r="M318" s="41">
        <v>2.3E-2</v>
      </c>
    </row>
    <row r="319" spans="2:13" hidden="1" outlineLevel="1">
      <c r="B319" s="190">
        <f t="shared" si="78"/>
        <v>53874</v>
      </c>
      <c r="C319" s="175"/>
      <c r="D319" s="176"/>
      <c r="E319" s="176"/>
      <c r="F319" s="175"/>
      <c r="G319" s="177"/>
      <c r="I319" s="77">
        <f t="shared" si="80"/>
        <v>72</v>
      </c>
      <c r="J319" s="73">
        <f t="shared" si="76"/>
        <v>2047</v>
      </c>
      <c r="K319" s="78" t="str">
        <f t="shared" si="77"/>
        <v/>
      </c>
      <c r="M319" s="41">
        <v>2.3E-2</v>
      </c>
    </row>
    <row r="320" spans="2:13" hidden="1" outlineLevel="1">
      <c r="B320" s="190">
        <f t="shared" si="78"/>
        <v>53905</v>
      </c>
      <c r="C320" s="175"/>
      <c r="D320" s="176"/>
      <c r="E320" s="176"/>
      <c r="F320" s="175"/>
      <c r="G320" s="177"/>
      <c r="I320" s="77">
        <f t="shared" si="80"/>
        <v>73</v>
      </c>
      <c r="J320" s="73">
        <f t="shared" si="76"/>
        <v>2047</v>
      </c>
      <c r="K320" s="78" t="str">
        <f t="shared" si="77"/>
        <v/>
      </c>
      <c r="M320" s="41">
        <v>2.3E-2</v>
      </c>
    </row>
    <row r="321" spans="2:13" hidden="1" outlineLevel="1">
      <c r="B321" s="190">
        <f t="shared" si="78"/>
        <v>53936</v>
      </c>
      <c r="C321" s="175"/>
      <c r="D321" s="176"/>
      <c r="E321" s="176"/>
      <c r="F321" s="175"/>
      <c r="G321" s="177"/>
      <c r="I321" s="77">
        <f t="shared" si="80"/>
        <v>74</v>
      </c>
      <c r="J321" s="73">
        <f t="shared" si="76"/>
        <v>2047</v>
      </c>
      <c r="K321" s="78" t="str">
        <f t="shared" si="77"/>
        <v/>
      </c>
      <c r="M321" s="41">
        <v>2.3E-2</v>
      </c>
    </row>
    <row r="322" spans="2:13" hidden="1" outlineLevel="1">
      <c r="B322" s="190">
        <f t="shared" si="78"/>
        <v>53966</v>
      </c>
      <c r="C322" s="175"/>
      <c r="D322" s="176"/>
      <c r="E322" s="176"/>
      <c r="F322" s="175"/>
      <c r="G322" s="177"/>
      <c r="I322" s="77">
        <f t="shared" si="80"/>
        <v>75</v>
      </c>
      <c r="J322" s="73">
        <f t="shared" si="76"/>
        <v>2047</v>
      </c>
      <c r="K322" s="78" t="str">
        <f t="shared" si="77"/>
        <v/>
      </c>
      <c r="M322" s="41">
        <v>2.3E-2</v>
      </c>
    </row>
    <row r="323" spans="2:13" hidden="1" outlineLevel="1">
      <c r="B323" s="190">
        <f t="shared" si="78"/>
        <v>53997</v>
      </c>
      <c r="C323" s="175"/>
      <c r="D323" s="176"/>
      <c r="E323" s="176"/>
      <c r="F323" s="175"/>
      <c r="G323" s="177"/>
      <c r="I323" s="77">
        <f t="shared" si="80"/>
        <v>76</v>
      </c>
      <c r="J323" s="73">
        <f t="shared" si="76"/>
        <v>2047</v>
      </c>
      <c r="K323" s="78" t="str">
        <f t="shared" si="77"/>
        <v/>
      </c>
      <c r="M323" s="41">
        <v>2.3E-2</v>
      </c>
    </row>
    <row r="324" spans="2:13" hidden="1" outlineLevel="1">
      <c r="B324" s="191"/>
      <c r="C324" s="178"/>
      <c r="D324" s="179"/>
      <c r="E324" s="179"/>
      <c r="F324" s="178"/>
      <c r="G324" s="180"/>
      <c r="I324" s="64">
        <f t="shared" si="80"/>
        <v>77</v>
      </c>
      <c r="J324" s="73">
        <f t="shared" si="76"/>
        <v>1900</v>
      </c>
      <c r="K324" s="82" t="str">
        <f t="shared" si="77"/>
        <v/>
      </c>
      <c r="M324" s="41" t="e">
        <v>#N/A</v>
      </c>
    </row>
    <row r="325" spans="2:13" hidden="1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85"/>
      <c r="R6" s="385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71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72"/>
      <c r="P15" s="371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8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89.23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47.907462180990628</v>
      </c>
      <c r="H18" s="128">
        <v>-21.479999999999997</v>
      </c>
      <c r="I18" s="130">
        <f t="shared" si="5"/>
        <v>26.427462180990631</v>
      </c>
      <c r="J18" s="130">
        <f t="shared" ref="J18:J37" si="8">ROUND(I18*$C$63*8.76,2)</f>
        <v>68.290000000000006</v>
      </c>
      <c r="K18" s="128">
        <f t="shared" si="2"/>
        <v>123.80246376811596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91.28</v>
      </c>
      <c r="E19" s="148">
        <v>33.826086956521742</v>
      </c>
      <c r="F19" s="128">
        <f t="shared" si="7"/>
        <v>1.53</v>
      </c>
      <c r="G19" s="130">
        <f t="shared" si="4"/>
        <v>49.0039807122211</v>
      </c>
      <c r="H19" s="128">
        <v>-22.278000000000002</v>
      </c>
      <c r="I19" s="130">
        <f t="shared" si="5"/>
        <v>26.725980712221098</v>
      </c>
      <c r="J19" s="130">
        <f t="shared" si="8"/>
        <v>69.069999999999993</v>
      </c>
      <c r="K19" s="128">
        <f t="shared" si="2"/>
        <v>126.63608695652175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93.38</v>
      </c>
      <c r="E20" s="148">
        <v>34.594202898550726</v>
      </c>
      <c r="F20" s="128">
        <f t="shared" si="7"/>
        <v>1.57</v>
      </c>
      <c r="G20" s="130">
        <f t="shared" si="4"/>
        <v>50.129325477343365</v>
      </c>
      <c r="H20" s="128">
        <v>-22.278000000000002</v>
      </c>
      <c r="I20" s="130">
        <f t="shared" si="5"/>
        <v>27.851325477343362</v>
      </c>
      <c r="J20" s="130">
        <f t="shared" si="8"/>
        <v>71.97</v>
      </c>
      <c r="K20" s="128">
        <f t="shared" si="2"/>
        <v>129.54420289855071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95.53</v>
      </c>
      <c r="E21" s="148">
        <v>35.376811594202898</v>
      </c>
      <c r="F21" s="128">
        <f t="shared" si="7"/>
        <v>1.61</v>
      </c>
      <c r="G21" s="130">
        <f t="shared" si="4"/>
        <v>51.279626806827238</v>
      </c>
      <c r="H21" s="128">
        <v>-23.07</v>
      </c>
      <c r="I21" s="130">
        <f t="shared" si="5"/>
        <v>28.209626806827238</v>
      </c>
      <c r="J21" s="130">
        <f t="shared" si="8"/>
        <v>72.900000000000006</v>
      </c>
      <c r="K21" s="128">
        <f t="shared" si="2"/>
        <v>132.51681159420292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97.73</v>
      </c>
      <c r="E22" s="148">
        <v>36.188405797101453</v>
      </c>
      <c r="F22" s="128">
        <f t="shared" si="7"/>
        <v>1.65</v>
      </c>
      <c r="G22" s="130">
        <f t="shared" si="4"/>
        <v>52.460492917383128</v>
      </c>
      <c r="H22" s="128">
        <v>-23.07</v>
      </c>
      <c r="I22" s="130">
        <f t="shared" si="5"/>
        <v>29.390492917383128</v>
      </c>
      <c r="J22" s="130">
        <f t="shared" si="8"/>
        <v>75.95</v>
      </c>
      <c r="K22" s="128">
        <f t="shared" si="2"/>
        <v>135.56840579710146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100.08</v>
      </c>
      <c r="E23" s="148">
        <v>37.014492753623188</v>
      </c>
      <c r="F23" s="128">
        <f t="shared" si="7"/>
        <v>1.69</v>
      </c>
      <c r="G23" s="130">
        <f t="shared" si="4"/>
        <v>53.705012287602813</v>
      </c>
      <c r="H23" s="128">
        <v>-23.867999999999999</v>
      </c>
      <c r="I23" s="130">
        <f t="shared" si="5"/>
        <v>29.837012287602814</v>
      </c>
      <c r="J23" s="130">
        <f t="shared" si="8"/>
        <v>77.099999999999994</v>
      </c>
      <c r="K23" s="128">
        <f t="shared" si="2"/>
        <v>138.78449275362317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102.38</v>
      </c>
      <c r="E24" s="148">
        <v>37.855072463768117</v>
      </c>
      <c r="F24" s="128">
        <f t="shared" si="7"/>
        <v>1.73</v>
      </c>
      <c r="G24" s="130">
        <f>(D24+E24+F24)/(8.76*$C$63)</f>
        <v>54.935791526881872</v>
      </c>
      <c r="H24" s="128">
        <v>-24.666</v>
      </c>
      <c r="I24" s="130">
        <f>(G24+H24)</f>
        <v>30.269791526881871</v>
      </c>
      <c r="J24" s="130">
        <f t="shared" si="8"/>
        <v>78.22</v>
      </c>
      <c r="K24" s="128">
        <f t="shared" si="2"/>
        <v>141.96507246376811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104.73</v>
      </c>
      <c r="E25" s="148">
        <v>38.724637681159422</v>
      </c>
      <c r="F25" s="128">
        <f t="shared" si="7"/>
        <v>1.77</v>
      </c>
      <c r="G25" s="130">
        <f t="shared" ref="G25:G37" si="9">(D25+E25+F25)/(8.76*$C$63)</f>
        <v>56.197135547232975</v>
      </c>
      <c r="H25" s="128">
        <v>-24.666</v>
      </c>
      <c r="I25" s="130">
        <f t="shared" ref="I25:I37" si="10">(G25+H25)</f>
        <v>31.531135547232974</v>
      </c>
      <c r="J25" s="130">
        <f t="shared" si="8"/>
        <v>81.48</v>
      </c>
      <c r="K25" s="128">
        <f t="shared" si="2"/>
        <v>145.22463768115944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107.14</v>
      </c>
      <c r="E26" s="148">
        <v>39.608695652173914</v>
      </c>
      <c r="F26" s="128">
        <f t="shared" si="7"/>
        <v>1.81</v>
      </c>
      <c r="G26" s="130">
        <f t="shared" si="9"/>
        <v>57.48730580147587</v>
      </c>
      <c r="H26" s="128">
        <v>-25.457999999999998</v>
      </c>
      <c r="I26" s="130">
        <f t="shared" si="10"/>
        <v>32.029305801475871</v>
      </c>
      <c r="J26" s="130">
        <f t="shared" si="8"/>
        <v>82.77</v>
      </c>
      <c r="K26" s="128">
        <f t="shared" si="2"/>
        <v>148.55869565217392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109.6</v>
      </c>
      <c r="E27" s="148">
        <v>40.507246376811594</v>
      </c>
      <c r="F27" s="128">
        <f t="shared" si="7"/>
        <v>1.85</v>
      </c>
      <c r="G27" s="130">
        <f t="shared" si="9"/>
        <v>58.802432620080339</v>
      </c>
      <c r="H27" s="128">
        <v>0</v>
      </c>
      <c r="I27" s="130">
        <f t="shared" si="10"/>
        <v>58.802432620080339</v>
      </c>
      <c r="J27" s="130">
        <f t="shared" si="8"/>
        <v>151.96</v>
      </c>
      <c r="K27" s="128">
        <f t="shared" si="2"/>
        <v>151.95724637681158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112.12</v>
      </c>
      <c r="E28" s="148">
        <v>41.434782608695649</v>
      </c>
      <c r="F28" s="128">
        <f t="shared" si="7"/>
        <v>1.89</v>
      </c>
      <c r="G28" s="130">
        <f t="shared" si="9"/>
        <v>60.151993889287077</v>
      </c>
      <c r="H28" s="128">
        <v>0</v>
      </c>
      <c r="I28" s="130">
        <f t="shared" si="10"/>
        <v>60.151993889287077</v>
      </c>
      <c r="J28" s="130">
        <f t="shared" si="8"/>
        <v>155.44</v>
      </c>
      <c r="K28" s="128">
        <f t="shared" si="2"/>
        <v>155.44478260869565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114.7</v>
      </c>
      <c r="E29" s="148">
        <v>42.376811594202898</v>
      </c>
      <c r="F29" s="128">
        <f t="shared" si="7"/>
        <v>1.93</v>
      </c>
      <c r="G29" s="130">
        <f t="shared" si="9"/>
        <v>61.530381392385621</v>
      </c>
      <c r="H29" s="128">
        <v>0</v>
      </c>
      <c r="I29" s="130">
        <f t="shared" si="10"/>
        <v>61.530381392385621</v>
      </c>
      <c r="J29" s="130">
        <f t="shared" si="8"/>
        <v>159.01</v>
      </c>
      <c r="K29" s="128">
        <f t="shared" si="2"/>
        <v>159.0068115942029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117.34</v>
      </c>
      <c r="E30" s="148">
        <v>43.347826086956523</v>
      </c>
      <c r="F30" s="128">
        <f t="shared" si="7"/>
        <v>1.97</v>
      </c>
      <c r="G30" s="130">
        <f t="shared" si="9"/>
        <v>62.943203346086435</v>
      </c>
      <c r="H30" s="128">
        <v>0</v>
      </c>
      <c r="I30" s="130">
        <f t="shared" si="10"/>
        <v>62.943203346086435</v>
      </c>
      <c r="J30" s="130">
        <f t="shared" si="8"/>
        <v>162.66</v>
      </c>
      <c r="K30" s="128">
        <f t="shared" si="2"/>
        <v>162.65782608695653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120.04</v>
      </c>
      <c r="E31" s="148">
        <v>44.333333333333336</v>
      </c>
      <c r="F31" s="128">
        <f t="shared" si="7"/>
        <v>2.02</v>
      </c>
      <c r="G31" s="130">
        <f t="shared" si="9"/>
        <v>64.388721203209258</v>
      </c>
      <c r="H31" s="128">
        <v>0</v>
      </c>
      <c r="I31" s="130">
        <f t="shared" si="10"/>
        <v>64.388721203209258</v>
      </c>
      <c r="J31" s="130">
        <f t="shared" si="8"/>
        <v>166.39</v>
      </c>
      <c r="K31" s="128">
        <f t="shared" si="2"/>
        <v>166.39333333333335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122.8</v>
      </c>
      <c r="E32" s="148">
        <v>45.347826086956523</v>
      </c>
      <c r="F32" s="128">
        <f t="shared" si="7"/>
        <v>2.0699999999999998</v>
      </c>
      <c r="G32" s="130">
        <f t="shared" si="9"/>
        <v>65.868673510934343</v>
      </c>
      <c r="H32" s="128">
        <v>0</v>
      </c>
      <c r="I32" s="130">
        <f t="shared" si="10"/>
        <v>65.868673510934343</v>
      </c>
      <c r="J32" s="130">
        <f t="shared" si="8"/>
        <v>170.22</v>
      </c>
      <c r="K32" s="128">
        <f t="shared" si="2"/>
        <v>170.21782608695651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125.62</v>
      </c>
      <c r="E33" s="128">
        <f t="shared" si="6"/>
        <v>46.39</v>
      </c>
      <c r="F33" s="128">
        <f t="shared" si="7"/>
        <v>2.12</v>
      </c>
      <c r="G33" s="130">
        <f t="shared" si="9"/>
        <v>67.382555529757767</v>
      </c>
      <c r="H33" s="128">
        <v>0</v>
      </c>
      <c r="I33" s="130">
        <f t="shared" si="10"/>
        <v>67.382555529757767</v>
      </c>
      <c r="J33" s="130">
        <f t="shared" si="8"/>
        <v>174.13</v>
      </c>
      <c r="K33" s="128">
        <f t="shared" si="2"/>
        <v>174.13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128.51</v>
      </c>
      <c r="E34" s="128">
        <f t="shared" si="11"/>
        <v>47.46</v>
      </c>
      <c r="F34" s="128">
        <f t="shared" si="7"/>
        <v>2.17</v>
      </c>
      <c r="G34" s="130">
        <f t="shared" si="9"/>
        <v>68.934293011376838</v>
      </c>
      <c r="H34" s="128">
        <v>0</v>
      </c>
      <c r="I34" s="130">
        <f t="shared" si="10"/>
        <v>68.934293011376838</v>
      </c>
      <c r="J34" s="130">
        <f t="shared" si="8"/>
        <v>178.14</v>
      </c>
      <c r="K34" s="128">
        <f t="shared" si="2"/>
        <v>178.14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131.34</v>
      </c>
      <c r="E35" s="128">
        <f t="shared" si="11"/>
        <v>48.5</v>
      </c>
      <c r="F35" s="128">
        <f t="shared" si="7"/>
        <v>2.2200000000000002</v>
      </c>
      <c r="G35" s="130">
        <f t="shared" si="9"/>
        <v>70.451203467223905</v>
      </c>
      <c r="H35" s="128">
        <v>0</v>
      </c>
      <c r="I35" s="130">
        <f t="shared" si="10"/>
        <v>70.451203467223905</v>
      </c>
      <c r="J35" s="130">
        <f t="shared" si="8"/>
        <v>182.06</v>
      </c>
      <c r="K35" s="128">
        <f t="shared" si="2"/>
        <v>182.06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134.22999999999999</v>
      </c>
      <c r="E36" s="128">
        <f t="shared" si="11"/>
        <v>49.57</v>
      </c>
      <c r="F36" s="128">
        <f t="shared" si="7"/>
        <v>2.27</v>
      </c>
      <c r="G36" s="130">
        <f t="shared" si="9"/>
        <v>72.002940948842976</v>
      </c>
      <c r="H36" s="128">
        <v>0</v>
      </c>
      <c r="I36" s="130">
        <f t="shared" si="10"/>
        <v>72.002940948842976</v>
      </c>
      <c r="J36" s="130">
        <f t="shared" si="8"/>
        <v>186.07</v>
      </c>
      <c r="K36" s="128">
        <f t="shared" si="2"/>
        <v>186.07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137.32</v>
      </c>
      <c r="E37" s="128">
        <f t="shared" si="11"/>
        <v>50.71</v>
      </c>
      <c r="F37" s="128">
        <f t="shared" si="7"/>
        <v>2.3199999999999998</v>
      </c>
      <c r="G37" s="130">
        <f t="shared" si="9"/>
        <v>73.659159507778043</v>
      </c>
      <c r="H37" s="128">
        <v>0</v>
      </c>
      <c r="I37" s="130">
        <f t="shared" si="10"/>
        <v>73.659159507778043</v>
      </c>
      <c r="J37" s="130">
        <f t="shared" si="8"/>
        <v>190.35</v>
      </c>
      <c r="K37" s="128">
        <f t="shared" si="2"/>
        <v>190.35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73"/>
      <c r="R39" s="373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7">
        <v>2023</v>
      </c>
    </row>
    <row r="55" spans="2:27">
      <c r="B55" s="85" t="s">
        <v>101</v>
      </c>
      <c r="C55" s="374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7" t="s">
        <v>229</v>
      </c>
      <c r="T56" s="117" t="str">
        <f>Q56&amp;"Proposed Station Fixed Costs"</f>
        <v>H3.US1_WD_CPProposed Station Fixed Costs</v>
      </c>
      <c r="AA56" s="278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75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76" t="s">
        <v>91</v>
      </c>
      <c r="L59" s="377"/>
      <c r="M59" s="152"/>
      <c r="O59" s="150"/>
      <c r="P59" s="119"/>
      <c r="Q59" s="213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69" t="s">
        <v>237</v>
      </c>
      <c r="C60" s="153">
        <v>1.4680258019147514</v>
      </c>
      <c r="D60" s="117" t="s">
        <v>218</v>
      </c>
      <c r="F60" s="117" t="s">
        <v>221</v>
      </c>
      <c r="K60" s="377"/>
      <c r="L60" s="377"/>
      <c r="M60" s="377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377"/>
      <c r="L61" s="377"/>
      <c r="M61" s="377"/>
      <c r="N61" s="164"/>
      <c r="O61" s="377"/>
      <c r="R61" s="119"/>
      <c r="T61" s="119"/>
      <c r="U61" s="119"/>
      <c r="V61" s="119"/>
      <c r="W61" s="119"/>
      <c r="X61" s="119"/>
      <c r="Y61" s="119"/>
    </row>
    <row r="62" spans="2:27">
      <c r="C62" s="378">
        <v>6.898638050271251E-2</v>
      </c>
      <c r="D62" s="117" t="s">
        <v>36</v>
      </c>
      <c r="K62" s="289"/>
      <c r="L62" s="156"/>
      <c r="M62" s="156"/>
      <c r="O62" s="157"/>
    </row>
    <row r="63" spans="2:27">
      <c r="C63" s="379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238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3"/>
      <c r="O5" s="213"/>
      <c r="Q5" s="213"/>
      <c r="S5" s="275"/>
      <c r="U5" s="272"/>
      <c r="V5" s="273"/>
      <c r="W5" s="272"/>
      <c r="X5" s="273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6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1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47">
        <v>1252.8729166666667</v>
      </c>
      <c r="D18" s="128">
        <f>C18*$C$62</f>
        <v>86.431167750709889</v>
      </c>
      <c r="E18" s="268">
        <v>32.969791666666666</v>
      </c>
      <c r="F18" s="370">
        <f>C60</f>
        <v>47.870308055404152</v>
      </c>
      <c r="G18" s="130">
        <f>(D18+E18+F18)/(8.76*$C$63)</f>
        <v>43.795627401653867</v>
      </c>
      <c r="H18" s="128"/>
      <c r="I18" s="128">
        <f>INDEX('[11]Trapped Adj'!$D$57:$DS$96,MATCH("IRP19Wind_WYAE_T",'[11]Trapped Adj'!$C$57:$C$96,0),MATCH(B18,'[11]Trapped Adj'!$D$1:$DS$1,0))-H18</f>
        <v>0</v>
      </c>
      <c r="J18" s="130">
        <f>(G18+H18+I18)</f>
        <v>43.795627401653867</v>
      </c>
      <c r="K18" s="130">
        <f t="shared" ref="K18:K32" si="2">ROUND(J18*$C$63*8.76,2)</f>
        <v>167.27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88.42</v>
      </c>
      <c r="E19" s="268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48.97</v>
      </c>
      <c r="G19" s="130">
        <f t="shared" ref="G19:G37" si="5">(D19+E19+F19)/(8.76*$C$63)</f>
        <v>44.8033723800148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0</v>
      </c>
      <c r="J19" s="130">
        <f t="shared" ref="J19:J37" si="7">(G19+H19+I19)</f>
        <v>44.8033723800148</v>
      </c>
      <c r="K19" s="130">
        <f t="shared" si="2"/>
        <v>171.12</v>
      </c>
      <c r="L19" s="128">
        <f t="shared" si="1"/>
        <v>171.12020833333332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90.45</v>
      </c>
      <c r="E20" s="268">
        <v>34.490104166666669</v>
      </c>
      <c r="F20" s="128">
        <f t="shared" si="4"/>
        <v>50.1</v>
      </c>
      <c r="G20" s="130">
        <f t="shared" si="5"/>
        <v>45.829695071076486</v>
      </c>
      <c r="H20" s="128"/>
      <c r="I20" s="128">
        <f t="shared" si="6"/>
        <v>0</v>
      </c>
      <c r="J20" s="130">
        <f t="shared" si="7"/>
        <v>45.829695071076486</v>
      </c>
      <c r="K20" s="130">
        <f t="shared" si="2"/>
        <v>175.04</v>
      </c>
      <c r="L20" s="128">
        <f t="shared" si="1"/>
        <v>175.04010416666668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92.53</v>
      </c>
      <c r="E21" s="268">
        <v>35.280208333333334</v>
      </c>
      <c r="F21" s="128">
        <f t="shared" si="4"/>
        <v>51.25</v>
      </c>
      <c r="G21" s="130">
        <f t="shared" si="5"/>
        <v>46.882254705849491</v>
      </c>
      <c r="H21" s="198">
        <v>1</v>
      </c>
      <c r="I21" s="128">
        <f t="shared" si="6"/>
        <v>0</v>
      </c>
      <c r="J21" s="130">
        <f t="shared" si="7"/>
        <v>47.882254705849491</v>
      </c>
      <c r="K21" s="130">
        <f t="shared" si="2"/>
        <v>182.88</v>
      </c>
      <c r="L21" s="128">
        <f t="shared" si="1"/>
        <v>179.06020833333332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94.66</v>
      </c>
      <c r="E22" s="268">
        <v>36.09010416666667</v>
      </c>
      <c r="F22" s="128">
        <f t="shared" si="4"/>
        <v>52.43</v>
      </c>
      <c r="G22" s="130">
        <f t="shared" si="5"/>
        <v>47.960942191012805</v>
      </c>
      <c r="H22" s="198">
        <v>1</v>
      </c>
      <c r="I22" s="128">
        <f t="shared" si="6"/>
        <v>0</v>
      </c>
      <c r="J22" s="130">
        <f t="shared" si="7"/>
        <v>48.960942191012805</v>
      </c>
      <c r="K22" s="130">
        <f t="shared" si="2"/>
        <v>187</v>
      </c>
      <c r="L22" s="128">
        <f t="shared" si="1"/>
        <v>183.18010416666667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96.93</v>
      </c>
      <c r="E23" s="268">
        <v>36.90989583333333</v>
      </c>
      <c r="F23" s="128">
        <f t="shared" si="4"/>
        <v>53.69</v>
      </c>
      <c r="G23" s="130">
        <f t="shared" si="5"/>
        <v>49.09982191606273</v>
      </c>
      <c r="H23" s="198">
        <v>1</v>
      </c>
      <c r="I23" s="128">
        <f t="shared" si="6"/>
        <v>0</v>
      </c>
      <c r="J23" s="130">
        <f t="shared" si="7"/>
        <v>50.09982191606273</v>
      </c>
      <c r="K23" s="130">
        <f t="shared" si="2"/>
        <v>191.35</v>
      </c>
      <c r="L23" s="128">
        <f t="shared" si="1"/>
        <v>187.52989583333334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99.16</v>
      </c>
      <c r="E24" s="268">
        <v>37.75</v>
      </c>
      <c r="F24" s="128">
        <f t="shared" si="4"/>
        <v>54.92</v>
      </c>
      <c r="G24" s="130">
        <f t="shared" si="5"/>
        <v>50.225692262578015</v>
      </c>
      <c r="H24" s="198">
        <v>1</v>
      </c>
      <c r="I24" s="128">
        <f t="shared" si="6"/>
        <v>0</v>
      </c>
      <c r="J24" s="130">
        <f t="shared" si="7"/>
        <v>51.225692262578015</v>
      </c>
      <c r="K24" s="130">
        <f t="shared" si="2"/>
        <v>195.65</v>
      </c>
      <c r="L24" s="128">
        <f t="shared" si="1"/>
        <v>191.82999999999998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101.44</v>
      </c>
      <c r="E25" s="268">
        <v>38.609895833333333</v>
      </c>
      <c r="F25" s="128">
        <f t="shared" si="4"/>
        <v>56.18</v>
      </c>
      <c r="G25" s="130">
        <f t="shared" si="5"/>
        <v>51.37769045948361</v>
      </c>
      <c r="H25" s="198">
        <v>1</v>
      </c>
      <c r="I25" s="128">
        <f t="shared" si="6"/>
        <v>0</v>
      </c>
      <c r="J25" s="130">
        <f t="shared" si="7"/>
        <v>52.37769045948361</v>
      </c>
      <c r="K25" s="130">
        <f t="shared" si="2"/>
        <v>200.05</v>
      </c>
      <c r="L25" s="128">
        <f t="shared" si="1"/>
        <v>196.22989583333333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103.77</v>
      </c>
      <c r="E26" s="268">
        <v>39.490104166666669</v>
      </c>
      <c r="F26" s="128">
        <f t="shared" si="4"/>
        <v>57.47</v>
      </c>
      <c r="G26" s="130">
        <f t="shared" si="5"/>
        <v>52.555952873430805</v>
      </c>
      <c r="H26" s="198">
        <v>1</v>
      </c>
      <c r="I26" s="128">
        <f t="shared" si="6"/>
        <v>0</v>
      </c>
      <c r="J26" s="130">
        <f t="shared" si="7"/>
        <v>53.555952873430805</v>
      </c>
      <c r="K26" s="130">
        <f t="shared" si="2"/>
        <v>204.55</v>
      </c>
      <c r="L26" s="128">
        <f t="shared" si="1"/>
        <v>200.73010416666668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106.16</v>
      </c>
      <c r="E27" s="268">
        <v>40.390104166666667</v>
      </c>
      <c r="F27" s="128">
        <f t="shared" si="4"/>
        <v>58.79</v>
      </c>
      <c r="G27" s="130">
        <f t="shared" si="5"/>
        <v>53.76296137747336</v>
      </c>
      <c r="H27" s="198">
        <v>1</v>
      </c>
      <c r="I27" s="128">
        <f t="shared" si="6"/>
        <v>0</v>
      </c>
      <c r="J27" s="130">
        <f t="shared" si="7"/>
        <v>54.76296137747336</v>
      </c>
      <c r="K27" s="130">
        <f t="shared" si="2"/>
        <v>209.16</v>
      </c>
      <c r="L27" s="128">
        <f t="shared" si="1"/>
        <v>205.34010416666666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108.6</v>
      </c>
      <c r="E28" s="268">
        <v>41.309895833333336</v>
      </c>
      <c r="F28" s="128">
        <f t="shared" si="4"/>
        <v>60.14</v>
      </c>
      <c r="G28" s="130">
        <f t="shared" si="5"/>
        <v>54.996097731906211</v>
      </c>
      <c r="H28" s="198">
        <v>1</v>
      </c>
      <c r="I28" s="128"/>
      <c r="J28" s="130">
        <f t="shared" si="7"/>
        <v>55.996097731906211</v>
      </c>
      <c r="K28" s="130">
        <f t="shared" si="2"/>
        <v>213.87</v>
      </c>
      <c r="L28" s="128">
        <f t="shared" si="1"/>
        <v>210.04989583333332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111.1</v>
      </c>
      <c r="E29" s="268">
        <v>42.25</v>
      </c>
      <c r="F29" s="128">
        <f t="shared" si="4"/>
        <v>61.52</v>
      </c>
      <c r="G29" s="130">
        <f t="shared" si="5"/>
        <v>56.258116543085755</v>
      </c>
      <c r="H29" s="198">
        <v>1</v>
      </c>
      <c r="I29" s="128"/>
      <c r="J29" s="130">
        <f t="shared" si="7"/>
        <v>57.258116543085755</v>
      </c>
      <c r="K29" s="130">
        <f t="shared" si="2"/>
        <v>218.69</v>
      </c>
      <c r="L29" s="128">
        <f t="shared" si="1"/>
        <v>214.87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113.66</v>
      </c>
      <c r="E30" s="268">
        <v>43.219791666666666</v>
      </c>
      <c r="F30" s="128">
        <f t="shared" si="4"/>
        <v>62.93</v>
      </c>
      <c r="G30" s="130">
        <f t="shared" si="5"/>
        <v>57.551472410735485</v>
      </c>
      <c r="H30" s="198">
        <v>1</v>
      </c>
      <c r="I30" s="128"/>
      <c r="J30" s="130">
        <f t="shared" si="7"/>
        <v>58.551472410735485</v>
      </c>
      <c r="K30" s="130">
        <f t="shared" si="2"/>
        <v>223.63</v>
      </c>
      <c r="L30" s="128">
        <f t="shared" si="1"/>
        <v>219.80979166666668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116.27</v>
      </c>
      <c r="E31" s="268">
        <v>44.2</v>
      </c>
      <c r="F31" s="128">
        <f t="shared" si="4"/>
        <v>64.38</v>
      </c>
      <c r="G31" s="130">
        <f t="shared" si="5"/>
        <v>58.871119768757069</v>
      </c>
      <c r="H31" s="198">
        <v>1</v>
      </c>
      <c r="I31" s="128"/>
      <c r="J31" s="130">
        <f t="shared" si="7"/>
        <v>59.871119768757069</v>
      </c>
      <c r="K31" s="130">
        <f t="shared" si="2"/>
        <v>228.67</v>
      </c>
      <c r="L31" s="128">
        <f t="shared" si="1"/>
        <v>224.85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118.94</v>
      </c>
      <c r="E32" s="268">
        <v>45.209895833333334</v>
      </c>
      <c r="F32" s="128">
        <f t="shared" si="4"/>
        <v>65.86</v>
      </c>
      <c r="G32" s="130">
        <f t="shared" si="5"/>
        <v>60.222104183248859</v>
      </c>
      <c r="H32" s="198">
        <v>1</v>
      </c>
      <c r="I32" s="128"/>
      <c r="J32" s="130">
        <f t="shared" si="7"/>
        <v>61.222104183248859</v>
      </c>
      <c r="K32" s="130">
        <f t="shared" si="2"/>
        <v>233.83</v>
      </c>
      <c r="L32" s="128">
        <f t="shared" si="1"/>
        <v>230.00989583333336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121.68</v>
      </c>
      <c r="E33" s="364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67.37</v>
      </c>
      <c r="G33" s="130">
        <f t="shared" si="5"/>
        <v>61.607180260567219</v>
      </c>
      <c r="H33" s="198">
        <v>1</v>
      </c>
      <c r="I33" s="128"/>
      <c r="J33" s="130">
        <f t="shared" si="7"/>
        <v>62.607180260567219</v>
      </c>
      <c r="K33" s="130">
        <f t="shared" ref="K33:K37" si="8">ROUND(J33*$C$63*8.76,2)</f>
        <v>239.12</v>
      </c>
      <c r="L33" s="128">
        <f t="shared" si="1"/>
        <v>235.3</v>
      </c>
      <c r="M33" s="119"/>
      <c r="O33" s="117"/>
      <c r="AB33" s="277"/>
    </row>
    <row r="34" spans="2:28">
      <c r="B34" s="135">
        <f t="shared" si="0"/>
        <v>2040</v>
      </c>
      <c r="C34" s="136"/>
      <c r="D34" s="128">
        <f t="shared" si="3"/>
        <v>124.48</v>
      </c>
      <c r="E34" s="364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68.92</v>
      </c>
      <c r="G34" s="130">
        <f t="shared" si="5"/>
        <v>63.023647941016307</v>
      </c>
      <c r="H34" s="198">
        <v>1</v>
      </c>
      <c r="I34" s="128"/>
      <c r="J34" s="130">
        <f t="shared" si="7"/>
        <v>64.023647941016307</v>
      </c>
      <c r="K34" s="130">
        <f t="shared" si="8"/>
        <v>244.53</v>
      </c>
      <c r="L34" s="128">
        <f t="shared" si="1"/>
        <v>240.71000000000004</v>
      </c>
      <c r="M34" s="119"/>
      <c r="O34" s="117"/>
      <c r="AB34" s="277"/>
    </row>
    <row r="35" spans="2:28">
      <c r="B35" s="135">
        <f t="shared" si="0"/>
        <v>2041</v>
      </c>
      <c r="C35" s="136"/>
      <c r="D35" s="128">
        <f t="shared" si="3"/>
        <v>127.22</v>
      </c>
      <c r="E35" s="364">
        <f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4"/>
        <v>70.44</v>
      </c>
      <c r="G35" s="130">
        <f t="shared" si="5"/>
        <v>64.411314984709477</v>
      </c>
      <c r="H35" s="198">
        <v>1</v>
      </c>
      <c r="I35" s="128"/>
      <c r="J35" s="130">
        <f t="shared" si="7"/>
        <v>65.411314984709477</v>
      </c>
      <c r="K35" s="130">
        <f t="shared" si="8"/>
        <v>249.83</v>
      </c>
      <c r="L35" s="128">
        <f t="shared" si="1"/>
        <v>246.01</v>
      </c>
      <c r="M35" s="119"/>
      <c r="O35" s="117"/>
      <c r="AB35" s="277"/>
    </row>
    <row r="36" spans="2:28">
      <c r="B36" s="135">
        <f t="shared" si="0"/>
        <v>2042</v>
      </c>
      <c r="C36" s="136"/>
      <c r="D36" s="128">
        <f t="shared" si="3"/>
        <v>130.02000000000001</v>
      </c>
      <c r="E36" s="364">
        <f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4"/>
        <v>71.989999999999995</v>
      </c>
      <c r="G36" s="130">
        <f t="shared" si="5"/>
        <v>65.827782665158566</v>
      </c>
      <c r="H36" s="198">
        <v>1</v>
      </c>
      <c r="I36" s="128"/>
      <c r="J36" s="130">
        <f t="shared" si="7"/>
        <v>66.827782665158566</v>
      </c>
      <c r="K36" s="130">
        <f t="shared" si="8"/>
        <v>255.24</v>
      </c>
      <c r="L36" s="128">
        <f t="shared" si="1"/>
        <v>251.42000000000002</v>
      </c>
      <c r="M36" s="119"/>
      <c r="O36" s="117"/>
      <c r="AB36" s="277"/>
    </row>
    <row r="37" spans="2:28">
      <c r="B37" s="135">
        <f t="shared" si="0"/>
        <v>2043</v>
      </c>
      <c r="C37" s="136"/>
      <c r="D37" s="128">
        <f t="shared" si="3"/>
        <v>133.01</v>
      </c>
      <c r="E37" s="364">
        <f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4"/>
        <v>73.650000000000006</v>
      </c>
      <c r="G37" s="130">
        <f t="shared" si="5"/>
        <v>67.343743454400752</v>
      </c>
      <c r="H37" s="198">
        <v>1</v>
      </c>
      <c r="I37" s="128"/>
      <c r="J37" s="130">
        <f t="shared" si="7"/>
        <v>68.343743454400752</v>
      </c>
      <c r="K37" s="130">
        <f t="shared" si="8"/>
        <v>261.02999999999997</v>
      </c>
      <c r="L37" s="128">
        <f t="shared" si="1"/>
        <v>257.21000000000004</v>
      </c>
      <c r="AB37" s="277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7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7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7"/>
    </row>
    <row r="41" spans="2:28">
      <c r="AB41" s="277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7"/>
    </row>
    <row r="43" spans="2:28">
      <c r="AB43" s="277"/>
    </row>
    <row r="44" spans="2:28">
      <c r="B44" s="117" t="s">
        <v>63</v>
      </c>
      <c r="C44" s="140" t="s">
        <v>64</v>
      </c>
      <c r="D44" s="141" t="s">
        <v>102</v>
      </c>
      <c r="AB44" s="277"/>
    </row>
    <row r="45" spans="2:28">
      <c r="C45" s="140" t="str">
        <f>C7</f>
        <v>(a)</v>
      </c>
      <c r="D45" s="117" t="s">
        <v>65</v>
      </c>
      <c r="AB45" s="277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7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7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8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8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0"/>
      <c r="D57" s="117" t="s">
        <v>105</v>
      </c>
      <c r="R57" s="213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8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6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47.870308055404152</v>
      </c>
      <c r="D60" s="117" t="s">
        <v>218</v>
      </c>
      <c r="F60" s="274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99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69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7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O72" s="164"/>
    </row>
    <row r="73" spans="3:15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O73" s="164"/>
    </row>
    <row r="74" spans="3:15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1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47">
        <v>1253.063829787234</v>
      </c>
      <c r="D24" s="128">
        <f>C24*$C$62</f>
        <v>86.448873617021263</v>
      </c>
      <c r="E24" s="268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68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68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68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94.68</v>
      </c>
      <c r="E28" s="268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13.25</v>
      </c>
      <c r="G28" s="130">
        <f t="shared" si="6"/>
        <v>45.920601877144605</v>
      </c>
      <c r="H28" s="128">
        <f t="shared" si="1"/>
        <v>0</v>
      </c>
      <c r="I28" s="130">
        <f t="shared" si="7"/>
        <v>45.920601877144605</v>
      </c>
      <c r="J28" s="130">
        <f t="shared" si="3"/>
        <v>149.24</v>
      </c>
      <c r="K28" s="128">
        <f t="shared" si="2"/>
        <v>149.24011927664486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96.86</v>
      </c>
      <c r="E29" s="268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13.55</v>
      </c>
      <c r="G29" s="130">
        <f t="shared" si="6"/>
        <v>46.972856222586557</v>
      </c>
      <c r="H29" s="128">
        <f t="shared" si="1"/>
        <v>0</v>
      </c>
      <c r="I29" s="130">
        <f t="shared" si="7"/>
        <v>46.972856222586557</v>
      </c>
      <c r="J29" s="130">
        <f t="shared" si="3"/>
        <v>152.66</v>
      </c>
      <c r="K29" s="128">
        <f t="shared" si="2"/>
        <v>152.65990380915738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99.09</v>
      </c>
      <c r="E30" s="268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13.86</v>
      </c>
      <c r="G30" s="130">
        <f t="shared" si="6"/>
        <v>48.052747573165739</v>
      </c>
      <c r="H30" s="128">
        <f t="shared" si="1"/>
        <v>0</v>
      </c>
      <c r="I30" s="130">
        <f t="shared" si="7"/>
        <v>48.052747573165739</v>
      </c>
      <c r="J30" s="130">
        <f t="shared" si="3"/>
        <v>156.16999999999999</v>
      </c>
      <c r="K30" s="128">
        <f t="shared" si="2"/>
        <v>156.16950750288572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101.37</v>
      </c>
      <c r="E31" s="268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14.18</v>
      </c>
      <c r="G31" s="130">
        <f t="shared" si="6"/>
        <v>49.154356419557047</v>
      </c>
      <c r="H31" s="128">
        <f t="shared" si="1"/>
        <v>0</v>
      </c>
      <c r="I31" s="130">
        <f t="shared" si="7"/>
        <v>49.154356419557047</v>
      </c>
      <c r="J31" s="130">
        <f t="shared" si="3"/>
        <v>159.75</v>
      </c>
      <c r="K31" s="128">
        <f t="shared" si="2"/>
        <v>159.7496921893036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103.7</v>
      </c>
      <c r="E32" s="268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14.51</v>
      </c>
      <c r="G32" s="130">
        <f t="shared" si="6"/>
        <v>50.283898246551836</v>
      </c>
      <c r="H32" s="128">
        <f t="shared" si="1"/>
        <v>0</v>
      </c>
      <c r="I32" s="130">
        <f t="shared" si="7"/>
        <v>50.283898246551836</v>
      </c>
      <c r="J32" s="130">
        <f t="shared" si="3"/>
        <v>163.41999999999999</v>
      </c>
      <c r="K32" s="128">
        <f t="shared" si="2"/>
        <v>163.42065794536359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106.09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14.84</v>
      </c>
      <c r="G33" s="130">
        <f t="shared" si="6"/>
        <v>51.440633115484502</v>
      </c>
      <c r="H33" s="128">
        <f t="shared" si="1"/>
        <v>0</v>
      </c>
      <c r="I33" s="130">
        <f t="shared" si="7"/>
        <v>51.440633115484502</v>
      </c>
      <c r="J33" s="130">
        <f t="shared" ref="J33:J37" si="16">ROUND(I33*$C$63*8.76,2)</f>
        <v>167.18</v>
      </c>
      <c r="K33" s="128">
        <f t="shared" si="2"/>
        <v>167.18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4"/>
        <v>108.53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15.18</v>
      </c>
      <c r="G34" s="130">
        <f t="shared" si="6"/>
        <v>52.622186119213779</v>
      </c>
      <c r="H34" s="128">
        <f t="shared" si="1"/>
        <v>0</v>
      </c>
      <c r="I34" s="130">
        <f t="shared" si="7"/>
        <v>52.622186119213779</v>
      </c>
      <c r="J34" s="130">
        <f t="shared" si="16"/>
        <v>171.02</v>
      </c>
      <c r="K34" s="128">
        <f t="shared" si="2"/>
        <v>171.02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4"/>
        <v>110.92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18"/>
        <v>15.51</v>
      </c>
      <c r="G35" s="130">
        <f t="shared" si="6"/>
        <v>53.779123435365364</v>
      </c>
      <c r="H35" s="128">
        <f t="shared" si="1"/>
        <v>0</v>
      </c>
      <c r="I35" s="130">
        <f t="shared" si="7"/>
        <v>53.779123435365364</v>
      </c>
      <c r="J35" s="130">
        <f t="shared" si="16"/>
        <v>174.78</v>
      </c>
      <c r="K35" s="128">
        <f t="shared" si="2"/>
        <v>174.78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4"/>
        <v>113.36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19"/>
        <v>15.85</v>
      </c>
      <c r="G36" s="130">
        <f t="shared" si="6"/>
        <v>54.960676439094634</v>
      </c>
      <c r="H36" s="128">
        <f t="shared" si="1"/>
        <v>0</v>
      </c>
      <c r="I36" s="130">
        <f t="shared" si="7"/>
        <v>54.960676439094634</v>
      </c>
      <c r="J36" s="130">
        <f t="shared" si="16"/>
        <v>178.62</v>
      </c>
      <c r="K36" s="128">
        <f t="shared" si="2"/>
        <v>178.61999999999998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4"/>
        <v>115.97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20"/>
        <v>16.21</v>
      </c>
      <c r="G37" s="130">
        <f t="shared" si="6"/>
        <v>56.225307388398626</v>
      </c>
      <c r="H37" s="128">
        <f t="shared" si="1"/>
        <v>0</v>
      </c>
      <c r="I37" s="130">
        <f t="shared" si="7"/>
        <v>56.225307388398626</v>
      </c>
      <c r="J37" s="130">
        <f t="shared" si="16"/>
        <v>182.73</v>
      </c>
      <c r="K37" s="128">
        <f t="shared" si="2"/>
        <v>182.73</v>
      </c>
      <c r="L37" s="119"/>
      <c r="AA37" s="277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7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7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7"/>
    </row>
    <row r="41" spans="2:27"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8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8">
        <f>PMT(0.0692,30,NPV(0.0692,AA18:AA53))</f>
        <v>0</v>
      </c>
    </row>
    <row r="57" spans="2:27" ht="24" customHeight="1">
      <c r="B57" s="85"/>
      <c r="C57" s="270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2.4E-2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3.2000000000000001E-2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2.1999999999999999E-2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2.1000000000000001E-2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2.1999999999999999E-2</v>
      </c>
      <c r="N72" s="164"/>
    </row>
    <row r="73" spans="3:14" s="119" customFormat="1">
      <c r="C73" s="87">
        <f t="shared" si="21"/>
        <v>2024</v>
      </c>
      <c r="D73" s="41">
        <v>2.1999999999999999E-2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2.1999999999999999E-2</v>
      </c>
      <c r="N73" s="164"/>
    </row>
    <row r="74" spans="3:14" s="119" customFormat="1">
      <c r="C74" s="87">
        <f t="shared" si="21"/>
        <v>2025</v>
      </c>
      <c r="D74" s="41">
        <v>2.3E-2</v>
      </c>
      <c r="E74" s="86"/>
      <c r="F74" s="87">
        <f t="shared" si="22"/>
        <v>2034</v>
      </c>
      <c r="G74" s="41">
        <v>2.3E-2</v>
      </c>
      <c r="H74" s="41"/>
      <c r="I74" s="87">
        <f t="shared" si="2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47">
        <v>1230.021663778163</v>
      </c>
      <c r="D18" s="128">
        <f>C18*$C$62</f>
        <v>62.546601603119584</v>
      </c>
      <c r="E18" s="128">
        <f t="shared" si="1"/>
        <v>27.85</v>
      </c>
      <c r="F18" s="128">
        <f>C60*(1+INDEX($D$66:$D$74,MATCH(B18,$C$66:$C$74,0),1))</f>
        <v>1.5003223695568759</v>
      </c>
      <c r="G18" s="130">
        <f>(D18+E18+F18)/(8.76*$C$63)</f>
        <v>32.278512108421658</v>
      </c>
      <c r="H18" s="128">
        <f t="shared" si="2"/>
        <v>0</v>
      </c>
      <c r="I18" s="130">
        <f>(G18+H18)</f>
        <v>32.278512108421658</v>
      </c>
      <c r="J18" s="130">
        <f t="shared" ref="J18:J32" si="4">ROUND(I18*$C$63*8.76,2)</f>
        <v>91.9</v>
      </c>
      <c r="K18" s="128">
        <f t="shared" si="3"/>
        <v>91.896923972676461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279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63.99</v>
      </c>
      <c r="E19" s="128">
        <f t="shared" si="1"/>
        <v>28.49</v>
      </c>
      <c r="F19" s="128">
        <f t="shared" si="5"/>
        <v>1.53</v>
      </c>
      <c r="G19" s="130">
        <f t="shared" ref="G19:G37" si="6">(D19+E19+F19)/(8.76*$C$63)</f>
        <v>33.020723568668778</v>
      </c>
      <c r="H19" s="128">
        <f t="shared" si="2"/>
        <v>0</v>
      </c>
      <c r="I19" s="130">
        <f t="shared" ref="I19:I37" si="7">(G19+H19)</f>
        <v>33.020723568668778</v>
      </c>
      <c r="J19" s="130">
        <f t="shared" si="4"/>
        <v>94.01</v>
      </c>
      <c r="K19" s="128">
        <f t="shared" si="3"/>
        <v>94.01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65.459999999999994</v>
      </c>
      <c r="E20" s="128">
        <f t="shared" si="1"/>
        <v>29.15</v>
      </c>
      <c r="F20" s="128">
        <f t="shared" si="5"/>
        <v>1.57</v>
      </c>
      <c r="G20" s="130">
        <f t="shared" si="6"/>
        <v>33.782929399367745</v>
      </c>
      <c r="H20" s="128">
        <f t="shared" si="2"/>
        <v>0</v>
      </c>
      <c r="I20" s="130">
        <f t="shared" si="7"/>
        <v>33.782929399367745</v>
      </c>
      <c r="J20" s="130">
        <f t="shared" si="4"/>
        <v>96.18</v>
      </c>
      <c r="K20" s="128">
        <f t="shared" si="3"/>
        <v>96.179999999999978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66.97</v>
      </c>
      <c r="E21" s="128">
        <f t="shared" si="1"/>
        <v>29.82</v>
      </c>
      <c r="F21" s="128">
        <f t="shared" si="5"/>
        <v>1.61</v>
      </c>
      <c r="G21" s="130">
        <f t="shared" si="6"/>
        <v>34.562697576396204</v>
      </c>
      <c r="H21" s="128">
        <f t="shared" si="2"/>
        <v>0</v>
      </c>
      <c r="I21" s="130">
        <f t="shared" si="7"/>
        <v>34.562697576396204</v>
      </c>
      <c r="J21" s="130">
        <f t="shared" si="4"/>
        <v>98.4</v>
      </c>
      <c r="K21" s="128">
        <f t="shared" si="3"/>
        <v>98.399999999999991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68.510000000000005</v>
      </c>
      <c r="E22" s="128">
        <f t="shared" si="1"/>
        <v>30.51</v>
      </c>
      <c r="F22" s="128">
        <f t="shared" si="5"/>
        <v>1.65</v>
      </c>
      <c r="G22" s="130">
        <f t="shared" si="6"/>
        <v>35.360028099754132</v>
      </c>
      <c r="H22" s="128">
        <f t="shared" si="2"/>
        <v>0</v>
      </c>
      <c r="I22" s="130">
        <f t="shared" si="7"/>
        <v>35.360028099754132</v>
      </c>
      <c r="J22" s="130">
        <f t="shared" si="4"/>
        <v>100.67</v>
      </c>
      <c r="K22" s="128">
        <f t="shared" si="3"/>
        <v>100.67000000000002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70.150000000000006</v>
      </c>
      <c r="E23" s="128">
        <f t="shared" si="1"/>
        <v>31.24</v>
      </c>
      <c r="F23" s="128">
        <f t="shared" si="5"/>
        <v>1.69</v>
      </c>
      <c r="G23" s="130">
        <f t="shared" si="6"/>
        <v>36.206533192834563</v>
      </c>
      <c r="H23" s="128">
        <f t="shared" si="2"/>
        <v>0</v>
      </c>
      <c r="I23" s="130">
        <f t="shared" si="7"/>
        <v>36.206533192834563</v>
      </c>
      <c r="J23" s="130">
        <f t="shared" si="4"/>
        <v>103.08</v>
      </c>
      <c r="K23" s="128">
        <f t="shared" si="3"/>
        <v>103.08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71.760000000000005</v>
      </c>
      <c r="E24" s="128">
        <f t="shared" si="1"/>
        <v>31.96</v>
      </c>
      <c r="F24" s="128">
        <f t="shared" si="5"/>
        <v>1.73</v>
      </c>
      <c r="G24" s="130">
        <f t="shared" si="6"/>
        <v>37.038988408851424</v>
      </c>
      <c r="H24" s="128">
        <f t="shared" si="2"/>
        <v>0</v>
      </c>
      <c r="I24" s="130">
        <f t="shared" si="7"/>
        <v>37.038988408851424</v>
      </c>
      <c r="J24" s="130">
        <f t="shared" si="4"/>
        <v>105.45</v>
      </c>
      <c r="K24" s="128">
        <f t="shared" si="3"/>
        <v>105.45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73.41</v>
      </c>
      <c r="E25" s="128">
        <f t="shared" si="1"/>
        <v>32.700000000000003</v>
      </c>
      <c r="F25" s="128">
        <f t="shared" si="5"/>
        <v>1.77</v>
      </c>
      <c r="G25" s="130">
        <f t="shared" si="6"/>
        <v>37.892518440463647</v>
      </c>
      <c r="H25" s="128">
        <f t="shared" si="2"/>
        <v>0</v>
      </c>
      <c r="I25" s="130">
        <f t="shared" si="7"/>
        <v>37.892518440463647</v>
      </c>
      <c r="J25" s="130">
        <f t="shared" si="4"/>
        <v>107.88</v>
      </c>
      <c r="K25" s="128">
        <f t="shared" si="3"/>
        <v>107.88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75.099999999999994</v>
      </c>
      <c r="E26" s="128">
        <f t="shared" si="1"/>
        <v>33.450000000000003</v>
      </c>
      <c r="F26" s="128">
        <f t="shared" si="5"/>
        <v>1.81</v>
      </c>
      <c r="G26" s="130">
        <f t="shared" si="6"/>
        <v>38.76361081840534</v>
      </c>
      <c r="H26" s="128">
        <f t="shared" si="2"/>
        <v>0</v>
      </c>
      <c r="I26" s="130">
        <f t="shared" si="7"/>
        <v>38.76361081840534</v>
      </c>
      <c r="J26" s="130">
        <f t="shared" si="4"/>
        <v>110.36</v>
      </c>
      <c r="K26" s="128">
        <f t="shared" si="3"/>
        <v>110.36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76.83</v>
      </c>
      <c r="E27" s="128">
        <f t="shared" si="1"/>
        <v>34.22</v>
      </c>
      <c r="F27" s="128">
        <f t="shared" si="5"/>
        <v>1.85</v>
      </c>
      <c r="G27" s="130">
        <f t="shared" si="6"/>
        <v>39.655778011942395</v>
      </c>
      <c r="H27" s="128">
        <f t="shared" si="2"/>
        <v>0</v>
      </c>
      <c r="I27" s="130">
        <f t="shared" si="7"/>
        <v>39.655778011942395</v>
      </c>
      <c r="J27" s="130">
        <f t="shared" si="4"/>
        <v>112.9</v>
      </c>
      <c r="K27" s="128">
        <f t="shared" si="3"/>
        <v>112.89999999999999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78.599999999999994</v>
      </c>
      <c r="E28" s="128">
        <f t="shared" si="1"/>
        <v>35.01</v>
      </c>
      <c r="F28" s="128">
        <f t="shared" si="5"/>
        <v>1.89</v>
      </c>
      <c r="G28" s="130">
        <f t="shared" si="6"/>
        <v>40.569020021074813</v>
      </c>
      <c r="H28" s="128">
        <f t="shared" si="2"/>
        <v>0</v>
      </c>
      <c r="I28" s="130">
        <f t="shared" si="7"/>
        <v>40.569020021074813</v>
      </c>
      <c r="J28" s="130">
        <f t="shared" si="4"/>
        <v>115.5</v>
      </c>
      <c r="K28" s="128">
        <f t="shared" si="3"/>
        <v>115.49999999999999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80.41</v>
      </c>
      <c r="E29" s="128">
        <f t="shared" si="1"/>
        <v>35.82</v>
      </c>
      <c r="F29" s="128">
        <f t="shared" si="5"/>
        <v>1.93</v>
      </c>
      <c r="G29" s="130">
        <f t="shared" si="6"/>
        <v>41.5033368458026</v>
      </c>
      <c r="H29" s="128">
        <f t="shared" si="2"/>
        <v>0</v>
      </c>
      <c r="I29" s="130">
        <f t="shared" si="7"/>
        <v>41.5033368458026</v>
      </c>
      <c r="J29" s="130">
        <f t="shared" si="4"/>
        <v>118.16</v>
      </c>
      <c r="K29" s="128">
        <f t="shared" si="3"/>
        <v>118.16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82.26</v>
      </c>
      <c r="E30" s="128">
        <f t="shared" si="1"/>
        <v>36.64</v>
      </c>
      <c r="F30" s="128">
        <f t="shared" si="5"/>
        <v>1.97</v>
      </c>
      <c r="G30" s="130">
        <f t="shared" si="6"/>
        <v>42.455216016859858</v>
      </c>
      <c r="H30" s="128">
        <f t="shared" si="2"/>
        <v>0</v>
      </c>
      <c r="I30" s="130">
        <f t="shared" si="7"/>
        <v>42.455216016859858</v>
      </c>
      <c r="J30" s="130">
        <f t="shared" si="4"/>
        <v>120.87</v>
      </c>
      <c r="K30" s="128">
        <f t="shared" si="3"/>
        <v>120.87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84.15</v>
      </c>
      <c r="E31" s="128">
        <f t="shared" si="1"/>
        <v>37.479999999999997</v>
      </c>
      <c r="F31" s="128">
        <f t="shared" si="5"/>
        <v>2.02</v>
      </c>
      <c r="G31" s="130">
        <f t="shared" si="6"/>
        <v>43.431682472778363</v>
      </c>
      <c r="H31" s="128">
        <f t="shared" si="2"/>
        <v>0</v>
      </c>
      <c r="I31" s="130">
        <f t="shared" si="7"/>
        <v>43.431682472778363</v>
      </c>
      <c r="J31" s="130">
        <f t="shared" si="4"/>
        <v>123.65</v>
      </c>
      <c r="K31" s="128">
        <f t="shared" si="3"/>
        <v>123.64999999999999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86.09</v>
      </c>
      <c r="E32" s="128">
        <f t="shared" si="1"/>
        <v>38.340000000000003</v>
      </c>
      <c r="F32" s="128">
        <f t="shared" si="5"/>
        <v>2.0699999999999998</v>
      </c>
      <c r="G32" s="130">
        <f t="shared" si="6"/>
        <v>44.43273621355813</v>
      </c>
      <c r="H32" s="128">
        <f t="shared" si="2"/>
        <v>0</v>
      </c>
      <c r="I32" s="130">
        <f t="shared" si="7"/>
        <v>44.43273621355813</v>
      </c>
      <c r="J32" s="130">
        <f t="shared" si="4"/>
        <v>126.5</v>
      </c>
      <c r="K32" s="128">
        <f t="shared" si="3"/>
        <v>126.5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88.07</v>
      </c>
      <c r="E33" s="128">
        <f t="shared" si="1"/>
        <v>39.22</v>
      </c>
      <c r="F33" s="128">
        <f t="shared" si="5"/>
        <v>2.12</v>
      </c>
      <c r="G33" s="130">
        <f t="shared" si="6"/>
        <v>45.454864769933259</v>
      </c>
      <c r="H33" s="128">
        <f t="shared" si="2"/>
        <v>0</v>
      </c>
      <c r="I33" s="130">
        <f t="shared" si="7"/>
        <v>45.454864769933259</v>
      </c>
      <c r="J33" s="130">
        <f t="shared" ref="J33:J37" si="8">ROUND(I33*$C$63*8.76,2)</f>
        <v>129.41</v>
      </c>
      <c r="K33" s="128">
        <f t="shared" si="3"/>
        <v>129.41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7"/>
    </row>
    <row r="34" spans="2:30">
      <c r="B34" s="135">
        <f t="shared" si="0"/>
        <v>2040</v>
      </c>
      <c r="C34" s="136"/>
      <c r="D34" s="128">
        <f t="shared" si="5"/>
        <v>90.1</v>
      </c>
      <c r="E34" s="128">
        <f t="shared" si="1"/>
        <v>40.119999999999997</v>
      </c>
      <c r="F34" s="128">
        <f t="shared" si="5"/>
        <v>2.17</v>
      </c>
      <c r="G34" s="130">
        <f t="shared" si="6"/>
        <v>46.501580611169651</v>
      </c>
      <c r="H34" s="128">
        <f t="shared" si="2"/>
        <v>0</v>
      </c>
      <c r="I34" s="130">
        <f t="shared" si="7"/>
        <v>46.501580611169651</v>
      </c>
      <c r="J34" s="130">
        <f t="shared" si="8"/>
        <v>132.38999999999999</v>
      </c>
      <c r="K34" s="128">
        <f t="shared" si="3"/>
        <v>132.38999999999999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7"/>
    </row>
    <row r="35" spans="2:30">
      <c r="B35" s="135">
        <f t="shared" si="0"/>
        <v>2041</v>
      </c>
      <c r="C35" s="136"/>
      <c r="D35" s="128">
        <f t="shared" si="5"/>
        <v>92.08</v>
      </c>
      <c r="E35" s="128">
        <f t="shared" si="1"/>
        <v>41</v>
      </c>
      <c r="F35" s="128">
        <f t="shared" si="5"/>
        <v>2.2200000000000002</v>
      </c>
      <c r="G35" s="130">
        <f t="shared" si="6"/>
        <v>47.52370916754478</v>
      </c>
      <c r="H35" s="128">
        <f t="shared" si="2"/>
        <v>0</v>
      </c>
      <c r="I35" s="130">
        <f t="shared" si="7"/>
        <v>47.52370916754478</v>
      </c>
      <c r="J35" s="130">
        <f t="shared" si="8"/>
        <v>135.30000000000001</v>
      </c>
      <c r="K35" s="128">
        <f t="shared" si="3"/>
        <v>135.29999999999998</v>
      </c>
      <c r="L35" s="119"/>
      <c r="N35" s="117"/>
      <c r="R35" s="119"/>
      <c r="AC35" s="277"/>
    </row>
    <row r="36" spans="2:30">
      <c r="B36" s="135">
        <f t="shared" si="0"/>
        <v>2042</v>
      </c>
      <c r="C36" s="136"/>
      <c r="D36" s="128">
        <f t="shared" si="5"/>
        <v>94.11</v>
      </c>
      <c r="E36" s="128">
        <f t="shared" si="1"/>
        <v>41.9</v>
      </c>
      <c r="F36" s="128">
        <f t="shared" si="5"/>
        <v>2.27</v>
      </c>
      <c r="G36" s="130">
        <f t="shared" si="6"/>
        <v>48.570425008781172</v>
      </c>
      <c r="H36" s="128">
        <f t="shared" si="2"/>
        <v>0</v>
      </c>
      <c r="I36" s="130">
        <f t="shared" si="7"/>
        <v>48.570425008781172</v>
      </c>
      <c r="J36" s="130">
        <f t="shared" si="8"/>
        <v>138.28</v>
      </c>
      <c r="K36" s="128">
        <f t="shared" si="3"/>
        <v>138.28</v>
      </c>
      <c r="L36" s="119"/>
      <c r="N36" s="117"/>
      <c r="R36" s="119"/>
      <c r="AC36" s="277"/>
    </row>
    <row r="37" spans="2:30">
      <c r="B37" s="135">
        <f t="shared" si="0"/>
        <v>2043</v>
      </c>
      <c r="C37" s="136"/>
      <c r="D37" s="128">
        <f t="shared" si="5"/>
        <v>96.27</v>
      </c>
      <c r="E37" s="128">
        <f t="shared" si="1"/>
        <v>42.86</v>
      </c>
      <c r="F37" s="128">
        <f t="shared" si="5"/>
        <v>2.3199999999999998</v>
      </c>
      <c r="G37" s="130">
        <f t="shared" si="6"/>
        <v>49.683877766069543</v>
      </c>
      <c r="H37" s="128">
        <f t="shared" si="2"/>
        <v>0</v>
      </c>
      <c r="I37" s="130">
        <f t="shared" si="7"/>
        <v>49.683877766069543</v>
      </c>
      <c r="J37" s="130">
        <f t="shared" si="8"/>
        <v>141.44999999999999</v>
      </c>
      <c r="K37" s="128">
        <f t="shared" si="3"/>
        <v>141.44999999999999</v>
      </c>
      <c r="R37" s="119"/>
      <c r="AC37" s="277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7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7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7"/>
    </row>
    <row r="41" spans="2:30">
      <c r="N41" s="117"/>
      <c r="O41" s="161"/>
      <c r="S41" s="119"/>
      <c r="AD41" s="277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7"/>
    </row>
    <row r="43" spans="2:30">
      <c r="AC43" s="277"/>
    </row>
    <row r="44" spans="2:30">
      <c r="B44" s="117" t="s">
        <v>63</v>
      </c>
      <c r="C44" s="140" t="s">
        <v>64</v>
      </c>
      <c r="D44" s="141" t="s">
        <v>102</v>
      </c>
      <c r="AC44" s="277"/>
    </row>
    <row r="45" spans="2:30">
      <c r="C45" s="140" t="str">
        <f>C7</f>
        <v>(a)</v>
      </c>
      <c r="D45" s="117" t="s">
        <v>65</v>
      </c>
      <c r="AC45" s="277"/>
    </row>
    <row r="46" spans="2:30">
      <c r="C46" s="140" t="str">
        <f>D7</f>
        <v>(b)</v>
      </c>
      <c r="D46" s="130" t="str">
        <f>"= "&amp;C7&amp;" x "&amp;C62</f>
        <v>= (a) x 0.05085</v>
      </c>
      <c r="AC46" s="277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7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230.8</v>
      </c>
      <c r="P55" s="117" t="s">
        <v>32</v>
      </c>
      <c r="Q55" s="274" t="s">
        <v>107</v>
      </c>
      <c r="R55" s="274" t="s">
        <v>108</v>
      </c>
      <c r="T55" s="274" t="str">
        <f>$Q$55&amp;"Proposed Station Capital Costs"</f>
        <v>L1.US1_PVSProposed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L1.US1_PVSProposed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L1.US1_PVS2024</v>
      </c>
      <c r="T57" s="274" t="str">
        <f>$Q$55&amp;"Proposed Station Variable O&amp;M Costs"</f>
        <v>L1.US1_PVSProposed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235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2023$</v>
      </c>
      <c r="C60" s="270">
        <f>INDEX('Table 3 TransCost'!$39:$39,1,MATCH(F60,'Table 3 TransCost'!$4:$4,0)+2)</f>
        <v>1.4680258019147514</v>
      </c>
      <c r="D60" s="117" t="s">
        <v>218</v>
      </c>
      <c r="F60" s="274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54</vt:i4>
      </vt:variant>
    </vt:vector>
  </HeadingPairs>
  <TitlesOfParts>
    <vt:vector size="73" baseType="lpstr"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2021-11-09T23:54:40Z</dcterms:modified>
</cp:coreProperties>
</file>