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68\"/>
    </mc:Choice>
  </mc:AlternateContent>
  <bookViews>
    <workbookView xWindow="0" yWindow="0" windowWidth="20430" windowHeight="10470"/>
  </bookViews>
  <sheets>
    <sheet name="Table 1" sheetId="25" r:id="rId1"/>
    <sheet name="Table 2" sheetId="66" r:id="rId2"/>
    <sheet name="Table 4" sheetId="28" r:id="rId3"/>
    <sheet name="Table3ACsummary" sheetId="77" state="hidden" r:id="rId4"/>
    <sheet name="Table 5" sheetId="31" r:id="rId5"/>
    <sheet name="Table 3 UT CP Wind_2023" sheetId="81" state="hidden" r:id="rId6"/>
    <sheet name="Table 3 WYAE Wind_2024" sheetId="43" state="hidden" r:id="rId7"/>
    <sheet name="Table 3 ID Wind_2030" sheetId="75" state="hidden" r:id="rId8"/>
    <sheet name="Table 3 PV wS UTS_2024" sheetId="67" state="hidden" r:id="rId9"/>
    <sheet name="Table 3 PV wS UTS_2030" sheetId="80" state="hidden" r:id="rId10"/>
    <sheet name="Table 3 PV wS JB_2024" sheetId="71" state="hidden" r:id="rId11"/>
    <sheet name="Table 3 PV wS JB_2029" sheetId="78" state="hidden" r:id="rId12"/>
    <sheet name="Table 3 PV wS SO_2024" sheetId="72" state="hidden" r:id="rId13"/>
    <sheet name="Table 3 PV wS YK_2024" sheetId="73" state="hidden" r:id="rId14"/>
    <sheet name="Table 3 PV wS UTN_2024" sheetId="70" state="hidden" r:id="rId15"/>
    <sheet name="Table 3 185 MW (NTN) 2026)" sheetId="68" state="hidden" r:id="rId16"/>
    <sheet name="Table 3 YK Wind wS_2029" sheetId="76" state="hidden" r:id="rId17"/>
    <sheet name="Table 3 ID Wind wS_2032" sheetId="79" state="hidden" r:id="rId18"/>
    <sheet name="Table 3 TransCost" sheetId="47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00_SCCT_UtahN" localSheetId="1">'[1]Table 1'!$I$19</definedName>
    <definedName name="_200_SCCT_UtahN">'Table 1'!$I$19</definedName>
    <definedName name="_200_SCCT_WYNE">'Table 1'!$I$21</definedName>
    <definedName name="_30_Geo_West" localSheetId="1">'[1]Table 1'!$I$17</definedName>
    <definedName name="_30_Geo_West" localSheetId="15">'Table 1'!$I$17</definedName>
    <definedName name="_30_Geo_West" localSheetId="18">'Table 1'!$I$17</definedName>
    <definedName name="_30_Geo_West" localSheetId="5">'[2]Table 1'!$I$17</definedName>
    <definedName name="_30_Geo_West">'Table 1'!$I$17</definedName>
    <definedName name="_436_CCCT_WestMain" localSheetId="1">'[1]Table 1'!$I$18</definedName>
    <definedName name="_436_CCCT_WestMain" localSheetId="15">'Table 1'!$I$18</definedName>
    <definedName name="_436_CCCT_WestMain" localSheetId="18">'Table 1'!$I$18</definedName>
    <definedName name="_436_CCCT_WestMain" localSheetId="5">'[2]Table 1'!$I$18</definedName>
    <definedName name="_436_CCCT_WestMain">'Table 1'!$I$18</definedName>
    <definedName name="_477_CCCT_WestMain" localSheetId="1">'Table 1'!$I$18</definedName>
    <definedName name="_477_CCCT_WestMain">'[3]Table 1'!$I$18</definedName>
    <definedName name="_477_CCCT_WYNE">'Table 1'!$I$20</definedName>
    <definedName name="_635_CCCT_UtahS" localSheetId="1">'Table 1'!$I$19</definedName>
    <definedName name="_635_CCCT_UtahS">'[3]Table 1'!$I$19</definedName>
    <definedName name="_635_CCCT_WyoNE" localSheetId="1">'Table 1'!$I$17</definedName>
    <definedName name="_635_CCCT_WyoNE">'[3]Table 1'!$I$17</definedName>
    <definedName name="_774_Wind_IDGoshen">'Table 1'!$I$23</definedName>
    <definedName name="_85_Wind_DJ_2031">'Table 1'!$I$22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1">'[1]Table 1'!#REF!</definedName>
    <definedName name="_Percent_Last_CCCT" localSheetId="17">'[4]Table 1'!#REF!</definedName>
    <definedName name="_Percent_Last_CCCT" localSheetId="7">'[4]Table 1'!#REF!</definedName>
    <definedName name="_Percent_Last_CCCT" localSheetId="10">'[4]Table 1'!#REF!</definedName>
    <definedName name="_Percent_Last_CCCT" localSheetId="11">'[4]Table 1'!#REF!</definedName>
    <definedName name="_Percent_Last_CCCT" localSheetId="12">'[4]Table 1'!#REF!</definedName>
    <definedName name="_Percent_Last_CCCT" localSheetId="14">'[4]Table 1'!#REF!</definedName>
    <definedName name="_Percent_Last_CCCT" localSheetId="8">'[4]Table 1'!#REF!</definedName>
    <definedName name="_Percent_Last_CCCT" localSheetId="9">'[4]Table 1'!#REF!</definedName>
    <definedName name="_Percent_Last_CCCT" localSheetId="13">'[4]Table 1'!#REF!</definedName>
    <definedName name="_Percent_Last_CCCT" localSheetId="5">'[4]Table 1'!#REF!</definedName>
    <definedName name="_Percent_Last_CCCT" localSheetId="16">'[4]Table 1'!#REF!</definedName>
    <definedName name="_Percent_Last_CCCT">'[4]Table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1'!$I$39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15">'[5]on off peak hours'!$C$15:$ED$15</definedName>
    <definedName name="dateTable">'[5]on off peak hours'!$C$15:$ED$15</definedName>
    <definedName name="Discount_Rate">'Table 1'!$I$43</definedName>
    <definedName name="Discount_Rate_2015_IRP" localSheetId="15">'[6]Table 7 to 8'!$AE$43</definedName>
    <definedName name="Discount_Rate_2015_IRP" localSheetId="17">'[7]Table 7 to 8'!$AE$43</definedName>
    <definedName name="Discount_Rate_2015_IRP" localSheetId="7">'[7]Table 7 to 8'!$AE$43</definedName>
    <definedName name="Discount_Rate_2015_IRP" localSheetId="10">'[7]Table 7 to 8'!$AE$43</definedName>
    <definedName name="Discount_Rate_2015_IRP" localSheetId="11">'[7]Table 7 to 8'!$AE$43</definedName>
    <definedName name="Discount_Rate_2015_IRP" localSheetId="12">'[7]Table 7 to 8'!$AE$43</definedName>
    <definedName name="Discount_Rate_2015_IRP" localSheetId="14">'[7]Table 7 to 8'!$AE$43</definedName>
    <definedName name="Discount_Rate_2015_IRP" localSheetId="8">'[7]Table 7 to 8'!$AE$43</definedName>
    <definedName name="Discount_Rate_2015_IRP" localSheetId="9">'[7]Table 7 to 8'!$AE$43</definedName>
    <definedName name="Discount_Rate_2015_IRP" localSheetId="13">'[7]Table 7 to 8'!$AE$43</definedName>
    <definedName name="Discount_Rate_2015_IRP" localSheetId="18">'[7]Table 7 to 8'!$AE$43</definedName>
    <definedName name="Discount_Rate_2015_IRP" localSheetId="5">'[7]Table 7 to 8'!$AE$43</definedName>
    <definedName name="Discount_Rate_2015_IRP" localSheetId="6">'[7]Table 7 to 8'!$AE$43</definedName>
    <definedName name="Discount_Rate_2015_IRP" localSheetId="16">'[7]Table 7 to 8'!$AE$43</definedName>
    <definedName name="Discount_Rate_2015_IRP">'[6]Table 7 to 8'!$AE$43</definedName>
    <definedName name="DispatchSum">"GRID Thermal Generation!R2C1:R4C2"</definedName>
    <definedName name="FixedSolar_Capacity_Contr" localSheetId="15">'[6]Exhibit 3- Std FixedSolar QF'!$G$53</definedName>
    <definedName name="FixedSolar_Capacity_Contr">'[6]Exhibit 3- Std FixedSolar QF'!$G$53</definedName>
    <definedName name="HoursHoliday" localSheetId="15">'[5]on off peak hours'!$C$16:$ED$20</definedName>
    <definedName name="HoursHoliday">'[5]on off peak hours'!$C$16:$ED$20</definedName>
    <definedName name="Market" localSheetId="15">'[6]OFPC Source'!$J$8:$M$295</definedName>
    <definedName name="Market" localSheetId="17">'[8]OFPC Source'!$J$8:$M$295</definedName>
    <definedName name="Market" localSheetId="7">'[8]OFPC Source'!$J$8:$M$295</definedName>
    <definedName name="Market" localSheetId="10">'[8]OFPC Source'!$J$8:$M$295</definedName>
    <definedName name="Market" localSheetId="11">'[8]OFPC Source'!$J$8:$M$295</definedName>
    <definedName name="Market" localSheetId="12">'[8]OFPC Source'!$J$8:$M$295</definedName>
    <definedName name="Market" localSheetId="14">'[8]OFPC Source'!$J$8:$M$295</definedName>
    <definedName name="Market" localSheetId="8">'[8]OFPC Source'!$J$8:$M$295</definedName>
    <definedName name="Market" localSheetId="9">'[8]OFPC Source'!$J$8:$M$295</definedName>
    <definedName name="Market" localSheetId="13">'[8]OFPC Source'!$J$8:$M$295</definedName>
    <definedName name="Market" localSheetId="18">'[8]OFPC Source'!$J$8:$M$295</definedName>
    <definedName name="Market" localSheetId="5">'[8]OFPC Source'!$J$8:$M$295</definedName>
    <definedName name="Market" localSheetId="6">'[8]OFPC Source'!$J$8:$M$295</definedName>
    <definedName name="Market" localSheetId="16">'[8]OFPC Source'!$J$8:$M$295</definedName>
    <definedName name="Market">'[6]OFPC Source'!$J$8:$M$295</definedName>
    <definedName name="MidC_Flat" localSheetId="1">[9]Market_Price!#REF!</definedName>
    <definedName name="MidC_Flat" localSheetId="17">[9]Market_Price!#REF!</definedName>
    <definedName name="MidC_Flat" localSheetId="7">[9]Market_Price!#REF!</definedName>
    <definedName name="MidC_Flat" localSheetId="10">[9]Market_Price!#REF!</definedName>
    <definedName name="MidC_Flat" localSheetId="11">[9]Market_Price!#REF!</definedName>
    <definedName name="MidC_Flat" localSheetId="12">[9]Market_Price!#REF!</definedName>
    <definedName name="MidC_Flat" localSheetId="14">[9]Market_Price!#REF!</definedName>
    <definedName name="MidC_Flat" localSheetId="8">[9]Market_Price!#REF!</definedName>
    <definedName name="MidC_Flat" localSheetId="9">[9]Market_Price!#REF!</definedName>
    <definedName name="MidC_Flat" localSheetId="13">[9]Market_Price!#REF!</definedName>
    <definedName name="MidC_Flat" localSheetId="5">[9]Market_Price!#REF!</definedName>
    <definedName name="MidC_Flat" localSheetId="16">[9]Market_Price!#REF!</definedName>
    <definedName name="MidC_Flat">[9]Market_Price!#REF!</definedName>
    <definedName name="OR_AC_price" localSheetId="1">#REF!</definedName>
    <definedName name="OR_AC_price" localSheetId="17">#REF!</definedName>
    <definedName name="OR_AC_price" localSheetId="7">#REF!</definedName>
    <definedName name="OR_AC_price" localSheetId="10">#REF!</definedName>
    <definedName name="OR_AC_price" localSheetId="11">#REF!</definedName>
    <definedName name="OR_AC_price" localSheetId="12">#REF!</definedName>
    <definedName name="OR_AC_price" localSheetId="14">#REF!</definedName>
    <definedName name="OR_AC_price" localSheetId="8">#REF!</definedName>
    <definedName name="OR_AC_price" localSheetId="9">#REF!</definedName>
    <definedName name="OR_AC_price" localSheetId="13">#REF!</definedName>
    <definedName name="OR_AC_price" localSheetId="5">#REF!</definedName>
    <definedName name="OR_AC_price" localSheetId="16">#REF!</definedName>
    <definedName name="OR_AC_price">#REF!</definedName>
    <definedName name="_xlnm.Print_Area" localSheetId="0">'Table 1'!$A$1:$G$55</definedName>
    <definedName name="_xlnm.Print_Area" localSheetId="1">'Table 2'!$B$1:$P$36</definedName>
    <definedName name="_xlnm.Print_Area" localSheetId="15">'Table 3 185 MW (NTN) 2026)'!$A$1:$K$87</definedName>
    <definedName name="_xlnm.Print_Area" localSheetId="17">'Table 3 ID Wind wS_2032'!$A$1:$P$74</definedName>
    <definedName name="_xlnm.Print_Area" localSheetId="7">'Table 3 ID Wind_2030'!$A$1:$P$74</definedName>
    <definedName name="_xlnm.Print_Area" localSheetId="10">'Table 3 PV wS JB_2024'!$A$1:$P$74</definedName>
    <definedName name="_xlnm.Print_Area" localSheetId="11">'Table 3 PV wS JB_2029'!$A$1:$P$74</definedName>
    <definedName name="_xlnm.Print_Area" localSheetId="12">'Table 3 PV wS SO_2024'!$A$1:$P$74</definedName>
    <definedName name="_xlnm.Print_Area" localSheetId="14">'Table 3 PV wS UTN_2024'!$A$1:$P$77</definedName>
    <definedName name="_xlnm.Print_Area" localSheetId="8">'Table 3 PV wS UTS_2024'!$A$1:$P$74</definedName>
    <definedName name="_xlnm.Print_Area" localSheetId="9">'Table 3 PV wS UTS_2030'!$A$1:$P$74</definedName>
    <definedName name="_xlnm.Print_Area" localSheetId="13">'Table 3 PV wS YK_2024'!$A$1:$P$74</definedName>
    <definedName name="_xlnm.Print_Area" localSheetId="18">'Table 3 TransCost'!$A$1:$BD$50</definedName>
    <definedName name="_xlnm.Print_Area" localSheetId="5">'Table 3 UT CP Wind_2023'!$A$1:$N$74</definedName>
    <definedName name="_xlnm.Print_Area" localSheetId="6">'Table 3 WYAE Wind_2024'!$A$1:$Q$74</definedName>
    <definedName name="_xlnm.Print_Area" localSheetId="16">'Table 3 YK Wind wS_2029'!$A$1:$P$74</definedName>
    <definedName name="_xlnm.Print_Area" localSheetId="2">'Table 4'!$A$1:$F$44</definedName>
    <definedName name="_xlnm.Print_Area" localSheetId="4">'Table 5'!$A$1:$H$266</definedName>
    <definedName name="_xlnm.Print_Area" localSheetId="3">Table3ACsummary!$A$1:$M$50</definedName>
    <definedName name="_xlnm.Print_Titles" localSheetId="1">'Table 2'!$1:$9</definedName>
    <definedName name="_xlnm.Print_Titles" localSheetId="15">'Table 3 185 MW (NTN) 2026)'!$1:$6</definedName>
    <definedName name="RenewableMarketShape" localSheetId="15">'[6]OFPC Source'!$P$5:$U$33</definedName>
    <definedName name="RenewableMarketShape" localSheetId="17">'[8]OFPC Source'!$P$5:$U$28</definedName>
    <definedName name="RenewableMarketShape" localSheetId="7">'[8]OFPC Source'!$P$5:$U$28</definedName>
    <definedName name="RenewableMarketShape" localSheetId="10">'[8]OFPC Source'!$P$5:$U$28</definedName>
    <definedName name="RenewableMarketShape" localSheetId="11">'[8]OFPC Source'!$P$5:$U$28</definedName>
    <definedName name="RenewableMarketShape" localSheetId="12">'[8]OFPC Source'!$P$5:$U$28</definedName>
    <definedName name="RenewableMarketShape" localSheetId="14">'[8]OFPC Source'!$P$5:$U$28</definedName>
    <definedName name="RenewableMarketShape" localSheetId="8">'[8]OFPC Source'!$P$5:$U$28</definedName>
    <definedName name="RenewableMarketShape" localSheetId="9">'[8]OFPC Source'!$P$5:$U$28</definedName>
    <definedName name="RenewableMarketShape" localSheetId="13">'[8]OFPC Source'!$P$5:$U$28</definedName>
    <definedName name="RenewableMarketShape" localSheetId="18">'[8]OFPC Source'!$P$5:$U$28</definedName>
    <definedName name="RenewableMarketShape" localSheetId="5">'[8]OFPC Source'!$P$5:$U$28</definedName>
    <definedName name="RenewableMarketShape" localSheetId="6">'[8]OFPC Source'!$P$5:$U$28</definedName>
    <definedName name="RenewableMarketShape" localSheetId="16">'[8]OFPC Source'!$P$5:$U$28</definedName>
    <definedName name="RenewableMarketShape">'[6]OFPC Source'!$P$5:$U$33</definedName>
    <definedName name="RevenueSum">"GRID Thermal Revenue!R2C1:R4C2"</definedName>
    <definedName name="Solar_Fixed_integr_cost" localSheetId="15">'[10]Table 10'!$B$46</definedName>
    <definedName name="Solar_Fixed_integr_cost">'[10]Table 10'!$B$46</definedName>
    <definedName name="Solar_HLH" localSheetId="15">'[6]OFPC Source'!$U$48</definedName>
    <definedName name="Solar_HLH" localSheetId="17">'[8]OFPC Source'!$U$47</definedName>
    <definedName name="Solar_HLH" localSheetId="7">'[8]OFPC Source'!$U$47</definedName>
    <definedName name="Solar_HLH" localSheetId="10">'[8]OFPC Source'!$U$47</definedName>
    <definedName name="Solar_HLH" localSheetId="11">'[8]OFPC Source'!$U$47</definedName>
    <definedName name="Solar_HLH" localSheetId="12">'[8]OFPC Source'!$U$47</definedName>
    <definedName name="Solar_HLH" localSheetId="14">'[8]OFPC Source'!$U$47</definedName>
    <definedName name="Solar_HLH" localSheetId="8">'[8]OFPC Source'!$U$47</definedName>
    <definedName name="Solar_HLH" localSheetId="9">'[8]OFPC Source'!$U$47</definedName>
    <definedName name="Solar_HLH" localSheetId="13">'[8]OFPC Source'!$U$47</definedName>
    <definedName name="Solar_HLH" localSheetId="18">'[8]OFPC Source'!$U$47</definedName>
    <definedName name="Solar_HLH" localSheetId="5">'[8]OFPC Source'!$U$47</definedName>
    <definedName name="Solar_HLH" localSheetId="6">'[8]OFPC Source'!$U$47</definedName>
    <definedName name="Solar_HLH" localSheetId="16">'[8]OFPC Source'!$U$47</definedName>
    <definedName name="Solar_HLH">'[6]OFPC Source'!$U$48</definedName>
    <definedName name="Solar_LLH" localSheetId="15">'[6]OFPC Source'!$V$48</definedName>
    <definedName name="Solar_LLH" localSheetId="17">'[8]OFPC Source'!$V$47</definedName>
    <definedName name="Solar_LLH" localSheetId="7">'[8]OFPC Source'!$V$47</definedName>
    <definedName name="Solar_LLH" localSheetId="10">'[8]OFPC Source'!$V$47</definedName>
    <definedName name="Solar_LLH" localSheetId="11">'[8]OFPC Source'!$V$47</definedName>
    <definedName name="Solar_LLH" localSheetId="12">'[8]OFPC Source'!$V$47</definedName>
    <definedName name="Solar_LLH" localSheetId="14">'[8]OFPC Source'!$V$47</definedName>
    <definedName name="Solar_LLH" localSheetId="8">'[8]OFPC Source'!$V$47</definedName>
    <definedName name="Solar_LLH" localSheetId="9">'[8]OFPC Source'!$V$47</definedName>
    <definedName name="Solar_LLH" localSheetId="13">'[8]OFPC Source'!$V$47</definedName>
    <definedName name="Solar_LLH" localSheetId="18">'[8]OFPC Source'!$V$47</definedName>
    <definedName name="Solar_LLH" localSheetId="5">'[8]OFPC Source'!$V$47</definedName>
    <definedName name="Solar_LLH" localSheetId="6">'[8]OFPC Source'!$V$47</definedName>
    <definedName name="Solar_LLH" localSheetId="16">'[8]OFPC Source'!$V$47</definedName>
    <definedName name="Solar_LLH">'[6]OFPC Source'!$V$48</definedName>
    <definedName name="Solar_Tracking_integr_cost" localSheetId="15">'[10]Table 10'!$B$45</definedName>
    <definedName name="Solar_Tracking_integr_cost">'[10]Table 10'!$B$45</definedName>
    <definedName name="Study_Cap_Adj" localSheetId="1">'Table 1'!$I$8</definedName>
    <definedName name="Study_Cap_Adj" localSheetId="15">'Table 1'!$I$8</definedName>
    <definedName name="Study_Cap_Adj" localSheetId="18">'Table 1'!$I$8</definedName>
    <definedName name="Study_Cap_Adj" localSheetId="5">'[2]Table 1'!$I$8</definedName>
    <definedName name="Study_Cap_Adj">'Table 1'!$I$8</definedName>
    <definedName name="Study_CF">'Table 5'!$M$7</definedName>
    <definedName name="Study_MW">'Table 5'!$M$6</definedName>
    <definedName name="Study_Name" localSheetId="17">[5]ImportData!$D$7</definedName>
    <definedName name="Study_Name" localSheetId="7">[5]ImportData!$D$7</definedName>
    <definedName name="Study_Name" localSheetId="10">[5]ImportData!$D$7</definedName>
    <definedName name="Study_Name" localSheetId="11">[5]ImportData!$D$7</definedName>
    <definedName name="Study_Name" localSheetId="12">[5]ImportData!$D$7</definedName>
    <definedName name="Study_Name" localSheetId="14">[5]ImportData!$D$7</definedName>
    <definedName name="Study_Name" localSheetId="8">[5]ImportData!$D$7</definedName>
    <definedName name="Study_Name" localSheetId="9">[5]ImportData!$D$7</definedName>
    <definedName name="Study_Name" localSheetId="13">[5]ImportData!$D$7</definedName>
    <definedName name="Study_Name" localSheetId="18">[5]ImportData!$D$7</definedName>
    <definedName name="Study_Name" localSheetId="5">[5]ImportData!$D$7</definedName>
    <definedName name="Study_Name" localSheetId="6">[5]ImportData!$D$7</definedName>
    <definedName name="Study_Name" localSheetId="16">[5]ImportData!$D$7</definedName>
    <definedName name="ValuationDate" localSheetId="1">#REF!</definedName>
    <definedName name="ValuationDate" localSheetId="17">#REF!</definedName>
    <definedName name="ValuationDate" localSheetId="7">#REF!</definedName>
    <definedName name="ValuationDate" localSheetId="10">#REF!</definedName>
    <definedName name="ValuationDate" localSheetId="11">#REF!</definedName>
    <definedName name="ValuationDate" localSheetId="12">#REF!</definedName>
    <definedName name="ValuationDate" localSheetId="14">#REF!</definedName>
    <definedName name="ValuationDate" localSheetId="8">#REF!</definedName>
    <definedName name="ValuationDate" localSheetId="9">#REF!</definedName>
    <definedName name="ValuationDate" localSheetId="13">#REF!</definedName>
    <definedName name="ValuationDate" localSheetId="5">#REF!</definedName>
    <definedName name="ValuationDate" localSheetId="16">#REF!</definedName>
    <definedName name="ValuationDate">#REF!</definedName>
    <definedName name="Wind_Capacity_Contr" localSheetId="15">'[6]Exhibit 2- Std Wind QF '!$E$57</definedName>
    <definedName name="Wind_Capacity_Contr">'[6]Exhibit 2- Std Wind QF '!$E$57</definedName>
    <definedName name="Wind_Integration_Charge" localSheetId="15">'[6]Exhibit 2- Std Wind QF '!$E$45</definedName>
    <definedName name="Wind_Integration_Charge">'[6]Exhibit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31" l="1"/>
  <c r="A9" i="31" l="1"/>
  <c r="R6" i="31"/>
  <c r="Q5" i="31"/>
  <c r="Q6" i="31" s="1"/>
  <c r="P5" i="31"/>
  <c r="P6" i="31" s="1"/>
  <c r="CX38" i="25" l="1"/>
  <c r="CW38" i="25"/>
  <c r="CV38" i="25"/>
  <c r="CX37" i="25"/>
  <c r="CW37" i="25"/>
  <c r="CV37" i="25"/>
  <c r="CX36" i="25"/>
  <c r="CW36" i="25"/>
  <c r="CV36" i="25"/>
  <c r="CX35" i="25"/>
  <c r="CW35" i="25"/>
  <c r="CV35" i="25"/>
  <c r="CX34" i="25"/>
  <c r="CW34" i="25"/>
  <c r="CV34" i="25"/>
  <c r="CX33" i="25"/>
  <c r="CW33" i="25"/>
  <c r="CV33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BI9" i="25" l="1"/>
  <c r="CE9" i="25" s="1"/>
  <c r="AM9" i="25"/>
  <c r="C67" i="81"/>
  <c r="D46" i="81"/>
  <c r="Q59" i="81"/>
  <c r="T56" i="81"/>
  <c r="T55" i="81"/>
  <c r="D49" i="81"/>
  <c r="C49" i="81"/>
  <c r="D48" i="81"/>
  <c r="C48" i="81"/>
  <c r="D47" i="81"/>
  <c r="C47" i="81"/>
  <c r="C46" i="81"/>
  <c r="C45" i="81"/>
  <c r="K16" i="81"/>
  <c r="K15" i="81"/>
  <c r="K14" i="81"/>
  <c r="K13" i="81"/>
  <c r="K12" i="81"/>
  <c r="H12" i="81"/>
  <c r="B11" i="81"/>
  <c r="B12" i="81" s="1"/>
  <c r="B13" i="81" s="1"/>
  <c r="B3" i="81"/>
  <c r="C52" i="81" s="1"/>
  <c r="B9" i="81" s="1"/>
  <c r="C68" i="81" l="1"/>
  <c r="B14" i="81"/>
  <c r="B15" i="81" s="1"/>
  <c r="B16" i="81" s="1"/>
  <c r="B17" i="81" s="1"/>
  <c r="C69" i="81"/>
  <c r="C70" i="81" l="1"/>
  <c r="D17" i="81"/>
  <c r="B18" i="81"/>
  <c r="B19" i="81" l="1"/>
  <c r="C71" i="81"/>
  <c r="C72" i="81" l="1"/>
  <c r="B20" i="81"/>
  <c r="B21" i="81" l="1"/>
  <c r="C73" i="81"/>
  <c r="C74" i="81" l="1"/>
  <c r="B22" i="81"/>
  <c r="B23" i="81" l="1"/>
  <c r="F66" i="81"/>
  <c r="F67" i="81" l="1"/>
  <c r="B24" i="81"/>
  <c r="B25" i="81" l="1"/>
  <c r="F68" i="81"/>
  <c r="F69" i="81" l="1"/>
  <c r="B26" i="81"/>
  <c r="B27" i="81" l="1"/>
  <c r="F70" i="81"/>
  <c r="F71" i="81" l="1"/>
  <c r="B28" i="81"/>
  <c r="B29" i="81" l="1"/>
  <c r="F72" i="81"/>
  <c r="F73" i="81" l="1"/>
  <c r="B30" i="81"/>
  <c r="B31" i="81" l="1"/>
  <c r="F74" i="81"/>
  <c r="I66" i="81" l="1"/>
  <c r="B32" i="81"/>
  <c r="B33" i="81" l="1"/>
  <c r="B34" i="81" s="1"/>
  <c r="B35" i="81" s="1"/>
  <c r="B36" i="81" s="1"/>
  <c r="B37" i="81" s="1"/>
  <c r="I67" i="81"/>
  <c r="I68" i="81" l="1"/>
  <c r="I69" i="81" l="1"/>
  <c r="I70" i="81" l="1"/>
  <c r="E33" i="81" l="1"/>
  <c r="I71" i="81"/>
  <c r="I72" i="81" l="1"/>
  <c r="E34" i="81"/>
  <c r="E35" i="81" l="1"/>
  <c r="I73" i="81"/>
  <c r="I74" i="81" l="1"/>
  <c r="E36" i="81"/>
  <c r="E37" i="81" s="1"/>
  <c r="D18" i="81"/>
  <c r="H13" i="81"/>
  <c r="H14" i="81" s="1"/>
  <c r="H15" i="81" s="1"/>
  <c r="H16" i="81" s="1"/>
  <c r="D19" i="81" l="1"/>
  <c r="D20" i="81" l="1"/>
  <c r="D21" i="81" l="1"/>
  <c r="D22" i="81" l="1"/>
  <c r="D23" i="81" l="1"/>
  <c r="D24" i="81" l="1"/>
  <c r="D25" i="81" l="1"/>
  <c r="D26" i="81" l="1"/>
  <c r="F17" i="81" l="1"/>
  <c r="D27" i="81"/>
  <c r="K17" i="81" l="1"/>
  <c r="G17" i="81"/>
  <c r="I17" i="81" s="1"/>
  <c r="J17" i="81" s="1"/>
  <c r="F18" i="81"/>
  <c r="D28" i="81"/>
  <c r="F19" i="81" l="1"/>
  <c r="K18" i="81"/>
  <c r="G18" i="81"/>
  <c r="I18" i="81" s="1"/>
  <c r="J18" i="81" s="1"/>
  <c r="D29" i="81"/>
  <c r="F20" i="81" l="1"/>
  <c r="K19" i="81"/>
  <c r="G19" i="81"/>
  <c r="I19" i="81" s="1"/>
  <c r="J19" i="81" s="1"/>
  <c r="D30" i="81"/>
  <c r="F21" i="81" l="1"/>
  <c r="K20" i="81"/>
  <c r="G20" i="81"/>
  <c r="I20" i="81" s="1"/>
  <c r="J20" i="81" s="1"/>
  <c r="D31" i="81"/>
  <c r="F22" i="81" l="1"/>
  <c r="K21" i="81"/>
  <c r="G21" i="81"/>
  <c r="I21" i="81" s="1"/>
  <c r="J21" i="81" s="1"/>
  <c r="D32" i="81"/>
  <c r="F23" i="81" l="1"/>
  <c r="G22" i="81"/>
  <c r="I22" i="81" s="1"/>
  <c r="J22" i="81" s="1"/>
  <c r="K22" i="81"/>
  <c r="D33" i="81"/>
  <c r="F24" i="81" l="1"/>
  <c r="K23" i="81"/>
  <c r="G23" i="81"/>
  <c r="I23" i="81" s="1"/>
  <c r="J23" i="81" s="1"/>
  <c r="D34" i="81"/>
  <c r="F25" i="81" l="1"/>
  <c r="K24" i="81"/>
  <c r="G24" i="81"/>
  <c r="I24" i="81" s="1"/>
  <c r="J24" i="81" s="1"/>
  <c r="D35" i="81"/>
  <c r="F26" i="81" l="1"/>
  <c r="K25" i="81"/>
  <c r="G25" i="81"/>
  <c r="I25" i="81" s="1"/>
  <c r="J25" i="81" s="1"/>
  <c r="D36" i="81"/>
  <c r="F27" i="81" l="1"/>
  <c r="G26" i="81"/>
  <c r="I26" i="81" s="1"/>
  <c r="J26" i="81" s="1"/>
  <c r="K26" i="81"/>
  <c r="D37" i="81"/>
  <c r="F28" i="81" l="1"/>
  <c r="K27" i="81"/>
  <c r="G27" i="81"/>
  <c r="I27" i="81" s="1"/>
  <c r="J27" i="81" s="1"/>
  <c r="F29" i="81" l="1"/>
  <c r="K28" i="81"/>
  <c r="G28" i="81"/>
  <c r="I28" i="81" s="1"/>
  <c r="J28" i="81" s="1"/>
  <c r="F30" i="81" l="1"/>
  <c r="K29" i="81"/>
  <c r="G29" i="81"/>
  <c r="I29" i="81" s="1"/>
  <c r="J29" i="81" s="1"/>
  <c r="F31" i="81" l="1"/>
  <c r="K30" i="81"/>
  <c r="G30" i="81"/>
  <c r="I30" i="81" s="1"/>
  <c r="J30" i="81" s="1"/>
  <c r="F32" i="81" l="1"/>
  <c r="K31" i="81"/>
  <c r="G31" i="81"/>
  <c r="I31" i="81" s="1"/>
  <c r="J31" i="81" s="1"/>
  <c r="F33" i="81" l="1"/>
  <c r="K32" i="81"/>
  <c r="G32" i="81"/>
  <c r="I32" i="81" s="1"/>
  <c r="J32" i="81" s="1"/>
  <c r="F34" i="81" l="1"/>
  <c r="K33" i="81"/>
  <c r="G33" i="81"/>
  <c r="I33" i="81" s="1"/>
  <c r="J33" i="81" s="1"/>
  <c r="F35" i="81" l="1"/>
  <c r="K34" i="81"/>
  <c r="G34" i="81"/>
  <c r="I34" i="81" s="1"/>
  <c r="J34" i="81" s="1"/>
  <c r="F36" i="81" l="1"/>
  <c r="K35" i="81"/>
  <c r="G35" i="81"/>
  <c r="I35" i="81" s="1"/>
  <c r="J35" i="81" s="1"/>
  <c r="F37" i="81" l="1"/>
  <c r="K36" i="81"/>
  <c r="G36" i="81"/>
  <c r="I36" i="81" s="1"/>
  <c r="J36" i="81" s="1"/>
  <c r="K37" i="81" l="1"/>
  <c r="G37" i="81"/>
  <c r="I37" i="81" s="1"/>
  <c r="J37" i="81" s="1"/>
  <c r="A47" i="25" l="1"/>
  <c r="B48" i="25" l="1"/>
  <c r="K25" i="79" l="1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23" i="75"/>
  <c r="K22" i="75"/>
  <c r="K21" i="75"/>
  <c r="K20" i="75"/>
  <c r="K19" i="75"/>
  <c r="K18" i="75"/>
  <c r="K17" i="75"/>
  <c r="K16" i="75"/>
  <c r="K15" i="75"/>
  <c r="K14" i="75"/>
  <c r="K13" i="75"/>
  <c r="K12" i="75"/>
  <c r="K22" i="76"/>
  <c r="K21" i="76"/>
  <c r="K20" i="76"/>
  <c r="K19" i="76"/>
  <c r="K18" i="76"/>
  <c r="K17" i="76"/>
  <c r="K16" i="76"/>
  <c r="K15" i="76"/>
  <c r="K14" i="76"/>
  <c r="K13" i="76"/>
  <c r="K12" i="76"/>
  <c r="L15" i="68"/>
  <c r="L17" i="43"/>
  <c r="L16" i="43"/>
  <c r="L15" i="43"/>
  <c r="L14" i="43"/>
  <c r="L13" i="43"/>
  <c r="L12" i="43"/>
  <c r="D48" i="43" l="1"/>
  <c r="C48" i="67"/>
  <c r="D48" i="67"/>
  <c r="D48" i="80"/>
  <c r="D51" i="70"/>
  <c r="D48" i="71"/>
  <c r="D48" i="78"/>
  <c r="D48" i="72"/>
  <c r="D48" i="73"/>
  <c r="D48" i="76"/>
  <c r="D48" i="75"/>
  <c r="D48" i="79"/>
  <c r="B60" i="72" l="1"/>
  <c r="C60" i="72"/>
  <c r="F18" i="72" s="1"/>
  <c r="BF10" i="47" l="1"/>
  <c r="B60" i="79" l="1"/>
  <c r="B60" i="75"/>
  <c r="B60" i="76"/>
  <c r="B60" i="73"/>
  <c r="B60" i="78"/>
  <c r="B60" i="71"/>
  <c r="B63" i="70"/>
  <c r="B60" i="80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L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K9" i="25"/>
  <c r="BJ9" i="25"/>
  <c r="BH9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G39" i="47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4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4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0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46" i="47" l="1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47" i="47" l="1"/>
  <c r="AN10" i="47"/>
  <c r="V10" i="47"/>
  <c r="AZ10" i="47" s="1"/>
  <c r="AZ11" i="47" s="1"/>
  <c r="AZ12" i="47" s="1"/>
  <c r="AZ13" i="47" s="1"/>
  <c r="AZ14" i="47" s="1"/>
  <c r="AZ15" i="47" s="1"/>
  <c r="AZ16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AF10" i="47"/>
  <c r="AA10" i="47"/>
  <c r="BE10" i="47" s="1"/>
  <c r="BE11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9" i="47"/>
  <c r="V9" i="47"/>
  <c r="Q9" i="47"/>
  <c r="B9" i="47"/>
  <c r="C48" i="47" l="1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7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AB10" i="47" s="1"/>
  <c r="I39" i="47"/>
  <c r="V11" i="47"/>
  <c r="V12" i="47" s="1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49" i="47" l="1"/>
  <c r="AI10" i="47"/>
  <c r="C60" i="75"/>
  <c r="F24" i="75" s="1"/>
  <c r="C63" i="70"/>
  <c r="F18" i="70" s="1"/>
  <c r="C60" i="71"/>
  <c r="F18" i="71" s="1"/>
  <c r="C60" i="80"/>
  <c r="F24" i="80" s="1"/>
  <c r="C60" i="78"/>
  <c r="F23" i="78" s="1"/>
  <c r="C60" i="79"/>
  <c r="C60" i="76"/>
  <c r="C60" i="43"/>
  <c r="F18" i="43" s="1"/>
  <c r="C60" i="73"/>
  <c r="F18" i="73" s="1"/>
  <c r="C60" i="6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AD10" i="47"/>
  <c r="T10" i="47"/>
  <c r="C67" i="80"/>
  <c r="B3" i="80"/>
  <c r="C52" i="80" s="1"/>
  <c r="B9" i="80" s="1"/>
  <c r="H12" i="80"/>
  <c r="T57" i="80"/>
  <c r="Q57" i="80"/>
  <c r="T56" i="80"/>
  <c r="E12" i="80"/>
  <c r="K12" i="80" s="1"/>
  <c r="T55" i="80"/>
  <c r="D49" i="80"/>
  <c r="C49" i="80"/>
  <c r="C48" i="80"/>
  <c r="C47" i="80"/>
  <c r="C46" i="80"/>
  <c r="C45" i="80"/>
  <c r="C50" i="47" l="1"/>
  <c r="D47" i="80"/>
  <c r="C68" i="80"/>
  <c r="Q11" i="47"/>
  <c r="Q12" i="47" s="1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B13" i="80"/>
  <c r="C67" i="79"/>
  <c r="T59" i="79"/>
  <c r="Q59" i="79"/>
  <c r="T58" i="79"/>
  <c r="H12" i="79"/>
  <c r="T56" i="79"/>
  <c r="T55" i="79"/>
  <c r="D49" i="79"/>
  <c r="C49" i="79"/>
  <c r="C48" i="79"/>
  <c r="D47" i="79"/>
  <c r="C47" i="79"/>
  <c r="C46" i="79"/>
  <c r="C45" i="79"/>
  <c r="B11" i="79"/>
  <c r="B12" i="79" s="1"/>
  <c r="B13" i="79" s="1"/>
  <c r="B14" i="79" s="1"/>
  <c r="B15" i="79" s="1"/>
  <c r="B16" i="79" s="1"/>
  <c r="B17" i="79" s="1"/>
  <c r="B18" i="79" s="1"/>
  <c r="B3" i="79"/>
  <c r="C52" i="79" s="1"/>
  <c r="B9" i="79" s="1"/>
  <c r="C51" i="47" l="1"/>
  <c r="C69" i="80"/>
  <c r="B14" i="80"/>
  <c r="B15" i="80" s="1"/>
  <c r="B16" i="80" s="1"/>
  <c r="B17" i="80" s="1"/>
  <c r="B18" i="80" s="1"/>
  <c r="B19" i="79"/>
  <c r="C68" i="79"/>
  <c r="C52" i="47" l="1"/>
  <c r="C70" i="80"/>
  <c r="B19" i="80"/>
  <c r="C69" i="79"/>
  <c r="B20" i="79"/>
  <c r="C71" i="80" l="1"/>
  <c r="B20" i="80"/>
  <c r="B21" i="79"/>
  <c r="C70" i="79"/>
  <c r="C72" i="80" l="1"/>
  <c r="B21" i="80"/>
  <c r="C71" i="79"/>
  <c r="B22" i="79"/>
  <c r="C73" i="80" l="1"/>
  <c r="B22" i="80"/>
  <c r="C72" i="79"/>
  <c r="B23" i="79"/>
  <c r="C74" i="80" l="1"/>
  <c r="B23" i="80"/>
  <c r="B24" i="79"/>
  <c r="C73" i="79"/>
  <c r="F66" i="80" l="1"/>
  <c r="B24" i="80"/>
  <c r="C74" i="79"/>
  <c r="B25" i="79"/>
  <c r="F67" i="80" l="1"/>
  <c r="B25" i="80"/>
  <c r="F66" i="79"/>
  <c r="B26" i="79"/>
  <c r="F68" i="80" l="1"/>
  <c r="B26" i="80"/>
  <c r="F67" i="79"/>
  <c r="B27" i="79"/>
  <c r="F69" i="80" l="1"/>
  <c r="B27" i="80"/>
  <c r="B28" i="79"/>
  <c r="F68" i="79"/>
  <c r="F70" i="80" l="1"/>
  <c r="B28" i="80"/>
  <c r="B29" i="79"/>
  <c r="F69" i="79"/>
  <c r="F71" i="80" l="1"/>
  <c r="B29" i="80"/>
  <c r="B30" i="79"/>
  <c r="F70" i="79"/>
  <c r="F72" i="80" l="1"/>
  <c r="B30" i="80"/>
  <c r="F71" i="79"/>
  <c r="B31" i="79"/>
  <c r="F73" i="80" l="1"/>
  <c r="B31" i="80"/>
  <c r="B32" i="79"/>
  <c r="F72" i="79"/>
  <c r="B33" i="79" l="1"/>
  <c r="F74" i="80"/>
  <c r="B32" i="80"/>
  <c r="F73" i="79"/>
  <c r="B34" i="79" l="1"/>
  <c r="B33" i="80"/>
  <c r="B34" i="80" s="1"/>
  <c r="B35" i="80" s="1"/>
  <c r="B36" i="80" s="1"/>
  <c r="B37" i="80" s="1"/>
  <c r="I66" i="80"/>
  <c r="F74" i="79"/>
  <c r="B35" i="79" l="1"/>
  <c r="I67" i="80"/>
  <c r="I66" i="79"/>
  <c r="B36" i="79" l="1"/>
  <c r="I68" i="80"/>
  <c r="I67" i="79"/>
  <c r="B37" i="79" l="1"/>
  <c r="I69" i="80"/>
  <c r="I68" i="79"/>
  <c r="I70" i="80" l="1"/>
  <c r="I69" i="79"/>
  <c r="I71" i="80" l="1"/>
  <c r="I70" i="79"/>
  <c r="I72" i="80" l="1"/>
  <c r="E33" i="79"/>
  <c r="I71" i="79"/>
  <c r="I73" i="80" l="1"/>
  <c r="I72" i="79"/>
  <c r="E34" i="79"/>
  <c r="I74" i="80" l="1"/>
  <c r="E35" i="79"/>
  <c r="I73" i="79"/>
  <c r="F25" i="80" l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E13" i="80"/>
  <c r="H13" i="80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I74" i="79"/>
  <c r="E36" i="79"/>
  <c r="H13" i="79" l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H37" i="79" s="1"/>
  <c r="E37" i="79"/>
  <c r="E14" i="80"/>
  <c r="K13" i="80"/>
  <c r="H37" i="80"/>
  <c r="E15" i="80" l="1"/>
  <c r="K14" i="80"/>
  <c r="E16" i="80" l="1"/>
  <c r="K15" i="80"/>
  <c r="D26" i="79"/>
  <c r="D24" i="80"/>
  <c r="E17" i="80" l="1"/>
  <c r="K16" i="80"/>
  <c r="D46" i="80"/>
  <c r="D46" i="79"/>
  <c r="E18" i="80" l="1"/>
  <c r="K17" i="80"/>
  <c r="E19" i="80" l="1"/>
  <c r="K18" i="80"/>
  <c r="E20" i="80" l="1"/>
  <c r="K19" i="80"/>
  <c r="D27" i="79"/>
  <c r="E21" i="80" l="1"/>
  <c r="K20" i="80"/>
  <c r="D28" i="79"/>
  <c r="E22" i="80" l="1"/>
  <c r="K21" i="80"/>
  <c r="D29" i="79"/>
  <c r="E23" i="80" l="1"/>
  <c r="K22" i="80"/>
  <c r="D25" i="80"/>
  <c r="D30" i="79"/>
  <c r="E24" i="80" l="1"/>
  <c r="K23" i="80"/>
  <c r="D26" i="80"/>
  <c r="D31" i="79"/>
  <c r="E25" i="80" l="1"/>
  <c r="K24" i="80"/>
  <c r="G24" i="80"/>
  <c r="I24" i="80" s="1"/>
  <c r="D27" i="80"/>
  <c r="D32" i="79"/>
  <c r="J24" i="80" l="1"/>
  <c r="E26" i="80"/>
  <c r="K25" i="80"/>
  <c r="G25" i="80"/>
  <c r="I25" i="80" s="1"/>
  <c r="D33" i="79"/>
  <c r="D28" i="80"/>
  <c r="E27" i="80" l="1"/>
  <c r="K26" i="80"/>
  <c r="G26" i="80"/>
  <c r="I26" i="80" s="1"/>
  <c r="J25" i="80"/>
  <c r="D34" i="79"/>
  <c r="D29" i="80"/>
  <c r="J26" i="80" l="1"/>
  <c r="E28" i="80"/>
  <c r="K27" i="80"/>
  <c r="G27" i="80"/>
  <c r="I27" i="80" s="1"/>
  <c r="D35" i="79"/>
  <c r="D30" i="80"/>
  <c r="E29" i="80" l="1"/>
  <c r="G28" i="80"/>
  <c r="I28" i="80" s="1"/>
  <c r="K28" i="80"/>
  <c r="J27" i="80"/>
  <c r="D36" i="79"/>
  <c r="D31" i="80"/>
  <c r="J28" i="80" l="1"/>
  <c r="E30" i="80"/>
  <c r="G29" i="80"/>
  <c r="I29" i="80" s="1"/>
  <c r="K29" i="80"/>
  <c r="D37" i="79"/>
  <c r="D32" i="80"/>
  <c r="E31" i="80" l="1"/>
  <c r="G30" i="80"/>
  <c r="I30" i="80" s="1"/>
  <c r="K30" i="80"/>
  <c r="J29" i="80"/>
  <c r="D33" i="80"/>
  <c r="J30" i="80" l="1"/>
  <c r="E32" i="80"/>
  <c r="K31" i="80"/>
  <c r="G31" i="80"/>
  <c r="I31" i="80" s="1"/>
  <c r="D34" i="80"/>
  <c r="J31" i="80" l="1"/>
  <c r="E33" i="80"/>
  <c r="K32" i="80"/>
  <c r="G32" i="80"/>
  <c r="I32" i="80" s="1"/>
  <c r="D35" i="80"/>
  <c r="E34" i="80" l="1"/>
  <c r="G33" i="80"/>
  <c r="I33" i="80" s="1"/>
  <c r="J33" i="80" s="1"/>
  <c r="K33" i="80"/>
  <c r="J32" i="80"/>
  <c r="D36" i="80"/>
  <c r="E35" i="80" l="1"/>
  <c r="K34" i="80"/>
  <c r="G34" i="80"/>
  <c r="I34" i="80" s="1"/>
  <c r="J34" i="80" s="1"/>
  <c r="D37" i="80"/>
  <c r="E36" i="80" l="1"/>
  <c r="K35" i="80"/>
  <c r="G35" i="80"/>
  <c r="I35" i="80" s="1"/>
  <c r="J35" i="80" s="1"/>
  <c r="E37" i="80" l="1"/>
  <c r="G36" i="80"/>
  <c r="I36" i="80" s="1"/>
  <c r="J36" i="80" s="1"/>
  <c r="K36" i="80"/>
  <c r="K37" i="80" l="1"/>
  <c r="G37" i="80"/>
  <c r="I37" i="80" s="1"/>
  <c r="J37" i="80" s="1"/>
  <c r="C67" i="78" l="1"/>
  <c r="D47" i="78"/>
  <c r="T57" i="78"/>
  <c r="Q57" i="78"/>
  <c r="T56" i="78"/>
  <c r="T55" i="78"/>
  <c r="D49" i="78"/>
  <c r="C49" i="78"/>
  <c r="C48" i="78"/>
  <c r="C47" i="78"/>
  <c r="C46" i="78"/>
  <c r="C45" i="78"/>
  <c r="H12" i="78"/>
  <c r="E12" i="78"/>
  <c r="K12" i="78" s="1"/>
  <c r="B11" i="78"/>
  <c r="B12" i="78" s="1"/>
  <c r="B3" i="78" l="1"/>
  <c r="C52" i="78" s="1"/>
  <c r="B9" i="78" s="1"/>
  <c r="D46" i="78"/>
  <c r="C68" i="78"/>
  <c r="B13" i="78"/>
  <c r="C69" i="78" l="1"/>
  <c r="B14" i="78"/>
  <c r="B15" i="78" l="1"/>
  <c r="C70" i="78"/>
  <c r="C71" i="78" l="1"/>
  <c r="B16" i="78"/>
  <c r="B17" i="78" l="1"/>
  <c r="C72" i="78"/>
  <c r="B18" i="78" l="1"/>
  <c r="C73" i="78"/>
  <c r="B19" i="78" l="1"/>
  <c r="C74" i="78"/>
  <c r="F66" i="78" l="1"/>
  <c r="B20" i="78"/>
  <c r="F67" i="78" l="1"/>
  <c r="B21" i="78"/>
  <c r="F68" i="78" l="1"/>
  <c r="B22" i="78"/>
  <c r="F69" i="78" l="1"/>
  <c r="B23" i="78"/>
  <c r="D23" i="78" l="1"/>
  <c r="B24" i="78"/>
  <c r="F70" i="78"/>
  <c r="F71" i="78" l="1"/>
  <c r="B25" i="78"/>
  <c r="B26" i="78" l="1"/>
  <c r="F72" i="78"/>
  <c r="F73" i="78" l="1"/>
  <c r="B27" i="78"/>
  <c r="B28" i="78" l="1"/>
  <c r="F74" i="78"/>
  <c r="B29" i="78" l="1"/>
  <c r="I66" i="78"/>
  <c r="B30" i="78" l="1"/>
  <c r="I67" i="78"/>
  <c r="B31" i="78" l="1"/>
  <c r="I68" i="78"/>
  <c r="I69" i="78" l="1"/>
  <c r="B32" i="78"/>
  <c r="B33" i="78" s="1"/>
  <c r="B34" i="78" l="1"/>
  <c r="I70" i="78"/>
  <c r="B35" i="78" l="1"/>
  <c r="I71" i="78"/>
  <c r="B36" i="78" l="1"/>
  <c r="I72" i="78"/>
  <c r="B37" i="78" l="1"/>
  <c r="I73" i="78"/>
  <c r="I74" i="78" l="1"/>
  <c r="F24" i="78" l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D24" i="78"/>
  <c r="E13" i="78"/>
  <c r="H13" i="78"/>
  <c r="H14" i="78" s="1"/>
  <c r="H15" i="78" s="1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F37" i="78" l="1"/>
  <c r="E14" i="78"/>
  <c r="K13" i="78"/>
  <c r="E15" i="78" l="1"/>
  <c r="K14" i="78"/>
  <c r="E16" i="78" l="1"/>
  <c r="K15" i="78"/>
  <c r="E17" i="78" l="1"/>
  <c r="K16" i="78"/>
  <c r="E18" i="78" l="1"/>
  <c r="K17" i="78"/>
  <c r="K18" i="78" l="1"/>
  <c r="E19" i="78"/>
  <c r="D25" i="78"/>
  <c r="E20" i="78" l="1"/>
  <c r="K19" i="78"/>
  <c r="D26" i="78"/>
  <c r="E21" i="78" l="1"/>
  <c r="K20" i="78"/>
  <c r="D27" i="78"/>
  <c r="E22" i="78" l="1"/>
  <c r="K21" i="78"/>
  <c r="D28" i="78"/>
  <c r="E23" i="78" l="1"/>
  <c r="K22" i="78"/>
  <c r="D29" i="78"/>
  <c r="G23" i="78" l="1"/>
  <c r="I23" i="78" s="1"/>
  <c r="K23" i="78"/>
  <c r="E24" i="78"/>
  <c r="D30" i="78"/>
  <c r="K24" i="78" l="1"/>
  <c r="G24" i="78"/>
  <c r="I24" i="78" s="1"/>
  <c r="E25" i="78"/>
  <c r="J23" i="78"/>
  <c r="D31" i="78"/>
  <c r="E26" i="78" l="1"/>
  <c r="K25" i="78"/>
  <c r="G25" i="78"/>
  <c r="I25" i="78" s="1"/>
  <c r="J24" i="78"/>
  <c r="D32" i="78"/>
  <c r="J25" i="78" l="1"/>
  <c r="E27" i="78"/>
  <c r="K26" i="78"/>
  <c r="G26" i="78"/>
  <c r="I26" i="78" s="1"/>
  <c r="D33" i="78"/>
  <c r="J26" i="78" l="1"/>
  <c r="E28" i="78"/>
  <c r="K27" i="78"/>
  <c r="G27" i="78"/>
  <c r="I27" i="78" s="1"/>
  <c r="D34" i="78"/>
  <c r="A6" i="77"/>
  <c r="A7" i="77" s="1"/>
  <c r="A8" i="77" s="1"/>
  <c r="A9" i="77" s="1"/>
  <c r="A10" i="77" s="1"/>
  <c r="A11" i="77" s="1"/>
  <c r="A12" i="77" s="1"/>
  <c r="A13" i="77" s="1"/>
  <c r="H12" i="75"/>
  <c r="J27" i="78" l="1"/>
  <c r="E29" i="78"/>
  <c r="G28" i="78"/>
  <c r="I28" i="78" s="1"/>
  <c r="K28" i="78"/>
  <c r="D35" i="78"/>
  <c r="A14" i="77"/>
  <c r="J28" i="78" l="1"/>
  <c r="E30" i="78"/>
  <c r="G29" i="78"/>
  <c r="I29" i="78" s="1"/>
  <c r="K29" i="78"/>
  <c r="D36" i="78"/>
  <c r="A15" i="77"/>
  <c r="J29" i="78" l="1"/>
  <c r="E31" i="78"/>
  <c r="K30" i="78"/>
  <c r="G30" i="78"/>
  <c r="I30" i="78" s="1"/>
  <c r="D37" i="78"/>
  <c r="A16" i="77"/>
  <c r="H16" i="77" s="1"/>
  <c r="J30" i="78" l="1"/>
  <c r="E32" i="78"/>
  <c r="G31" i="78"/>
  <c r="I31" i="78" s="1"/>
  <c r="K31" i="78"/>
  <c r="A17" i="77"/>
  <c r="H17" i="77" l="1"/>
  <c r="J17" i="77"/>
  <c r="J31" i="78"/>
  <c r="E33" i="78"/>
  <c r="G32" i="78"/>
  <c r="I32" i="78" s="1"/>
  <c r="K32" i="78"/>
  <c r="A18" i="77"/>
  <c r="H18" i="77" l="1"/>
  <c r="J18" i="77"/>
  <c r="J32" i="78"/>
  <c r="E34" i="78"/>
  <c r="G33" i="78"/>
  <c r="I33" i="78" s="1"/>
  <c r="K33" i="78"/>
  <c r="A19" i="77"/>
  <c r="J19" i="77" s="1"/>
  <c r="E35" i="78" l="1"/>
  <c r="G34" i="78"/>
  <c r="I34" i="78" s="1"/>
  <c r="K34" i="78"/>
  <c r="J33" i="78"/>
  <c r="H19" i="77"/>
  <c r="A20" i="77"/>
  <c r="J20" i="77" s="1"/>
  <c r="J34" i="78" l="1"/>
  <c r="E36" i="78"/>
  <c r="G35" i="78"/>
  <c r="I35" i="78" s="1"/>
  <c r="K35" i="78"/>
  <c r="H20" i="77"/>
  <c r="A21" i="77"/>
  <c r="J21" i="77" s="1"/>
  <c r="E37" i="78" l="1"/>
  <c r="G36" i="78"/>
  <c r="I36" i="78" s="1"/>
  <c r="K36" i="78"/>
  <c r="J35" i="78"/>
  <c r="H21" i="77"/>
  <c r="A22" i="77"/>
  <c r="J22" i="77" s="1"/>
  <c r="J36" i="78" l="1"/>
  <c r="G37" i="78"/>
  <c r="I37" i="78" s="1"/>
  <c r="K37" i="78"/>
  <c r="H22" i="77"/>
  <c r="A23" i="77"/>
  <c r="J23" i="77" s="1"/>
  <c r="J37" i="78" l="1"/>
  <c r="H23" i="77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D47" i="76" l="1"/>
  <c r="C67" i="76"/>
  <c r="T59" i="76"/>
  <c r="Q59" i="76"/>
  <c r="T58" i="76"/>
  <c r="T56" i="76"/>
  <c r="T55" i="76"/>
  <c r="D49" i="76"/>
  <c r="C49" i="76"/>
  <c r="C48" i="76"/>
  <c r="C47" i="76"/>
  <c r="C46" i="76"/>
  <c r="C45" i="76"/>
  <c r="B11" i="76"/>
  <c r="B12" i="76" s="1"/>
  <c r="B13" i="76" s="1"/>
  <c r="B14" i="76" s="1"/>
  <c r="T59" i="75"/>
  <c r="T57" i="75"/>
  <c r="T56" i="75"/>
  <c r="T58" i="75"/>
  <c r="B3" i="75"/>
  <c r="C52" i="75" s="1"/>
  <c r="B9" i="75" s="1"/>
  <c r="C67" i="75"/>
  <c r="Q59" i="75"/>
  <c r="T55" i="75"/>
  <c r="D49" i="75"/>
  <c r="C49" i="75"/>
  <c r="C48" i="75"/>
  <c r="C47" i="75"/>
  <c r="C46" i="75"/>
  <c r="C45" i="75"/>
  <c r="B11" i="75"/>
  <c r="B12" i="75" s="1"/>
  <c r="B13" i="75" s="1"/>
  <c r="B14" i="75" s="1"/>
  <c r="B15" i="75" s="1"/>
  <c r="B16" i="75" s="1"/>
  <c r="U59" i="68"/>
  <c r="R59" i="68"/>
  <c r="U58" i="68"/>
  <c r="U57" i="68"/>
  <c r="B3" i="73"/>
  <c r="C52" i="73" s="1"/>
  <c r="B9" i="73" s="1"/>
  <c r="H12" i="73"/>
  <c r="E12" i="73"/>
  <c r="K12" i="73" s="1"/>
  <c r="C67" i="73"/>
  <c r="T57" i="73"/>
  <c r="Q57" i="73"/>
  <c r="T56" i="73"/>
  <c r="T55" i="73"/>
  <c r="D49" i="73"/>
  <c r="C49" i="73"/>
  <c r="C48" i="73"/>
  <c r="C47" i="73"/>
  <c r="C46" i="73"/>
  <c r="C45" i="73"/>
  <c r="B11" i="73"/>
  <c r="B12" i="73" s="1"/>
  <c r="B3" i="72"/>
  <c r="C52" i="72" s="1"/>
  <c r="B9" i="72" s="1"/>
  <c r="H12" i="72"/>
  <c r="E12" i="72"/>
  <c r="K12" i="72" s="1"/>
  <c r="C67" i="72"/>
  <c r="T57" i="72"/>
  <c r="Q57" i="72"/>
  <c r="T56" i="72"/>
  <c r="T55" i="72"/>
  <c r="D49" i="72"/>
  <c r="C49" i="72"/>
  <c r="C48" i="72"/>
  <c r="C47" i="72"/>
  <c r="C46" i="72"/>
  <c r="C45" i="72"/>
  <c r="B11" i="72"/>
  <c r="B12" i="72" s="1"/>
  <c r="C67" i="71"/>
  <c r="D47" i="71"/>
  <c r="H12" i="71"/>
  <c r="T57" i="71"/>
  <c r="Q57" i="71"/>
  <c r="T56" i="71"/>
  <c r="E12" i="71"/>
  <c r="K12" i="71" s="1"/>
  <c r="T55" i="71"/>
  <c r="D49" i="71"/>
  <c r="C49" i="71"/>
  <c r="C48" i="71"/>
  <c r="C47" i="71"/>
  <c r="C46" i="71"/>
  <c r="C45" i="71"/>
  <c r="B11" i="71"/>
  <c r="B12" i="71" s="1"/>
  <c r="C68" i="72" l="1"/>
  <c r="B3" i="71"/>
  <c r="C52" i="71" s="1"/>
  <c r="B9" i="71" s="1"/>
  <c r="D47" i="75"/>
  <c r="D47" i="73"/>
  <c r="D47" i="72"/>
  <c r="H12" i="76"/>
  <c r="B3" i="76"/>
  <c r="C52" i="76" s="1"/>
  <c r="B9" i="76" s="1"/>
  <c r="B15" i="76"/>
  <c r="C68" i="76"/>
  <c r="B17" i="75"/>
  <c r="C68" i="75"/>
  <c r="B13" i="73"/>
  <c r="C68" i="73"/>
  <c r="B13" i="72"/>
  <c r="B13" i="71"/>
  <c r="C68" i="71"/>
  <c r="C69" i="72" l="1"/>
  <c r="C69" i="76"/>
  <c r="B16" i="76"/>
  <c r="C69" i="75"/>
  <c r="B18" i="75"/>
  <c r="C69" i="73"/>
  <c r="B14" i="73"/>
  <c r="B15" i="73" s="1"/>
  <c r="B16" i="73" s="1"/>
  <c r="B17" i="73" s="1"/>
  <c r="B18" i="73" s="1"/>
  <c r="B14" i="72"/>
  <c r="C69" i="71"/>
  <c r="B14" i="71"/>
  <c r="C70" i="72" l="1"/>
  <c r="B15" i="71"/>
  <c r="C70" i="76"/>
  <c r="B17" i="76"/>
  <c r="B19" i="75"/>
  <c r="C70" i="75"/>
  <c r="B19" i="73"/>
  <c r="C70" i="73"/>
  <c r="B15" i="72"/>
  <c r="C70" i="71"/>
  <c r="C71" i="72" l="1"/>
  <c r="B16" i="71"/>
  <c r="B18" i="76"/>
  <c r="C71" i="76"/>
  <c r="C71" i="75"/>
  <c r="B20" i="75"/>
  <c r="C71" i="73"/>
  <c r="B20" i="73"/>
  <c r="B16" i="72"/>
  <c r="C71" i="71"/>
  <c r="C72" i="72" l="1"/>
  <c r="B17" i="71"/>
  <c r="C72" i="76"/>
  <c r="B19" i="76"/>
  <c r="C72" i="75"/>
  <c r="B21" i="75"/>
  <c r="C72" i="73"/>
  <c r="B21" i="73"/>
  <c r="B17" i="72"/>
  <c r="C72" i="71"/>
  <c r="C73" i="72" l="1"/>
  <c r="B18" i="71"/>
  <c r="B20" i="76"/>
  <c r="C73" i="76"/>
  <c r="B22" i="75"/>
  <c r="C73" i="75"/>
  <c r="C73" i="73"/>
  <c r="B22" i="73"/>
  <c r="B18" i="72"/>
  <c r="C73" i="71"/>
  <c r="C74" i="72" l="1"/>
  <c r="B19" i="71"/>
  <c r="C74" i="76"/>
  <c r="B21" i="76"/>
  <c r="B23" i="75"/>
  <c r="C74" i="75"/>
  <c r="C74" i="73"/>
  <c r="B23" i="73"/>
  <c r="B19" i="72"/>
  <c r="C74" i="71"/>
  <c r="F66" i="72" l="1"/>
  <c r="B20" i="71"/>
  <c r="B22" i="76"/>
  <c r="F66" i="76"/>
  <c r="F66" i="75"/>
  <c r="B24" i="75"/>
  <c r="B24" i="73"/>
  <c r="F66" i="73"/>
  <c r="B20" i="72"/>
  <c r="F66" i="71"/>
  <c r="F67" i="72" l="1"/>
  <c r="B21" i="71"/>
  <c r="B23" i="76"/>
  <c r="F67" i="76"/>
  <c r="F67" i="75"/>
  <c r="B25" i="75"/>
  <c r="F67" i="73"/>
  <c r="B25" i="73"/>
  <c r="B21" i="72"/>
  <c r="F67" i="71"/>
  <c r="F68" i="72" l="1"/>
  <c r="B22" i="71"/>
  <c r="B24" i="76"/>
  <c r="F68" i="76"/>
  <c r="F68" i="75"/>
  <c r="B26" i="75"/>
  <c r="F68" i="73"/>
  <c r="B26" i="73"/>
  <c r="B22" i="72"/>
  <c r="F68" i="71"/>
  <c r="F69" i="72" l="1"/>
  <c r="B23" i="71"/>
  <c r="F69" i="76"/>
  <c r="B25" i="76"/>
  <c r="F69" i="75"/>
  <c r="B27" i="75"/>
  <c r="F69" i="73"/>
  <c r="B27" i="73"/>
  <c r="B23" i="72"/>
  <c r="F69" i="71"/>
  <c r="F70" i="72" l="1"/>
  <c r="B24" i="71"/>
  <c r="B26" i="76"/>
  <c r="F70" i="76"/>
  <c r="B28" i="75"/>
  <c r="F70" i="75"/>
  <c r="B28" i="73"/>
  <c r="F70" i="73"/>
  <c r="B24" i="72"/>
  <c r="F70" i="71"/>
  <c r="F71" i="72" l="1"/>
  <c r="B25" i="71"/>
  <c r="F71" i="76"/>
  <c r="B27" i="76"/>
  <c r="F71" i="75"/>
  <c r="B29" i="75"/>
  <c r="F71" i="73"/>
  <c r="B29" i="73"/>
  <c r="B25" i="72"/>
  <c r="F71" i="71"/>
  <c r="F72" i="72" l="1"/>
  <c r="B26" i="71"/>
  <c r="B28" i="76"/>
  <c r="F72" i="76"/>
  <c r="B30" i="75"/>
  <c r="F72" i="75"/>
  <c r="B30" i="73"/>
  <c r="F72" i="73"/>
  <c r="B26" i="72"/>
  <c r="F72" i="71"/>
  <c r="F73" i="72" l="1"/>
  <c r="B27" i="71"/>
  <c r="B29" i="76"/>
  <c r="F73" i="76"/>
  <c r="F73" i="75"/>
  <c r="B31" i="75"/>
  <c r="F73" i="73"/>
  <c r="B31" i="73"/>
  <c r="B27" i="72"/>
  <c r="F73" i="71"/>
  <c r="F74" i="72" l="1"/>
  <c r="B28" i="71"/>
  <c r="F74" i="76"/>
  <c r="B30" i="76"/>
  <c r="B32" i="75"/>
  <c r="B33" i="75" s="1"/>
  <c r="B34" i="75" s="1"/>
  <c r="B35" i="75" s="1"/>
  <c r="B36" i="75" s="1"/>
  <c r="B37" i="75" s="1"/>
  <c r="F74" i="75"/>
  <c r="B32" i="73"/>
  <c r="F74" i="73"/>
  <c r="B28" i="72"/>
  <c r="F74" i="71"/>
  <c r="I66" i="72" l="1"/>
  <c r="B33" i="73"/>
  <c r="B29" i="71"/>
  <c r="B31" i="76"/>
  <c r="I66" i="76"/>
  <c r="I66" i="75"/>
  <c r="I66" i="73"/>
  <c r="B29" i="72"/>
  <c r="I66" i="71"/>
  <c r="I67" i="72" l="1"/>
  <c r="B34" i="73"/>
  <c r="B30" i="71"/>
  <c r="B32" i="76"/>
  <c r="B33" i="76" s="1"/>
  <c r="B34" i="76" s="1"/>
  <c r="B35" i="76" s="1"/>
  <c r="B36" i="76" s="1"/>
  <c r="B37" i="76" s="1"/>
  <c r="I67" i="76"/>
  <c r="I67" i="75"/>
  <c r="I67" i="73"/>
  <c r="B30" i="72"/>
  <c r="I67" i="71"/>
  <c r="I68" i="72" l="1"/>
  <c r="B35" i="73"/>
  <c r="B31" i="71"/>
  <c r="I68" i="76"/>
  <c r="I68" i="75"/>
  <c r="I68" i="73"/>
  <c r="B31" i="72"/>
  <c r="I68" i="71"/>
  <c r="I69" i="72" l="1"/>
  <c r="B36" i="73"/>
  <c r="B32" i="71"/>
  <c r="B33" i="71" s="1"/>
  <c r="I69" i="76"/>
  <c r="I69" i="75"/>
  <c r="I69" i="73"/>
  <c r="B32" i="72"/>
  <c r="B33" i="72" s="1"/>
  <c r="I69" i="71"/>
  <c r="I70" i="72" l="1"/>
  <c r="B37" i="73"/>
  <c r="B34" i="72"/>
  <c r="B34" i="71"/>
  <c r="I70" i="76"/>
  <c r="I70" i="75"/>
  <c r="I70" i="73"/>
  <c r="I70" i="71"/>
  <c r="I71" i="72" l="1"/>
  <c r="B35" i="72"/>
  <c r="B35" i="71"/>
  <c r="I71" i="76"/>
  <c r="I71" i="75"/>
  <c r="I71" i="73"/>
  <c r="I71" i="71"/>
  <c r="I72" i="72" l="1"/>
  <c r="B36" i="72"/>
  <c r="B36" i="71"/>
  <c r="I72" i="76"/>
  <c r="I72" i="75"/>
  <c r="I72" i="73"/>
  <c r="I72" i="71"/>
  <c r="I73" i="72" l="1"/>
  <c r="B37" i="72"/>
  <c r="B37" i="71"/>
  <c r="I73" i="76"/>
  <c r="I73" i="75"/>
  <c r="I73" i="73"/>
  <c r="I73" i="71"/>
  <c r="I74" i="72" l="1"/>
  <c r="I74" i="76"/>
  <c r="I74" i="75"/>
  <c r="I74" i="73"/>
  <c r="I74" i="71"/>
  <c r="F19" i="72" l="1"/>
  <c r="F20" i="72" s="1"/>
  <c r="F21" i="72" s="1"/>
  <c r="F22" i="72" s="1"/>
  <c r="F23" i="72" s="1"/>
  <c r="F24" i="72" s="1"/>
  <c r="F25" i="72" s="1"/>
  <c r="F26" i="72" s="1"/>
  <c r="F27" i="72" s="1"/>
  <c r="F28" i="72" s="1"/>
  <c r="F29" i="72" s="1"/>
  <c r="F30" i="72" s="1"/>
  <c r="F31" i="72" s="1"/>
  <c r="F32" i="72" s="1"/>
  <c r="F33" i="72" s="1"/>
  <c r="F34" i="72" s="1"/>
  <c r="F35" i="72" s="1"/>
  <c r="F36" i="72" s="1"/>
  <c r="F37" i="72" s="1"/>
  <c r="E13" i="72"/>
  <c r="H13" i="72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H36" i="72" s="1"/>
  <c r="H37" i="72" s="1"/>
  <c r="E13" i="73"/>
  <c r="E14" i="73" s="1"/>
  <c r="F25" i="75"/>
  <c r="F26" i="75" s="1"/>
  <c r="F27" i="75" s="1"/>
  <c r="F19" i="7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H13" i="73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H37" i="73" s="1"/>
  <c r="F19" i="73"/>
  <c r="F20" i="73" s="1"/>
  <c r="F21" i="73" s="1"/>
  <c r="F22" i="73" s="1"/>
  <c r="F23" i="73" s="1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H13" i="75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E13" i="71"/>
  <c r="H13" i="7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K13" i="72" l="1"/>
  <c r="E14" i="72"/>
  <c r="K13" i="73"/>
  <c r="F26" i="79"/>
  <c r="G26" i="79" s="1"/>
  <c r="I26" i="79" s="1"/>
  <c r="E15" i="73"/>
  <c r="K14" i="73"/>
  <c r="E14" i="71"/>
  <c r="K13" i="71"/>
  <c r="F24" i="73"/>
  <c r="F23" i="76"/>
  <c r="F28" i="75"/>
  <c r="F27" i="79"/>
  <c r="F37" i="71"/>
  <c r="H37" i="75"/>
  <c r="E15" i="72" l="1"/>
  <c r="K14" i="72"/>
  <c r="K26" i="79"/>
  <c r="F29" i="75"/>
  <c r="F28" i="79"/>
  <c r="E15" i="71"/>
  <c r="K14" i="71"/>
  <c r="F25" i="73"/>
  <c r="F24" i="76"/>
  <c r="G27" i="79"/>
  <c r="I27" i="79" s="1"/>
  <c r="K27" i="79"/>
  <c r="J26" i="79"/>
  <c r="M19" i="77"/>
  <c r="E16" i="73"/>
  <c r="K15" i="73"/>
  <c r="E16" i="72" l="1"/>
  <c r="K15" i="72"/>
  <c r="J27" i="79"/>
  <c r="M20" i="77"/>
  <c r="G28" i="79"/>
  <c r="I28" i="79" s="1"/>
  <c r="K28" i="79"/>
  <c r="E17" i="73"/>
  <c r="K16" i="73"/>
  <c r="E16" i="71"/>
  <c r="K15" i="71"/>
  <c r="F26" i="73"/>
  <c r="F25" i="76"/>
  <c r="F30" i="75"/>
  <c r="F29" i="79"/>
  <c r="E17" i="72" l="1"/>
  <c r="K16" i="72"/>
  <c r="K17" i="73"/>
  <c r="E18" i="73"/>
  <c r="E19" i="73" s="1"/>
  <c r="E20" i="73" s="1"/>
  <c r="E21" i="73" s="1"/>
  <c r="E22" i="73" s="1"/>
  <c r="E23" i="73" s="1"/>
  <c r="E24" i="73" s="1"/>
  <c r="E25" i="73" s="1"/>
  <c r="E26" i="73" s="1"/>
  <c r="E27" i="73" s="1"/>
  <c r="E28" i="73" s="1"/>
  <c r="E29" i="73" s="1"/>
  <c r="E30" i="73" s="1"/>
  <c r="E31" i="73" s="1"/>
  <c r="E32" i="73" s="1"/>
  <c r="E33" i="73" s="1"/>
  <c r="E34" i="73" s="1"/>
  <c r="E35" i="73" s="1"/>
  <c r="E36" i="73" s="1"/>
  <c r="E37" i="73" s="1"/>
  <c r="E17" i="71"/>
  <c r="K16" i="71"/>
  <c r="J28" i="79"/>
  <c r="M21" i="77"/>
  <c r="F27" i="73"/>
  <c r="F26" i="76"/>
  <c r="G29" i="79"/>
  <c r="I29" i="79" s="1"/>
  <c r="K29" i="79"/>
  <c r="F31" i="75"/>
  <c r="F30" i="79"/>
  <c r="K17" i="72" l="1"/>
  <c r="E18" i="72"/>
  <c r="E19" i="72" s="1"/>
  <c r="E20" i="72" s="1"/>
  <c r="E21" i="72" s="1"/>
  <c r="E22" i="72" s="1"/>
  <c r="E23" i="72" s="1"/>
  <c r="E24" i="72" s="1"/>
  <c r="E25" i="72" s="1"/>
  <c r="E26" i="72" s="1"/>
  <c r="E27" i="72" s="1"/>
  <c r="E28" i="72" s="1"/>
  <c r="E29" i="72" s="1"/>
  <c r="E30" i="72" s="1"/>
  <c r="E31" i="72" s="1"/>
  <c r="E32" i="72" s="1"/>
  <c r="E33" i="72" s="1"/>
  <c r="E34" i="72" s="1"/>
  <c r="E35" i="72" s="1"/>
  <c r="E36" i="72" s="1"/>
  <c r="E37" i="72" s="1"/>
  <c r="F32" i="75"/>
  <c r="F31" i="79"/>
  <c r="F28" i="73"/>
  <c r="F27" i="76"/>
  <c r="E18" i="7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32" i="71" s="1"/>
  <c r="E33" i="71" s="1"/>
  <c r="E34" i="71" s="1"/>
  <c r="E35" i="71" s="1"/>
  <c r="E36" i="71" s="1"/>
  <c r="E37" i="71" s="1"/>
  <c r="K17" i="71"/>
  <c r="J29" i="79"/>
  <c r="M22" i="77"/>
  <c r="G30" i="79"/>
  <c r="I30" i="79" s="1"/>
  <c r="K30" i="79"/>
  <c r="J30" i="79" l="1"/>
  <c r="M23" i="77"/>
  <c r="F29" i="73"/>
  <c r="F28" i="76"/>
  <c r="G31" i="79"/>
  <c r="I31" i="79" s="1"/>
  <c r="K31" i="79"/>
  <c r="F33" i="75"/>
  <c r="F32" i="79"/>
  <c r="K32" i="79" l="1"/>
  <c r="G32" i="79"/>
  <c r="I32" i="79" s="1"/>
  <c r="F34" i="75"/>
  <c r="F33" i="79"/>
  <c r="F30" i="73"/>
  <c r="F29" i="76"/>
  <c r="J31" i="79"/>
  <c r="M24" i="77"/>
  <c r="G33" i="79" l="1"/>
  <c r="I33" i="79" s="1"/>
  <c r="J33" i="79" s="1"/>
  <c r="K33" i="79"/>
  <c r="F35" i="75"/>
  <c r="F34" i="79"/>
  <c r="AA56" i="79"/>
  <c r="J32" i="79"/>
  <c r="M25" i="77"/>
  <c r="F31" i="73"/>
  <c r="F30" i="76"/>
  <c r="F32" i="73" l="1"/>
  <c r="F31" i="76"/>
  <c r="G34" i="79"/>
  <c r="I34" i="79" s="1"/>
  <c r="J34" i="79" s="1"/>
  <c r="K34" i="79"/>
  <c r="F36" i="75"/>
  <c r="F35" i="79"/>
  <c r="G35" i="79" l="1"/>
  <c r="I35" i="79" s="1"/>
  <c r="J35" i="79" s="1"/>
  <c r="K35" i="79"/>
  <c r="F36" i="79"/>
  <c r="F37" i="75"/>
  <c r="F37" i="79" s="1"/>
  <c r="F33" i="73"/>
  <c r="F32" i="76"/>
  <c r="K37" i="79" l="1"/>
  <c r="G37" i="79"/>
  <c r="I37" i="79" s="1"/>
  <c r="J37" i="79" s="1"/>
  <c r="G36" i="79"/>
  <c r="I36" i="79" s="1"/>
  <c r="J36" i="79" s="1"/>
  <c r="K36" i="79"/>
  <c r="F34" i="73"/>
  <c r="F33" i="76"/>
  <c r="D24" i="75"/>
  <c r="D23" i="76"/>
  <c r="F35" i="73" l="1"/>
  <c r="F34" i="76"/>
  <c r="D24" i="76"/>
  <c r="D25" i="76" s="1"/>
  <c r="D46" i="76"/>
  <c r="D46" i="75"/>
  <c r="D46" i="73"/>
  <c r="D18" i="73"/>
  <c r="D46" i="71"/>
  <c r="F36" i="73" l="1"/>
  <c r="F35" i="76"/>
  <c r="K18" i="73"/>
  <c r="G18" i="73"/>
  <c r="I18" i="73" s="1"/>
  <c r="D11" i="77" s="1"/>
  <c r="D19" i="73"/>
  <c r="D18" i="71"/>
  <c r="K18" i="71" s="1"/>
  <c r="D46" i="72"/>
  <c r="D18" i="72"/>
  <c r="K19" i="73" l="1"/>
  <c r="G19" i="73"/>
  <c r="I19" i="73" s="1"/>
  <c r="D12" i="77" s="1"/>
  <c r="K18" i="72"/>
  <c r="G18" i="72"/>
  <c r="I18" i="72" s="1"/>
  <c r="E11" i="77" s="1"/>
  <c r="F37" i="73"/>
  <c r="F37" i="76" s="1"/>
  <c r="F36" i="76"/>
  <c r="G18" i="71"/>
  <c r="I18" i="71" s="1"/>
  <c r="D26" i="76"/>
  <c r="D19" i="71"/>
  <c r="K19" i="71" s="1"/>
  <c r="D20" i="73"/>
  <c r="J18" i="73"/>
  <c r="D19" i="72"/>
  <c r="K20" i="73" l="1"/>
  <c r="G20" i="73"/>
  <c r="I20" i="73" s="1"/>
  <c r="D13" i="77" s="1"/>
  <c r="K19" i="72"/>
  <c r="G19" i="72"/>
  <c r="I19" i="72" s="1"/>
  <c r="E12" i="77" s="1"/>
  <c r="J18" i="71"/>
  <c r="G11" i="77"/>
  <c r="D20" i="71"/>
  <c r="G19" i="71"/>
  <c r="I19" i="71" s="1"/>
  <c r="D27" i="76"/>
  <c r="D21" i="73"/>
  <c r="J19" i="73"/>
  <c r="J18" i="72"/>
  <c r="D20" i="72"/>
  <c r="K21" i="73" l="1"/>
  <c r="G21" i="73"/>
  <c r="I21" i="73" s="1"/>
  <c r="D14" i="77" s="1"/>
  <c r="K20" i="72"/>
  <c r="G20" i="72"/>
  <c r="I20" i="72" s="1"/>
  <c r="E13" i="77" s="1"/>
  <c r="G20" i="71"/>
  <c r="I20" i="71" s="1"/>
  <c r="G13" i="77" s="1"/>
  <c r="K20" i="71"/>
  <c r="D21" i="71"/>
  <c r="D28" i="76"/>
  <c r="J20" i="73"/>
  <c r="D22" i="73"/>
  <c r="J19" i="72"/>
  <c r="D21" i="72"/>
  <c r="J20" i="71" l="1"/>
  <c r="G21" i="71"/>
  <c r="I21" i="71" s="1"/>
  <c r="K21" i="71"/>
  <c r="D22" i="71"/>
  <c r="D23" i="71" s="1"/>
  <c r="K21" i="72"/>
  <c r="G21" i="72"/>
  <c r="I21" i="72" s="1"/>
  <c r="E14" i="77" s="1"/>
  <c r="K22" i="73"/>
  <c r="G22" i="73"/>
  <c r="I22" i="73" s="1"/>
  <c r="D15" i="77" s="1"/>
  <c r="J19" i="71"/>
  <c r="G12" i="77"/>
  <c r="D29" i="76"/>
  <c r="J21" i="73"/>
  <c r="D23" i="73"/>
  <c r="J20" i="72"/>
  <c r="D22" i="72"/>
  <c r="G14" i="77" l="1"/>
  <c r="J21" i="71"/>
  <c r="G23" i="71"/>
  <c r="I23" i="71" s="1"/>
  <c r="K23" i="71"/>
  <c r="G22" i="71"/>
  <c r="I22" i="71" s="1"/>
  <c r="G15" i="77" s="1"/>
  <c r="K22" i="71"/>
  <c r="K22" i="72"/>
  <c r="G22" i="72"/>
  <c r="I22" i="72" s="1"/>
  <c r="E15" i="77" s="1"/>
  <c r="K23" i="73"/>
  <c r="G23" i="73"/>
  <c r="I23" i="73" s="1"/>
  <c r="D16" i="77" s="1"/>
  <c r="D30" i="76"/>
  <c r="D24" i="73"/>
  <c r="J22" i="73"/>
  <c r="J21" i="72"/>
  <c r="D23" i="72"/>
  <c r="D24" i="71"/>
  <c r="J22" i="71" l="1"/>
  <c r="K23" i="72"/>
  <c r="G23" i="72"/>
  <c r="I23" i="72" s="1"/>
  <c r="E16" i="77" s="1"/>
  <c r="K24" i="73"/>
  <c r="G24" i="73"/>
  <c r="I24" i="73" s="1"/>
  <c r="G24" i="71"/>
  <c r="I24" i="71" s="1"/>
  <c r="K24" i="71"/>
  <c r="G16" i="77"/>
  <c r="D31" i="76"/>
  <c r="D25" i="75"/>
  <c r="J23" i="73"/>
  <c r="D25" i="73"/>
  <c r="D17" i="77"/>
  <c r="D24" i="72"/>
  <c r="J22" i="72"/>
  <c r="J23" i="71"/>
  <c r="D25" i="71"/>
  <c r="G25" i="71" l="1"/>
  <c r="I25" i="71" s="1"/>
  <c r="K25" i="71"/>
  <c r="K25" i="73"/>
  <c r="G25" i="73"/>
  <c r="I25" i="73" s="1"/>
  <c r="D18" i="77" s="1"/>
  <c r="K24" i="72"/>
  <c r="G24" i="72"/>
  <c r="I24" i="72" s="1"/>
  <c r="E17" i="77" s="1"/>
  <c r="G17" i="77"/>
  <c r="D32" i="76"/>
  <c r="D26" i="75"/>
  <c r="J24" i="73"/>
  <c r="D26" i="73"/>
  <c r="J23" i="72"/>
  <c r="D25" i="72"/>
  <c r="D26" i="71"/>
  <c r="J24" i="71"/>
  <c r="G26" i="71" l="1"/>
  <c r="I26" i="71" s="1"/>
  <c r="K26" i="71"/>
  <c r="K26" i="73"/>
  <c r="G26" i="73"/>
  <c r="I26" i="73" s="1"/>
  <c r="D19" i="77" s="1"/>
  <c r="K25" i="72"/>
  <c r="G25" i="72"/>
  <c r="I25" i="72" s="1"/>
  <c r="E18" i="77" s="1"/>
  <c r="D33" i="76"/>
  <c r="G18" i="77"/>
  <c r="D27" i="75"/>
  <c r="J25" i="73"/>
  <c r="D27" i="73"/>
  <c r="D26" i="72"/>
  <c r="J24" i="72"/>
  <c r="J25" i="71"/>
  <c r="D27" i="71"/>
  <c r="K26" i="72" l="1"/>
  <c r="G26" i="72"/>
  <c r="I26" i="72" s="1"/>
  <c r="E19" i="77" s="1"/>
  <c r="G27" i="71"/>
  <c r="I27" i="71" s="1"/>
  <c r="K27" i="71"/>
  <c r="K27" i="73"/>
  <c r="G27" i="73"/>
  <c r="I27" i="73" s="1"/>
  <c r="D20" i="77" s="1"/>
  <c r="D34" i="76"/>
  <c r="G19" i="77"/>
  <c r="D28" i="75"/>
  <c r="D28" i="73"/>
  <c r="J26" i="73"/>
  <c r="J25" i="72"/>
  <c r="D27" i="72"/>
  <c r="D28" i="71"/>
  <c r="J26" i="71"/>
  <c r="K28" i="73" l="1"/>
  <c r="G28" i="73"/>
  <c r="I28" i="73" s="1"/>
  <c r="D21" i="77" s="1"/>
  <c r="D35" i="76"/>
  <c r="G28" i="71"/>
  <c r="I28" i="71" s="1"/>
  <c r="K28" i="71"/>
  <c r="K27" i="72"/>
  <c r="G27" i="72"/>
  <c r="I27" i="72" s="1"/>
  <c r="E20" i="77" s="1"/>
  <c r="G20" i="77"/>
  <c r="D29" i="75"/>
  <c r="J27" i="73"/>
  <c r="D29" i="73"/>
  <c r="D28" i="72"/>
  <c r="J26" i="72"/>
  <c r="D29" i="71"/>
  <c r="J27" i="71"/>
  <c r="G29" i="71" l="1"/>
  <c r="I29" i="71" s="1"/>
  <c r="K29" i="71"/>
  <c r="K28" i="72"/>
  <c r="G28" i="72"/>
  <c r="I28" i="72" s="1"/>
  <c r="E21" i="77" s="1"/>
  <c r="K29" i="73"/>
  <c r="G29" i="73"/>
  <c r="I29" i="73" s="1"/>
  <c r="D36" i="76"/>
  <c r="D37" i="76" s="1"/>
  <c r="G21" i="77"/>
  <c r="D30" i="75"/>
  <c r="J28" i="73"/>
  <c r="D30" i="73"/>
  <c r="D22" i="77"/>
  <c r="J27" i="72"/>
  <c r="D29" i="72"/>
  <c r="D30" i="71"/>
  <c r="J28" i="71"/>
  <c r="G30" i="71" l="1"/>
  <c r="I30" i="71" s="1"/>
  <c r="K30" i="71"/>
  <c r="K30" i="73"/>
  <c r="G30" i="73"/>
  <c r="I30" i="73" s="1"/>
  <c r="D23" i="77" s="1"/>
  <c r="K29" i="72"/>
  <c r="G29" i="72"/>
  <c r="I29" i="72" s="1"/>
  <c r="E22" i="77" s="1"/>
  <c r="G22" i="77"/>
  <c r="D31" i="75"/>
  <c r="J29" i="73"/>
  <c r="D31" i="73"/>
  <c r="D30" i="72"/>
  <c r="J28" i="72"/>
  <c r="J29" i="71"/>
  <c r="D31" i="71"/>
  <c r="K30" i="72" l="1"/>
  <c r="G30" i="72"/>
  <c r="I30" i="72" s="1"/>
  <c r="E23" i="77" s="1"/>
  <c r="G31" i="71"/>
  <c r="I31" i="71" s="1"/>
  <c r="K31" i="71"/>
  <c r="K31" i="73"/>
  <c r="G31" i="73"/>
  <c r="I31" i="73" s="1"/>
  <c r="D24" i="77" s="1"/>
  <c r="G23" i="77"/>
  <c r="D32" i="75"/>
  <c r="D32" i="73"/>
  <c r="J30" i="73"/>
  <c r="D31" i="72"/>
  <c r="J29" i="72"/>
  <c r="J30" i="71"/>
  <c r="D32" i="71"/>
  <c r="G32" i="71" l="1"/>
  <c r="I32" i="71" s="1"/>
  <c r="K32" i="71"/>
  <c r="K32" i="73"/>
  <c r="G32" i="73"/>
  <c r="I32" i="73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K31" i="72"/>
  <c r="G31" i="72"/>
  <c r="I31" i="72" s="1"/>
  <c r="D33" i="75"/>
  <c r="D33" i="73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D33" i="71"/>
  <c r="H26" i="77"/>
  <c r="G24" i="77"/>
  <c r="J31" i="73"/>
  <c r="D32" i="72"/>
  <c r="E24" i="77"/>
  <c r="J30" i="72"/>
  <c r="J31" i="71"/>
  <c r="K32" i="72" l="1"/>
  <c r="G32" i="72"/>
  <c r="I32" i="72" s="1"/>
  <c r="K33" i="73"/>
  <c r="G33" i="73"/>
  <c r="I33" i="73" s="1"/>
  <c r="G33" i="71"/>
  <c r="I33" i="71" s="1"/>
  <c r="K33" i="71"/>
  <c r="D34" i="75"/>
  <c r="D35" i="75" s="1"/>
  <c r="J32" i="73"/>
  <c r="J32" i="71"/>
  <c r="D50" i="77"/>
  <c r="D34" i="73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D33" i="72"/>
  <c r="D34" i="7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J31" i="72"/>
  <c r="K34" i="73" l="1"/>
  <c r="G34" i="73"/>
  <c r="I34" i="73" s="1"/>
  <c r="G34" i="71"/>
  <c r="I34" i="71" s="1"/>
  <c r="K34" i="71"/>
  <c r="K33" i="72"/>
  <c r="G33" i="72"/>
  <c r="I33" i="72" s="1"/>
  <c r="D36" i="75"/>
  <c r="J33" i="73"/>
  <c r="D35" i="73"/>
  <c r="E50" i="77"/>
  <c r="J32" i="72"/>
  <c r="D34" i="72"/>
  <c r="D35" i="71"/>
  <c r="J33" i="71"/>
  <c r="K34" i="72" l="1"/>
  <c r="G34" i="72"/>
  <c r="I34" i="72" s="1"/>
  <c r="G35" i="71"/>
  <c r="I35" i="71" s="1"/>
  <c r="K35" i="71"/>
  <c r="K35" i="73"/>
  <c r="G35" i="73"/>
  <c r="I35" i="73" s="1"/>
  <c r="D37" i="75"/>
  <c r="D36" i="73"/>
  <c r="J34" i="73"/>
  <c r="J33" i="72"/>
  <c r="D35" i="72"/>
  <c r="J34" i="71"/>
  <c r="D36" i="71"/>
  <c r="K35" i="72" l="1"/>
  <c r="G35" i="72"/>
  <c r="I35" i="72" s="1"/>
  <c r="G36" i="71"/>
  <c r="I36" i="71" s="1"/>
  <c r="K36" i="71"/>
  <c r="K36" i="73"/>
  <c r="G36" i="73"/>
  <c r="I36" i="73" s="1"/>
  <c r="D37" i="71"/>
  <c r="K37" i="71" s="1"/>
  <c r="D37" i="73"/>
  <c r="J35" i="73"/>
  <c r="J34" i="72"/>
  <c r="D36" i="72"/>
  <c r="J35" i="71"/>
  <c r="K36" i="72" l="1"/>
  <c r="G36" i="72"/>
  <c r="I36" i="72" s="1"/>
  <c r="K37" i="73"/>
  <c r="G37" i="73"/>
  <c r="I37" i="73" s="1"/>
  <c r="G37" i="71"/>
  <c r="I37" i="71" s="1"/>
  <c r="J36" i="71"/>
  <c r="J36" i="73"/>
  <c r="D37" i="72"/>
  <c r="J35" i="72"/>
  <c r="K37" i="72" l="1"/>
  <c r="G37" i="72"/>
  <c r="I37" i="72" s="1"/>
  <c r="J37" i="71"/>
  <c r="J37" i="73"/>
  <c r="J36" i="72"/>
  <c r="J37" i="72" l="1"/>
  <c r="K32" i="75" l="1"/>
  <c r="K32" i="76"/>
  <c r="G31" i="75" l="1"/>
  <c r="I31" i="75" s="1"/>
  <c r="C24" i="77" s="1"/>
  <c r="K31" i="75"/>
  <c r="G26" i="75"/>
  <c r="I26" i="75" s="1"/>
  <c r="C19" i="77" s="1"/>
  <c r="K26" i="75"/>
  <c r="G31" i="76"/>
  <c r="I31" i="76" s="1"/>
  <c r="K31" i="76"/>
  <c r="G29" i="76"/>
  <c r="I29" i="76" s="1"/>
  <c r="K29" i="76"/>
  <c r="G30" i="76"/>
  <c r="I30" i="76" s="1"/>
  <c r="K30" i="76"/>
  <c r="G30" i="75"/>
  <c r="I30" i="75" s="1"/>
  <c r="C23" i="77" s="1"/>
  <c r="K30" i="75"/>
  <c r="G28" i="75"/>
  <c r="I28" i="75" s="1"/>
  <c r="C21" i="77" s="1"/>
  <c r="K28" i="75"/>
  <c r="G25" i="75"/>
  <c r="I25" i="75" s="1"/>
  <c r="C18" i="77" s="1"/>
  <c r="K25" i="75"/>
  <c r="G24" i="76"/>
  <c r="I24" i="76" s="1"/>
  <c r="K24" i="76"/>
  <c r="G23" i="76"/>
  <c r="I23" i="76" s="1"/>
  <c r="K23" i="76"/>
  <c r="G29" i="75"/>
  <c r="I29" i="75" s="1"/>
  <c r="C22" i="77" s="1"/>
  <c r="K29" i="75"/>
  <c r="G24" i="75"/>
  <c r="I24" i="75" s="1"/>
  <c r="C17" i="77" s="1"/>
  <c r="K24" i="75"/>
  <c r="G28" i="76"/>
  <c r="I28" i="76" s="1"/>
  <c r="K28" i="76"/>
  <c r="G27" i="75"/>
  <c r="I27" i="75" s="1"/>
  <c r="C20" i="77" s="1"/>
  <c r="K27" i="75"/>
  <c r="G27" i="76"/>
  <c r="I27" i="76" s="1"/>
  <c r="K27" i="76"/>
  <c r="G25" i="76"/>
  <c r="I25" i="76" s="1"/>
  <c r="K25" i="76"/>
  <c r="G26" i="76"/>
  <c r="I26" i="76" s="1"/>
  <c r="K26" i="76"/>
  <c r="E33" i="75"/>
  <c r="G32" i="75"/>
  <c r="I32" i="75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E33" i="76"/>
  <c r="E34" i="76" s="1"/>
  <c r="G32" i="76"/>
  <c r="I32" i="76" s="1"/>
  <c r="G34" i="76" l="1"/>
  <c r="I34" i="76" s="1"/>
  <c r="J34" i="76" s="1"/>
  <c r="K34" i="76"/>
  <c r="G33" i="75"/>
  <c r="K33" i="75"/>
  <c r="G33" i="76"/>
  <c r="I33" i="76" s="1"/>
  <c r="J33" i="76" s="1"/>
  <c r="K33" i="76"/>
  <c r="E34" i="75"/>
  <c r="E35" i="76"/>
  <c r="L23" i="77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J30" i="76"/>
  <c r="J31" i="76"/>
  <c r="J25" i="76"/>
  <c r="J32" i="76"/>
  <c r="J28" i="76"/>
  <c r="J29" i="76"/>
  <c r="J26" i="76"/>
  <c r="J27" i="76"/>
  <c r="J23" i="76"/>
  <c r="J24" i="76"/>
  <c r="J30" i="75"/>
  <c r="J31" i="75"/>
  <c r="J24" i="75"/>
  <c r="J32" i="75"/>
  <c r="J25" i="75"/>
  <c r="J26" i="75"/>
  <c r="J27" i="75"/>
  <c r="J28" i="75"/>
  <c r="J29" i="75"/>
  <c r="G35" i="76" l="1"/>
  <c r="I35" i="76" s="1"/>
  <c r="J35" i="76" s="1"/>
  <c r="K35" i="76"/>
  <c r="G34" i="75"/>
  <c r="I34" i="75" s="1"/>
  <c r="J34" i="75" s="1"/>
  <c r="K34" i="75"/>
  <c r="I33" i="75"/>
  <c r="J33" i="75" s="1"/>
  <c r="E35" i="75"/>
  <c r="E36" i="76"/>
  <c r="L50" i="77"/>
  <c r="AA56" i="76"/>
  <c r="AA56" i="75"/>
  <c r="G36" i="76" l="1"/>
  <c r="I36" i="76" s="1"/>
  <c r="J36" i="76" s="1"/>
  <c r="K36" i="76"/>
  <c r="G35" i="75"/>
  <c r="K35" i="75"/>
  <c r="E36" i="75"/>
  <c r="E37" i="76"/>
  <c r="E12" i="70"/>
  <c r="K12" i="70" s="1"/>
  <c r="D50" i="70"/>
  <c r="C70" i="70"/>
  <c r="T60" i="70"/>
  <c r="Q60" i="70"/>
  <c r="T59" i="70"/>
  <c r="T58" i="70"/>
  <c r="D52" i="70"/>
  <c r="C52" i="70"/>
  <c r="C51" i="70"/>
  <c r="C50" i="70"/>
  <c r="C49" i="70"/>
  <c r="C48" i="70"/>
  <c r="H12" i="70"/>
  <c r="B11" i="70"/>
  <c r="B12" i="70" s="1"/>
  <c r="C71" i="70" l="1"/>
  <c r="I35" i="75"/>
  <c r="J35" i="75" s="1"/>
  <c r="G37" i="76"/>
  <c r="I37" i="76" s="1"/>
  <c r="J37" i="76" s="1"/>
  <c r="K37" i="76"/>
  <c r="G36" i="75"/>
  <c r="K36" i="75"/>
  <c r="E37" i="75"/>
  <c r="B3" i="70"/>
  <c r="C55" i="70" s="1"/>
  <c r="B9" i="70" s="1"/>
  <c r="B13" i="70"/>
  <c r="C72" i="70"/>
  <c r="G37" i="75" l="1"/>
  <c r="I37" i="75" s="1"/>
  <c r="J37" i="75" s="1"/>
  <c r="K37" i="75"/>
  <c r="I36" i="75"/>
  <c r="J36" i="75" s="1"/>
  <c r="B14" i="70"/>
  <c r="B15" i="70" s="1"/>
  <c r="B16" i="70" s="1"/>
  <c r="B17" i="70" s="1"/>
  <c r="B18" i="70" s="1"/>
  <c r="C73" i="70"/>
  <c r="B19" i="70" l="1"/>
  <c r="C74" i="70"/>
  <c r="C75" i="70" l="1"/>
  <c r="B20" i="70"/>
  <c r="C76" i="70" l="1"/>
  <c r="B21" i="70"/>
  <c r="D48" i="68"/>
  <c r="D9" i="28"/>
  <c r="B22" i="70" l="1"/>
  <c r="C77" i="70"/>
  <c r="C82" i="68"/>
  <c r="C83" i="68" l="1"/>
  <c r="F69" i="70"/>
  <c r="B23" i="70"/>
  <c r="C84" i="68"/>
  <c r="F70" i="70" l="1"/>
  <c r="B24" i="70"/>
  <c r="C85" i="68"/>
  <c r="B25" i="70" l="1"/>
  <c r="F71" i="70"/>
  <c r="C86" i="68"/>
  <c r="F72" i="70" l="1"/>
  <c r="B26" i="70"/>
  <c r="C87" i="68"/>
  <c r="B27" i="70" l="1"/>
  <c r="F73" i="70"/>
  <c r="C88" i="68"/>
  <c r="F74" i="70" l="1"/>
  <c r="B28" i="70"/>
  <c r="C89" i="68"/>
  <c r="B29" i="70" l="1"/>
  <c r="F75" i="70"/>
  <c r="F81" i="68"/>
  <c r="F76" i="70" l="1"/>
  <c r="B30" i="70"/>
  <c r="F82" i="68"/>
  <c r="B31" i="70" l="1"/>
  <c r="F77" i="70"/>
  <c r="F83" i="68"/>
  <c r="I69" i="70" l="1"/>
  <c r="B32" i="70"/>
  <c r="F84" i="68"/>
  <c r="B33" i="70" l="1"/>
  <c r="I70" i="70"/>
  <c r="F85" i="68"/>
  <c r="B34" i="70" l="1"/>
  <c r="I71" i="70"/>
  <c r="F86" i="68"/>
  <c r="B35" i="70" l="1"/>
  <c r="I72" i="70"/>
  <c r="F87" i="68"/>
  <c r="B36" i="70" l="1"/>
  <c r="I73" i="70"/>
  <c r="F88" i="68"/>
  <c r="B37" i="70" l="1"/>
  <c r="B38" i="70" s="1"/>
  <c r="B39" i="70" s="1"/>
  <c r="B40" i="70" s="1"/>
  <c r="B41" i="70" s="1"/>
  <c r="I74" i="70"/>
  <c r="F89" i="68"/>
  <c r="I75" i="70" l="1"/>
  <c r="I81" i="68"/>
  <c r="I76" i="70" l="1"/>
  <c r="I82" i="68"/>
  <c r="I77" i="70" l="1"/>
  <c r="E13" i="70"/>
  <c r="H13" i="70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I83" i="68"/>
  <c r="I78" i="70" l="1"/>
  <c r="I79" i="70"/>
  <c r="F19" i="70"/>
  <c r="F20" i="70" s="1"/>
  <c r="F21" i="70" s="1"/>
  <c r="F22" i="70" s="1"/>
  <c r="F23" i="70" s="1"/>
  <c r="F24" i="70" s="1"/>
  <c r="F25" i="70" s="1"/>
  <c r="F26" i="70" s="1"/>
  <c r="F27" i="70" s="1"/>
  <c r="F28" i="70" s="1"/>
  <c r="F29" i="70" s="1"/>
  <c r="F30" i="70" s="1"/>
  <c r="F31" i="70" s="1"/>
  <c r="F32" i="70" s="1"/>
  <c r="F33" i="70" s="1"/>
  <c r="F34" i="70" s="1"/>
  <c r="F35" i="70" s="1"/>
  <c r="F36" i="70" s="1"/>
  <c r="F37" i="70" s="1"/>
  <c r="F38" i="70" s="1"/>
  <c r="F39" i="70" s="1"/>
  <c r="F40" i="70" s="1"/>
  <c r="F41" i="70" s="1"/>
  <c r="E14" i="70"/>
  <c r="K13" i="70"/>
  <c r="I84" i="68"/>
  <c r="I80" i="70" l="1"/>
  <c r="E15" i="70"/>
  <c r="K14" i="70"/>
  <c r="H37" i="70"/>
  <c r="H38" i="70" s="1"/>
  <c r="H39" i="70" s="1"/>
  <c r="H40" i="70" s="1"/>
  <c r="H41" i="70" s="1"/>
  <c r="I85" i="68"/>
  <c r="I81" i="70" l="1"/>
  <c r="E16" i="70"/>
  <c r="K15" i="70"/>
  <c r="I86" i="68"/>
  <c r="E17" i="70" l="1"/>
  <c r="K16" i="70"/>
  <c r="I87" i="68"/>
  <c r="K17" i="70" l="1"/>
  <c r="E18" i="70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E38" i="70" s="1"/>
  <c r="E39" i="70" s="1"/>
  <c r="E40" i="70" s="1"/>
  <c r="E41" i="70" s="1"/>
  <c r="I88" i="68"/>
  <c r="I89" i="68" l="1"/>
  <c r="D45" i="68" l="1"/>
  <c r="J61" i="68"/>
  <c r="C71" i="68"/>
  <c r="I56" i="68" s="1"/>
  <c r="H56" i="68"/>
  <c r="K62" i="68"/>
  <c r="J62" i="68"/>
  <c r="G62" i="68"/>
  <c r="F62" i="68"/>
  <c r="C62" i="68"/>
  <c r="K61" i="68"/>
  <c r="G61" i="68"/>
  <c r="F61" i="68"/>
  <c r="F63" i="68" s="1"/>
  <c r="C61" i="68"/>
  <c r="I57" i="68"/>
  <c r="H57" i="68"/>
  <c r="F57" i="68"/>
  <c r="F56" i="68"/>
  <c r="D50" i="68"/>
  <c r="C50" i="68"/>
  <c r="C49" i="68"/>
  <c r="C48" i="68"/>
  <c r="D47" i="68"/>
  <c r="C47" i="68"/>
  <c r="C46" i="68"/>
  <c r="C45" i="68"/>
  <c r="E66" i="68"/>
  <c r="B15" i="68"/>
  <c r="B16" i="68" s="1"/>
  <c r="B12" i="68"/>
  <c r="B5" i="68"/>
  <c r="H62" i="68" l="1"/>
  <c r="B17" i="68"/>
  <c r="B18" i="68" s="1"/>
  <c r="H61" i="68"/>
  <c r="H63" i="68" s="1"/>
  <c r="I61" i="68" s="1"/>
  <c r="F58" i="68"/>
  <c r="H58" i="68" s="1"/>
  <c r="B19" i="68" l="1"/>
  <c r="I62" i="68"/>
  <c r="I63" i="68" s="1"/>
  <c r="G63" i="68"/>
  <c r="D46" i="68" s="1"/>
  <c r="D76" i="68"/>
  <c r="G56" i="68"/>
  <c r="I58" i="68"/>
  <c r="B20" i="68" l="1"/>
  <c r="K63" i="68"/>
  <c r="J63" i="68"/>
  <c r="F16" i="68" s="1"/>
  <c r="G57" i="68"/>
  <c r="G58" i="68" s="1"/>
  <c r="F17" i="68" l="1"/>
  <c r="L16" i="68"/>
  <c r="B21" i="68"/>
  <c r="D49" i="68"/>
  <c r="F18" i="68" l="1"/>
  <c r="L17" i="68"/>
  <c r="B22" i="68"/>
  <c r="F19" i="68" l="1"/>
  <c r="L18" i="68"/>
  <c r="B23" i="68"/>
  <c r="F20" i="68" l="1"/>
  <c r="L19" i="68"/>
  <c r="B24" i="68"/>
  <c r="L20" i="68" l="1"/>
  <c r="F21" i="68"/>
  <c r="B25" i="68"/>
  <c r="E25" i="68"/>
  <c r="L21" i="68" l="1"/>
  <c r="F22" i="68"/>
  <c r="B26" i="68"/>
  <c r="E26" i="68" s="1"/>
  <c r="D24" i="68"/>
  <c r="D25" i="68" s="1"/>
  <c r="L22" i="68" l="1"/>
  <c r="F23" i="68"/>
  <c r="B27" i="68"/>
  <c r="E27" i="68" s="1"/>
  <c r="D26" i="68"/>
  <c r="L23" i="68" l="1"/>
  <c r="F24" i="68"/>
  <c r="F25" i="68" s="1"/>
  <c r="B28" i="68"/>
  <c r="E28" i="68" s="1"/>
  <c r="D27" i="68"/>
  <c r="F26" i="68" l="1"/>
  <c r="G24" i="68"/>
  <c r="H24" i="68" s="1"/>
  <c r="B29" i="68"/>
  <c r="E29" i="68" s="1"/>
  <c r="G25" i="68"/>
  <c r="H25" i="68" s="1"/>
  <c r="D28" i="68"/>
  <c r="L25" i="68" l="1"/>
  <c r="L24" i="68"/>
  <c r="F27" i="68"/>
  <c r="B30" i="68"/>
  <c r="E30" i="68" s="1"/>
  <c r="G26" i="68"/>
  <c r="H26" i="68" s="1"/>
  <c r="D29" i="68"/>
  <c r="F28" i="68" l="1"/>
  <c r="L26" i="68"/>
  <c r="B31" i="68"/>
  <c r="E31" i="68" s="1"/>
  <c r="G27" i="68"/>
  <c r="H27" i="68" s="1"/>
  <c r="D30" i="68"/>
  <c r="L27" i="68" l="1"/>
  <c r="F29" i="68"/>
  <c r="B32" i="68"/>
  <c r="E32" i="68" s="1"/>
  <c r="G28" i="68"/>
  <c r="H28" i="68" s="1"/>
  <c r="D31" i="68"/>
  <c r="L28" i="68" l="1"/>
  <c r="F30" i="68"/>
  <c r="B33" i="68"/>
  <c r="E33" i="68" s="1"/>
  <c r="G29" i="68"/>
  <c r="H29" i="68" s="1"/>
  <c r="D32" i="68"/>
  <c r="F31" i="68" l="1"/>
  <c r="L29" i="68"/>
  <c r="B34" i="68"/>
  <c r="E34" i="68" s="1"/>
  <c r="G30" i="68"/>
  <c r="H30" i="68" s="1"/>
  <c r="D33" i="68"/>
  <c r="L30" i="68" l="1"/>
  <c r="F32" i="68"/>
  <c r="B35" i="68"/>
  <c r="E35" i="68" s="1"/>
  <c r="G31" i="68"/>
  <c r="H31" i="68" s="1"/>
  <c r="D34" i="68"/>
  <c r="F33" i="68" l="1"/>
  <c r="L31" i="68"/>
  <c r="B36" i="68"/>
  <c r="B37" i="68" s="1"/>
  <c r="B38" i="68" s="1"/>
  <c r="B39" i="68" s="1"/>
  <c r="B40" i="68" s="1"/>
  <c r="G32" i="68"/>
  <c r="H32" i="68" s="1"/>
  <c r="D35" i="68"/>
  <c r="F34" i="68" l="1"/>
  <c r="L32" i="68"/>
  <c r="E36" i="68"/>
  <c r="G33" i="68"/>
  <c r="H33" i="68" s="1"/>
  <c r="D36" i="68"/>
  <c r="D37" i="68" s="1"/>
  <c r="F35" i="68" l="1"/>
  <c r="E37" i="68"/>
  <c r="L33" i="68"/>
  <c r="D38" i="68"/>
  <c r="G34" i="68"/>
  <c r="H34" i="68" s="1"/>
  <c r="E38" i="68" l="1"/>
  <c r="F36" i="68"/>
  <c r="L34" i="68"/>
  <c r="D39" i="68"/>
  <c r="G35" i="68"/>
  <c r="H35" i="68" s="1"/>
  <c r="F37" i="68" l="1"/>
  <c r="L35" i="68"/>
  <c r="G36" i="68"/>
  <c r="H36" i="68" s="1"/>
  <c r="E39" i="68"/>
  <c r="D40" i="68"/>
  <c r="D49" i="70"/>
  <c r="D18" i="70"/>
  <c r="K18" i="70" l="1"/>
  <c r="G18" i="70"/>
  <c r="I18" i="70" s="1"/>
  <c r="F11" i="77" s="1"/>
  <c r="L36" i="68"/>
  <c r="E40" i="68"/>
  <c r="G37" i="68"/>
  <c r="H37" i="68" s="1"/>
  <c r="F38" i="68"/>
  <c r="D19" i="70"/>
  <c r="L37" i="68" l="1"/>
  <c r="K19" i="70"/>
  <c r="G19" i="70"/>
  <c r="I19" i="70" s="1"/>
  <c r="F12" i="77" s="1"/>
  <c r="F39" i="68"/>
  <c r="G38" i="68"/>
  <c r="H38" i="68" s="1"/>
  <c r="D20" i="70"/>
  <c r="J18" i="70"/>
  <c r="K20" i="70" l="1"/>
  <c r="G20" i="70"/>
  <c r="I20" i="70" s="1"/>
  <c r="F40" i="68"/>
  <c r="G39" i="68"/>
  <c r="H39" i="68" s="1"/>
  <c r="L38" i="68"/>
  <c r="F13" i="77"/>
  <c r="D21" i="70"/>
  <c r="J19" i="70"/>
  <c r="K21" i="70" l="1"/>
  <c r="G21" i="70"/>
  <c r="I21" i="70" s="1"/>
  <c r="F14" i="77" s="1"/>
  <c r="G40" i="68"/>
  <c r="H40" i="68" s="1"/>
  <c r="L39" i="68"/>
  <c r="D22" i="70"/>
  <c r="J20" i="70"/>
  <c r="L40" i="68" l="1"/>
  <c r="K22" i="70"/>
  <c r="G22" i="70"/>
  <c r="I22" i="70" s="1"/>
  <c r="F15" i="77" s="1"/>
  <c r="J21" i="70"/>
  <c r="D23" i="70"/>
  <c r="K23" i="70" l="1"/>
  <c r="G23" i="70"/>
  <c r="I23" i="70" s="1"/>
  <c r="F16" i="77" s="1"/>
  <c r="J22" i="70"/>
  <c r="D24" i="70"/>
  <c r="K24" i="70" l="1"/>
  <c r="G24" i="70"/>
  <c r="I24" i="70" s="1"/>
  <c r="F17" i="77" s="1"/>
  <c r="J23" i="70"/>
  <c r="D25" i="70"/>
  <c r="K25" i="70" l="1"/>
  <c r="G25" i="70"/>
  <c r="I25" i="70" s="1"/>
  <c r="D26" i="70"/>
  <c r="F18" i="77"/>
  <c r="J24" i="70"/>
  <c r="K26" i="70" l="1"/>
  <c r="G26" i="70"/>
  <c r="I26" i="70" s="1"/>
  <c r="F19" i="77" s="1"/>
  <c r="J25" i="70"/>
  <c r="D27" i="70"/>
  <c r="K27" i="70" l="1"/>
  <c r="G27" i="70"/>
  <c r="I27" i="70" s="1"/>
  <c r="J26" i="70"/>
  <c r="F20" i="77"/>
  <c r="D28" i="70"/>
  <c r="K28" i="70" l="1"/>
  <c r="G28" i="70"/>
  <c r="I28" i="70" s="1"/>
  <c r="F21" i="77" s="1"/>
  <c r="D29" i="70"/>
  <c r="J27" i="70"/>
  <c r="K29" i="70" l="1"/>
  <c r="G29" i="70"/>
  <c r="I29" i="70" s="1"/>
  <c r="F22" i="77" s="1"/>
  <c r="D30" i="70"/>
  <c r="J28" i="70"/>
  <c r="K30" i="70" l="1"/>
  <c r="G30" i="70"/>
  <c r="I30" i="70" s="1"/>
  <c r="F23" i="77" s="1"/>
  <c r="J29" i="70"/>
  <c r="D31" i="70"/>
  <c r="K31" i="70" l="1"/>
  <c r="G31" i="70"/>
  <c r="I31" i="70" s="1"/>
  <c r="F24" i="77" s="1"/>
  <c r="J30" i="70"/>
  <c r="D32" i="70"/>
  <c r="K32" i="70" l="1"/>
  <c r="G32" i="70"/>
  <c r="I32" i="70" s="1"/>
  <c r="F25" i="77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D33" i="70"/>
  <c r="J31" i="70"/>
  <c r="K33" i="70" l="1"/>
  <c r="G33" i="70"/>
  <c r="I33" i="70" s="1"/>
  <c r="J32" i="70"/>
  <c r="F50" i="77"/>
  <c r="D34" i="70"/>
  <c r="K34" i="70" l="1"/>
  <c r="G34" i="70"/>
  <c r="I34" i="70" s="1"/>
  <c r="D35" i="70"/>
  <c r="J33" i="70"/>
  <c r="K35" i="70" l="1"/>
  <c r="G35" i="70"/>
  <c r="I35" i="70" s="1"/>
  <c r="J34" i="70"/>
  <c r="D36" i="70"/>
  <c r="K36" i="70" l="1"/>
  <c r="G36" i="70"/>
  <c r="I36" i="70" s="1"/>
  <c r="J36" i="70" s="1"/>
  <c r="D37" i="70"/>
  <c r="D38" i="70" s="1"/>
  <c r="J35" i="70"/>
  <c r="K38" i="70" l="1"/>
  <c r="G38" i="70"/>
  <c r="I38" i="70" s="1"/>
  <c r="J38" i="70" s="1"/>
  <c r="D39" i="70"/>
  <c r="K37" i="70"/>
  <c r="G37" i="70"/>
  <c r="I37" i="70" s="1"/>
  <c r="J37" i="70" s="1"/>
  <c r="D40" i="70" l="1"/>
  <c r="D41" i="70" s="1"/>
  <c r="K39" i="70"/>
  <c r="G39" i="70"/>
  <c r="I39" i="70" s="1"/>
  <c r="J39" i="70" s="1"/>
  <c r="E12" i="67"/>
  <c r="K12" i="67" s="1"/>
  <c r="K41" i="70" l="1"/>
  <c r="G41" i="70"/>
  <c r="I41" i="70" s="1"/>
  <c r="J41" i="70" s="1"/>
  <c r="K40" i="70"/>
  <c r="G40" i="70"/>
  <c r="I40" i="70" s="1"/>
  <c r="J40" i="70" s="1"/>
  <c r="U57" i="43" l="1"/>
  <c r="U56" i="43"/>
  <c r="U55" i="43"/>
  <c r="T55" i="67"/>
  <c r="T57" i="67"/>
  <c r="T56" i="67"/>
  <c r="C67" i="67" l="1"/>
  <c r="H12" i="67"/>
  <c r="Q57" i="67"/>
  <c r="D49" i="67"/>
  <c r="C49" i="67"/>
  <c r="D47" i="67"/>
  <c r="C47" i="67"/>
  <c r="C46" i="67"/>
  <c r="C45" i="67"/>
  <c r="B11" i="67"/>
  <c r="B12" i="67" s="1"/>
  <c r="B3" i="67"/>
  <c r="C52" i="67" s="1"/>
  <c r="B9" i="67" s="1"/>
  <c r="C68" i="67" l="1"/>
  <c r="B13" i="67"/>
  <c r="C69" i="67" l="1"/>
  <c r="C70" i="67"/>
  <c r="B14" i="67"/>
  <c r="C71" i="67" l="1"/>
  <c r="B15" i="67"/>
  <c r="B16" i="67" l="1"/>
  <c r="C72" i="67"/>
  <c r="C73" i="67" l="1"/>
  <c r="B17" i="67"/>
  <c r="B18" i="67" l="1"/>
  <c r="F18" i="67"/>
  <c r="C74" i="67"/>
  <c r="B19" i="67" l="1"/>
  <c r="F66" i="67"/>
  <c r="F67" i="67" l="1"/>
  <c r="B20" i="67"/>
  <c r="F68" i="67" l="1"/>
  <c r="B21" i="67"/>
  <c r="B22" i="67" l="1"/>
  <c r="F69" i="67"/>
  <c r="F70" i="67" l="1"/>
  <c r="B23" i="67"/>
  <c r="F71" i="67" l="1"/>
  <c r="B24" i="67"/>
  <c r="F72" i="67" l="1"/>
  <c r="B25" i="67"/>
  <c r="B26" i="67" l="1"/>
  <c r="F73" i="67"/>
  <c r="F74" i="67" l="1"/>
  <c r="B27" i="67"/>
  <c r="B28" i="67" l="1"/>
  <c r="I66" i="67"/>
  <c r="I67" i="67" l="1"/>
  <c r="B29" i="67"/>
  <c r="I68" i="67" l="1"/>
  <c r="B30" i="67"/>
  <c r="I69" i="67" l="1"/>
  <c r="B31" i="67"/>
  <c r="B32" i="67" l="1"/>
  <c r="I70" i="67"/>
  <c r="B33" i="67" l="1"/>
  <c r="B34" i="67" s="1"/>
  <c r="B35" i="67" s="1"/>
  <c r="B36" i="67" s="1"/>
  <c r="B37" i="67" s="1"/>
  <c r="I71" i="67"/>
  <c r="I72" i="67" l="1"/>
  <c r="I73" i="67" l="1"/>
  <c r="I74" i="67" l="1"/>
  <c r="F19" i="67" l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E13" i="67"/>
  <c r="K13" i="67" s="1"/>
  <c r="H13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E14" i="67" l="1"/>
  <c r="K14" i="67" s="1"/>
  <c r="E15" i="67" l="1"/>
  <c r="K15" i="67" s="1"/>
  <c r="E16" i="67" l="1"/>
  <c r="K16" i="67" s="1"/>
  <c r="E17" i="67" l="1"/>
  <c r="K17" i="67" s="1"/>
  <c r="E18" i="67" l="1"/>
  <c r="E19" i="67" s="1"/>
  <c r="E20" i="67" l="1"/>
  <c r="E21" i="67" l="1"/>
  <c r="E22" i="67" l="1"/>
  <c r="E23" i="67" l="1"/>
  <c r="D46" i="67"/>
  <c r="E24" i="67" l="1"/>
  <c r="E25" i="67" l="1"/>
  <c r="D18" i="67"/>
  <c r="K18" i="67" l="1"/>
  <c r="G18" i="67"/>
  <c r="E26" i="67"/>
  <c r="D19" i="67"/>
  <c r="K19" i="67" l="1"/>
  <c r="G19" i="67"/>
  <c r="E27" i="67"/>
  <c r="D20" i="67"/>
  <c r="K20" i="67" l="1"/>
  <c r="G20" i="67"/>
  <c r="E28" i="67"/>
  <c r="D21" i="67"/>
  <c r="K21" i="67" l="1"/>
  <c r="G21" i="67"/>
  <c r="E29" i="67"/>
  <c r="D22" i="67"/>
  <c r="K22" i="67" l="1"/>
  <c r="G22" i="67"/>
  <c r="E30" i="67"/>
  <c r="D23" i="67"/>
  <c r="K23" i="67" l="1"/>
  <c r="G23" i="67"/>
  <c r="E31" i="67"/>
  <c r="D24" i="67"/>
  <c r="K24" i="67" l="1"/>
  <c r="G24" i="67"/>
  <c r="E32" i="67"/>
  <c r="E33" i="67" s="1"/>
  <c r="E34" i="67" s="1"/>
  <c r="E35" i="67" s="1"/>
  <c r="E36" i="67" s="1"/>
  <c r="E37" i="67" s="1"/>
  <c r="D25" i="67"/>
  <c r="K25" i="67" l="1"/>
  <c r="G25" i="67"/>
  <c r="D26" i="67"/>
  <c r="K26" i="67" l="1"/>
  <c r="G26" i="67"/>
  <c r="D27" i="67"/>
  <c r="K27" i="67" l="1"/>
  <c r="G27" i="67"/>
  <c r="D28" i="67"/>
  <c r="K28" i="67" l="1"/>
  <c r="G28" i="67"/>
  <c r="D29" i="67"/>
  <c r="K29" i="67" l="1"/>
  <c r="G29" i="67"/>
  <c r="D30" i="67"/>
  <c r="K30" i="67" l="1"/>
  <c r="G30" i="67"/>
  <c r="D31" i="67"/>
  <c r="K31" i="67" l="1"/>
  <c r="G31" i="67"/>
  <c r="D32" i="67"/>
  <c r="D33" i="67" l="1"/>
  <c r="D34" i="67" s="1"/>
  <c r="K32" i="67"/>
  <c r="G32" i="67"/>
  <c r="I28" i="67"/>
  <c r="I24" i="67"/>
  <c r="I20" i="67"/>
  <c r="I31" i="67"/>
  <c r="I27" i="67"/>
  <c r="I23" i="67"/>
  <c r="I19" i="67"/>
  <c r="I30" i="67"/>
  <c r="I26" i="67"/>
  <c r="I22" i="67"/>
  <c r="I18" i="67"/>
  <c r="I29" i="67"/>
  <c r="I25" i="67"/>
  <c r="I21" i="67"/>
  <c r="K34" i="67" l="1"/>
  <c r="G34" i="67"/>
  <c r="K33" i="67"/>
  <c r="G33" i="67"/>
  <c r="I33" i="67" s="1"/>
  <c r="J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D35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50" i="77" l="1"/>
  <c r="K35" i="67"/>
  <c r="G35" i="67"/>
  <c r="I34" i="67"/>
  <c r="J34" i="67" s="1"/>
  <c r="D36" i="67"/>
  <c r="I50" i="77"/>
  <c r="J18" i="67"/>
  <c r="J32" i="67"/>
  <c r="J28" i="67"/>
  <c r="J24" i="67"/>
  <c r="J20" i="67"/>
  <c r="J31" i="67"/>
  <c r="J27" i="67"/>
  <c r="J23" i="67"/>
  <c r="J19" i="67"/>
  <c r="J30" i="67"/>
  <c r="J26" i="67"/>
  <c r="J22" i="67"/>
  <c r="J29" i="67"/>
  <c r="J25" i="67"/>
  <c r="J21" i="67"/>
  <c r="K36" i="67" l="1"/>
  <c r="G36" i="67"/>
  <c r="I35" i="67"/>
  <c r="J35" i="67" s="1"/>
  <c r="D37" i="67"/>
  <c r="K37" i="67" l="1"/>
  <c r="G37" i="67"/>
  <c r="I37" i="67" s="1"/>
  <c r="J37" i="67" s="1"/>
  <c r="I36" i="67"/>
  <c r="J36" i="67" s="1"/>
  <c r="R57" i="43" l="1"/>
  <c r="C43" i="47" l="1"/>
  <c r="C65" i="80"/>
  <c r="C65" i="79"/>
  <c r="C65" i="78"/>
  <c r="C65" i="73"/>
  <c r="C65" i="71"/>
  <c r="C65" i="76"/>
  <c r="C65" i="75"/>
  <c r="C65" i="72"/>
  <c r="C68" i="70"/>
  <c r="C80" i="68"/>
  <c r="C65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s="1"/>
  <c r="B13" i="43" l="1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AG11" i="47"/>
  <c r="H11" i="47"/>
  <c r="J11" i="47" s="1"/>
  <c r="W11" i="47"/>
  <c r="C11" i="47"/>
  <c r="R11" i="47"/>
  <c r="O11" i="47"/>
  <c r="B12" i="47"/>
  <c r="M12" i="47" l="1"/>
  <c r="AV12" i="47"/>
  <c r="AX12" i="47" s="1"/>
  <c r="BA12" i="47"/>
  <c r="BC12" i="47" s="1"/>
  <c r="AL12" i="47"/>
  <c r="AQ12" i="47"/>
  <c r="AS12" i="47" s="1"/>
  <c r="H12" i="47"/>
  <c r="AG12" i="47"/>
  <c r="O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L15" i="47" l="1"/>
  <c r="AQ15" i="47"/>
  <c r="AS15" i="47" s="1"/>
  <c r="AV15" i="47"/>
  <c r="AX15" i="47" s="1"/>
  <c r="BA15" i="47"/>
  <c r="BC15" i="47" s="1"/>
  <c r="M15" i="47"/>
  <c r="O15" i="47" s="1"/>
  <c r="AG15" i="47"/>
  <c r="H15" i="47"/>
  <c r="B16" i="47"/>
  <c r="C10" i="25"/>
  <c r="BA16" i="47" l="1"/>
  <c r="M16" i="47"/>
  <c r="O16" i="47" s="1"/>
  <c r="AL16" i="47"/>
  <c r="AQ16" i="47"/>
  <c r="AS16" i="47" s="1"/>
  <c r="AV16" i="47"/>
  <c r="H16" i="47"/>
  <c r="AG16" i="47"/>
  <c r="BC16" i="47"/>
  <c r="AX16" i="47"/>
  <c r="B17" i="47"/>
  <c r="AV17" i="47" l="1"/>
  <c r="AX17" i="47" s="1"/>
  <c r="M17" i="47"/>
  <c r="O17" i="47" s="1"/>
  <c r="AQ17" i="47"/>
  <c r="AS17" i="47" s="1"/>
  <c r="AL17" i="47"/>
  <c r="AG17" i="47"/>
  <c r="H17" i="47"/>
  <c r="B18" i="47"/>
  <c r="F44" i="47"/>
  <c r="AQ18" i="47" l="1"/>
  <c r="AS18" i="47" s="1"/>
  <c r="M18" i="47"/>
  <c r="AV18" i="47"/>
  <c r="AX18" i="47" s="1"/>
  <c r="AL18" i="47"/>
  <c r="B19" i="47"/>
  <c r="AI11" i="47"/>
  <c r="F45" i="47"/>
  <c r="AQ19" i="47" l="1"/>
  <c r="AS19" i="47" s="1"/>
  <c r="M19" i="47"/>
  <c r="AL19" i="47"/>
  <c r="AV19" i="47"/>
  <c r="AX19" i="47" s="1"/>
  <c r="B20" i="47"/>
  <c r="AN11" i="47"/>
  <c r="AI12" i="47"/>
  <c r="Y11" i="47"/>
  <c r="F46" i="47"/>
  <c r="D46" i="43"/>
  <c r="C67" i="43"/>
  <c r="C49" i="43"/>
  <c r="C48" i="43"/>
  <c r="C47" i="43"/>
  <c r="C46" i="43"/>
  <c r="C45" i="43"/>
  <c r="AQ20" i="47" l="1"/>
  <c r="AS20" i="47" s="1"/>
  <c r="M20" i="47"/>
  <c r="AV20" i="47"/>
  <c r="AX20" i="47" s="1"/>
  <c r="AL20" i="47"/>
  <c r="B21" i="47"/>
  <c r="AN12" i="47"/>
  <c r="AI13" i="47"/>
  <c r="J12" i="47"/>
  <c r="C68" i="43"/>
  <c r="F47" i="47"/>
  <c r="D47" i="43"/>
  <c r="B3" i="43"/>
  <c r="C52" i="43" s="1"/>
  <c r="B9" i="43" s="1"/>
  <c r="M21" i="47" l="1"/>
  <c r="AQ21" i="47"/>
  <c r="AV21" i="47"/>
  <c r="AX21" i="47" s="1"/>
  <c r="C69" i="43"/>
  <c r="B22" i="47"/>
  <c r="AN13" i="47"/>
  <c r="AI14" i="47"/>
  <c r="J13" i="47"/>
  <c r="F48" i="47"/>
  <c r="C70" i="43" l="1"/>
  <c r="M22" i="47"/>
  <c r="AV22" i="47"/>
  <c r="AX22" i="47" s="1"/>
  <c r="AQ22" i="47"/>
  <c r="B23" i="47"/>
  <c r="AN14" i="47"/>
  <c r="AI15" i="47"/>
  <c r="J14" i="47"/>
  <c r="F49" i="47"/>
  <c r="C71" i="43"/>
  <c r="B14" i="43"/>
  <c r="AV23" i="47" l="1"/>
  <c r="AQ23" i="47"/>
  <c r="M23" i="47"/>
  <c r="B24" i="47"/>
  <c r="AX23" i="47"/>
  <c r="AN15" i="47"/>
  <c r="AI16" i="47"/>
  <c r="J15" i="47"/>
  <c r="F50" i="47"/>
  <c r="B15" i="43"/>
  <c r="C72" i="43"/>
  <c r="AQ24" i="47" l="1"/>
  <c r="AV24" i="47"/>
  <c r="AX24" i="47" s="1"/>
  <c r="B25" i="47"/>
  <c r="O18" i="47"/>
  <c r="AN16" i="47"/>
  <c r="AI17" i="47"/>
  <c r="J16" i="47"/>
  <c r="F51" i="47"/>
  <c r="C73" i="43"/>
  <c r="B16" i="43"/>
  <c r="B26" i="47" l="1"/>
  <c r="O19" i="47"/>
  <c r="AN17" i="47"/>
  <c r="J17" i="47"/>
  <c r="F52" i="47"/>
  <c r="B17" i="43"/>
  <c r="C74" i="43"/>
  <c r="B27" i="47" l="1"/>
  <c r="AN18" i="47"/>
  <c r="I44" i="47"/>
  <c r="F66" i="43"/>
  <c r="B18" i="43"/>
  <c r="B28" i="47" l="1"/>
  <c r="O20" i="47"/>
  <c r="AN19" i="47"/>
  <c r="M24" i="47"/>
  <c r="I45" i="47"/>
  <c r="F67" i="43"/>
  <c r="B19" i="43"/>
  <c r="M25" i="47" l="1"/>
  <c r="B29" i="47"/>
  <c r="AS21" i="47"/>
  <c r="O21" i="47"/>
  <c r="AN20" i="47"/>
  <c r="I46" i="47"/>
  <c r="F68" i="43"/>
  <c r="B20" i="43"/>
  <c r="AQ25" i="47" l="1"/>
  <c r="AV25" i="47"/>
  <c r="B30" i="47"/>
  <c r="AS22" i="47"/>
  <c r="O22" i="47"/>
  <c r="I47" i="47"/>
  <c r="B21" i="43"/>
  <c r="F69" i="43"/>
  <c r="AV26" i="47" l="1"/>
  <c r="M26" i="47"/>
  <c r="AQ26" i="47"/>
  <c r="AQ27" i="47" s="1"/>
  <c r="B31" i="47"/>
  <c r="AS23" i="47"/>
  <c r="O23" i="47"/>
  <c r="I48" i="47"/>
  <c r="F70" i="43"/>
  <c r="B22" i="43"/>
  <c r="AV27" i="47" l="1"/>
  <c r="M27" i="47"/>
  <c r="M28" i="47" s="1"/>
  <c r="B32" i="47"/>
  <c r="I49" i="47"/>
  <c r="B23" i="43"/>
  <c r="F71" i="43"/>
  <c r="AV28" i="47" l="1"/>
  <c r="AQ28" i="47"/>
  <c r="AS24" i="47"/>
  <c r="I50" i="47"/>
  <c r="B24" i="43"/>
  <c r="F72" i="43"/>
  <c r="AV29" i="47" l="1"/>
  <c r="AQ29" i="47"/>
  <c r="M29" i="47"/>
  <c r="I51" i="47"/>
  <c r="B25" i="43"/>
  <c r="F73" i="43"/>
  <c r="M30" i="47" l="1"/>
  <c r="AV30" i="47"/>
  <c r="AQ30" i="47"/>
  <c r="I52" i="47"/>
  <c r="F74" i="43"/>
  <c r="B26" i="43"/>
  <c r="H18" i="47" l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M31" i="47"/>
  <c r="AN31" i="47"/>
  <c r="AQ31" i="47"/>
  <c r="AV31" i="47"/>
  <c r="O24" i="47"/>
  <c r="E11" i="47"/>
  <c r="I66" i="43"/>
  <c r="B27" i="43"/>
  <c r="AB32" i="47" l="1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M32" i="47"/>
  <c r="O25" i="47"/>
  <c r="BC17" i="47"/>
  <c r="BH12" i="47"/>
  <c r="AN21" i="47"/>
  <c r="AS25" i="47"/>
  <c r="AX25" i="47"/>
  <c r="AI19" i="47"/>
  <c r="Y12" i="47"/>
  <c r="J18" i="47"/>
  <c r="T11" i="47"/>
  <c r="AD11" i="47"/>
  <c r="I67" i="43"/>
  <c r="B28" i="43"/>
  <c r="O26" i="47" l="1"/>
  <c r="BH13" i="47"/>
  <c r="BC18" i="47"/>
  <c r="AX26" i="47"/>
  <c r="AS26" i="47"/>
  <c r="AN22" i="47"/>
  <c r="AI20" i="47"/>
  <c r="Y13" i="47"/>
  <c r="J19" i="47"/>
  <c r="E12" i="47"/>
  <c r="T12" i="47"/>
  <c r="AD12" i="47"/>
  <c r="I68" i="43"/>
  <c r="E13" i="47"/>
  <c r="B29" i="43"/>
  <c r="I69" i="43" l="1"/>
  <c r="BC19" i="47"/>
  <c r="BH14" i="47"/>
  <c r="O27" i="47"/>
  <c r="AN23" i="47"/>
  <c r="AS27" i="47"/>
  <c r="AX27" i="47"/>
  <c r="AI21" i="47"/>
  <c r="J20" i="47"/>
  <c r="Y14" i="47"/>
  <c r="AD13" i="47"/>
  <c r="T13" i="47"/>
  <c r="E14" i="47"/>
  <c r="B30" i="43"/>
  <c r="I70" i="43" l="1"/>
  <c r="BH15" i="47"/>
  <c r="BC20" i="47"/>
  <c r="AX28" i="47"/>
  <c r="AN24" i="47"/>
  <c r="AS28" i="47"/>
  <c r="O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I71" i="43" l="1"/>
  <c r="BC21" i="47"/>
  <c r="BH16" i="47"/>
  <c r="O29" i="47"/>
  <c r="AN25" i="47"/>
  <c r="AX29" i="47"/>
  <c r="AS29" i="47"/>
  <c r="AI23" i="47"/>
  <c r="Y16" i="47"/>
  <c r="J22" i="47"/>
  <c r="T15" i="47"/>
  <c r="AD15" i="47"/>
  <c r="E16" i="47"/>
  <c r="I72" i="43" l="1"/>
  <c r="BH17" i="47"/>
  <c r="BC22" i="47"/>
  <c r="AN26" i="47"/>
  <c r="AS30" i="47"/>
  <c r="AX30" i="47"/>
  <c r="O30" i="47"/>
  <c r="AI24" i="47"/>
  <c r="J23" i="47"/>
  <c r="Y17" i="47"/>
  <c r="AD16" i="47"/>
  <c r="T16" i="47"/>
  <c r="E33" i="43"/>
  <c r="E34" i="43" s="1"/>
  <c r="E17" i="47"/>
  <c r="I73" i="43" l="1"/>
  <c r="E35" i="43"/>
  <c r="BC23" i="47"/>
  <c r="BH18" i="47"/>
  <c r="O31" i="47"/>
  <c r="AN27" i="47"/>
  <c r="AI25" i="47"/>
  <c r="Y18" i="47"/>
  <c r="J24" i="47"/>
  <c r="T17" i="47"/>
  <c r="AD17" i="47"/>
  <c r="E18" i="47"/>
  <c r="I74" i="43" l="1"/>
  <c r="E36" i="43"/>
  <c r="BH19" i="47"/>
  <c r="BC24" i="47"/>
  <c r="O32" i="47"/>
  <c r="AN28" i="47"/>
  <c r="AI26" i="47"/>
  <c r="J25" i="47"/>
  <c r="Y19" i="47"/>
  <c r="AD18" i="47"/>
  <c r="T18" i="47"/>
  <c r="E19" i="47"/>
  <c r="F19" i="43" l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BC25" i="47"/>
  <c r="BH20" i="47"/>
  <c r="AN29" i="47"/>
  <c r="AI27" i="47"/>
  <c r="J26" i="47"/>
  <c r="Y20" i="47"/>
  <c r="T19" i="47"/>
  <c r="AD19" i="47"/>
  <c r="E20" i="47"/>
  <c r="E37" i="43" l="1"/>
  <c r="BH21" i="47"/>
  <c r="BC26" i="47"/>
  <c r="AN30" i="47"/>
  <c r="AI28" i="47"/>
  <c r="Y21" i="47"/>
  <c r="J27" i="47"/>
  <c r="T20" i="47"/>
  <c r="AD20" i="47"/>
  <c r="E21" i="47"/>
  <c r="BC27" i="47" l="1"/>
  <c r="BH22" i="47"/>
  <c r="AI29" i="47"/>
  <c r="J28" i="47"/>
  <c r="Y22" i="47"/>
  <c r="T21" i="47"/>
  <c r="AD21" i="47"/>
  <c r="E22" i="47"/>
  <c r="BH23" i="47" l="1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C65" i="43" l="1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I38" i="68" s="1"/>
  <c r="J38" i="68" s="1"/>
  <c r="K38" i="68" s="1"/>
  <c r="D27" i="28"/>
  <c r="I27" i="68" s="1"/>
  <c r="J27" i="68" s="1"/>
  <c r="K27" i="68" s="1"/>
  <c r="D17" i="28"/>
  <c r="D35" i="28"/>
  <c r="I35" i="68" s="1"/>
  <c r="J35" i="68" s="1"/>
  <c r="K35" i="68" s="1"/>
  <c r="D36" i="28"/>
  <c r="I36" i="68" s="1"/>
  <c r="J36" i="68" s="1"/>
  <c r="K36" i="68" s="1"/>
  <c r="D32" i="28"/>
  <c r="I32" i="68" s="1"/>
  <c r="J32" i="68" s="1"/>
  <c r="K32" i="68" s="1"/>
  <c r="D28" i="28"/>
  <c r="I28" i="68" s="1"/>
  <c r="J28" i="68" s="1"/>
  <c r="K28" i="68" s="1"/>
  <c r="D24" i="28"/>
  <c r="I24" i="68" s="1"/>
  <c r="J24" i="68" s="1"/>
  <c r="K24" i="68" s="1"/>
  <c r="D20" i="28"/>
  <c r="D31" i="28"/>
  <c r="I31" i="68" s="1"/>
  <c r="J31" i="68" s="1"/>
  <c r="K31" i="68" s="1"/>
  <c r="D23" i="28"/>
  <c r="D19" i="28"/>
  <c r="D34" i="28"/>
  <c r="I34" i="68" s="1"/>
  <c r="J34" i="68" s="1"/>
  <c r="K34" i="68" s="1"/>
  <c r="D30" i="28"/>
  <c r="I30" i="68" s="1"/>
  <c r="J30" i="68" s="1"/>
  <c r="K30" i="68" s="1"/>
  <c r="D26" i="28"/>
  <c r="I26" i="68" s="1"/>
  <c r="J26" i="68" s="1"/>
  <c r="K26" i="68" s="1"/>
  <c r="D22" i="28"/>
  <c r="D18" i="28"/>
  <c r="D37" i="28"/>
  <c r="I37" i="68" s="1"/>
  <c r="J37" i="68" s="1"/>
  <c r="K37" i="68" s="1"/>
  <c r="D33" i="28"/>
  <c r="I33" i="68" s="1"/>
  <c r="J33" i="68" s="1"/>
  <c r="K33" i="68" s="1"/>
  <c r="D29" i="28"/>
  <c r="I29" i="68" s="1"/>
  <c r="J29" i="68" s="1"/>
  <c r="K29" i="68" s="1"/>
  <c r="D25" i="28"/>
  <c r="I25" i="68" s="1"/>
  <c r="J25" i="68" s="1"/>
  <c r="K25" i="68" s="1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I39" i="68" l="1"/>
  <c r="I40" i="68" s="1"/>
  <c r="J40" i="68" s="1"/>
  <c r="K40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J39" i="68" l="1"/>
  <c r="K39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277" i="31" s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289" i="31" s="1"/>
  <c r="I61" i="31"/>
  <c r="I136" i="31"/>
  <c r="I256" i="31" s="1"/>
  <c r="I17" i="31"/>
  <c r="I28" i="31"/>
  <c r="I158" i="31"/>
  <c r="I278" i="31" s="1"/>
  <c r="I50" i="31"/>
  <c r="I170" i="31" l="1"/>
  <c r="I290" i="31" s="1"/>
  <c r="I62" i="31"/>
  <c r="I148" i="31"/>
  <c r="I268" i="31" s="1"/>
  <c r="I40" i="31"/>
  <c r="I159" i="31"/>
  <c r="I279" i="31" s="1"/>
  <c r="I51" i="31"/>
  <c r="I137" i="31"/>
  <c r="I257" i="31" s="1"/>
  <c r="I29" i="31"/>
  <c r="I18" i="31"/>
  <c r="I181" i="31"/>
  <c r="I301" i="31" s="1"/>
  <c r="I73" i="31"/>
  <c r="I193" i="31" l="1"/>
  <c r="I313" i="31" s="1"/>
  <c r="I138" i="31"/>
  <c r="I258" i="31" s="1"/>
  <c r="I19" i="31"/>
  <c r="I30" i="31"/>
  <c r="I182" i="31"/>
  <c r="I302" i="31" s="1"/>
  <c r="I74" i="31"/>
  <c r="I85" i="31"/>
  <c r="I149" i="31"/>
  <c r="I269" i="31" s="1"/>
  <c r="I41" i="31"/>
  <c r="I171" i="31"/>
  <c r="I291" i="31" s="1"/>
  <c r="I63" i="31"/>
  <c r="I160" i="31"/>
  <c r="I280" i="31" s="1"/>
  <c r="I52" i="31"/>
  <c r="I194" i="31" l="1"/>
  <c r="I314" i="31" s="1"/>
  <c r="I205" i="31"/>
  <c r="I172" i="31"/>
  <c r="I292" i="31" s="1"/>
  <c r="I64" i="31"/>
  <c r="I161" i="31"/>
  <c r="I281" i="31" s="1"/>
  <c r="I53" i="31"/>
  <c r="I97" i="31"/>
  <c r="I150" i="31"/>
  <c r="I270" i="31" s="1"/>
  <c r="I42" i="31"/>
  <c r="I183" i="31"/>
  <c r="I303" i="31" s="1"/>
  <c r="I75" i="31"/>
  <c r="I86" i="31"/>
  <c r="I139" i="31"/>
  <c r="I259" i="31" s="1"/>
  <c r="I31" i="31"/>
  <c r="I20" i="31"/>
  <c r="I206" i="31" l="1"/>
  <c r="I217" i="31"/>
  <c r="I195" i="31"/>
  <c r="I315" i="31" s="1"/>
  <c r="I151" i="31"/>
  <c r="I271" i="31" s="1"/>
  <c r="I43" i="31"/>
  <c r="I87" i="31"/>
  <c r="I162" i="31"/>
  <c r="I282" i="31" s="1"/>
  <c r="I54" i="31"/>
  <c r="I109" i="31"/>
  <c r="I184" i="31"/>
  <c r="I304" i="31" s="1"/>
  <c r="I76" i="31"/>
  <c r="I140" i="31"/>
  <c r="I260" i="31" s="1"/>
  <c r="I21" i="31"/>
  <c r="I32" i="31"/>
  <c r="I98" i="31"/>
  <c r="I173" i="31"/>
  <c r="I293" i="31" s="1"/>
  <c r="I65" i="31"/>
  <c r="I229" i="31" l="1"/>
  <c r="I218" i="31"/>
  <c r="I196" i="31"/>
  <c r="I316" i="31" s="1"/>
  <c r="I207" i="31"/>
  <c r="I152" i="31"/>
  <c r="I272" i="31" s="1"/>
  <c r="I44" i="31"/>
  <c r="I174" i="31"/>
  <c r="I294" i="31" s="1"/>
  <c r="I66" i="31"/>
  <c r="I185" i="31"/>
  <c r="I305" i="31" s="1"/>
  <c r="I77" i="31"/>
  <c r="I110" i="31"/>
  <c r="I141" i="31"/>
  <c r="I261" i="31" s="1"/>
  <c r="I33" i="31"/>
  <c r="I22" i="31"/>
  <c r="I88" i="31"/>
  <c r="I121" i="31"/>
  <c r="I99" i="31"/>
  <c r="I163" i="31"/>
  <c r="I283" i="31" s="1"/>
  <c r="I55" i="31"/>
  <c r="I208" i="31" l="1"/>
  <c r="I230" i="31"/>
  <c r="I197" i="31"/>
  <c r="I317" i="31" s="1"/>
  <c r="I219" i="31"/>
  <c r="I241" i="31"/>
  <c r="I175" i="31"/>
  <c r="I295" i="31" s="1"/>
  <c r="I67" i="31"/>
  <c r="I100" i="31"/>
  <c r="I153" i="31"/>
  <c r="I273" i="31" s="1"/>
  <c r="I45" i="31"/>
  <c r="I122" i="31"/>
  <c r="I164" i="31"/>
  <c r="I284" i="31" s="1"/>
  <c r="I56" i="31"/>
  <c r="I111" i="31"/>
  <c r="I142" i="31"/>
  <c r="I262" i="31" s="1"/>
  <c r="I23" i="31"/>
  <c r="I34" i="31"/>
  <c r="I89" i="31"/>
  <c r="I186" i="31"/>
  <c r="I306" i="31" s="1"/>
  <c r="I78" i="31"/>
  <c r="I209" i="31" l="1"/>
  <c r="I231" i="31"/>
  <c r="I220" i="31"/>
  <c r="I198" i="31"/>
  <c r="I318" i="31" s="1"/>
  <c r="I242" i="31"/>
  <c r="I90" i="31"/>
  <c r="I143" i="31"/>
  <c r="I263" i="31" s="1"/>
  <c r="I35" i="31"/>
  <c r="I24" i="31"/>
  <c r="I123" i="31"/>
  <c r="I187" i="31"/>
  <c r="I307" i="31" s="1"/>
  <c r="I79" i="31"/>
  <c r="I101" i="31"/>
  <c r="I154" i="31"/>
  <c r="I274" i="31" s="1"/>
  <c r="I46" i="31"/>
  <c r="I176" i="31"/>
  <c r="I296" i="31" s="1"/>
  <c r="I68" i="31"/>
  <c r="I165" i="31"/>
  <c r="I285" i="31" s="1"/>
  <c r="I57" i="31"/>
  <c r="I112" i="31"/>
  <c r="I210" i="31" l="1"/>
  <c r="I221" i="31"/>
  <c r="I232" i="31"/>
  <c r="I199" i="31"/>
  <c r="I319" i="31" s="1"/>
  <c r="I243" i="31"/>
  <c r="I177" i="31"/>
  <c r="I297" i="31" s="1"/>
  <c r="I69" i="31"/>
  <c r="I188" i="31"/>
  <c r="I308" i="31" s="1"/>
  <c r="I80" i="31"/>
  <c r="I113" i="31"/>
  <c r="I91" i="31"/>
  <c r="I155" i="31"/>
  <c r="I275" i="31" s="1"/>
  <c r="I47" i="31"/>
  <c r="I124" i="31"/>
  <c r="I166" i="31"/>
  <c r="I286" i="31" s="1"/>
  <c r="I58" i="31"/>
  <c r="I144" i="31"/>
  <c r="I264" i="31" s="1"/>
  <c r="I36" i="31"/>
  <c r="I102" i="31"/>
  <c r="I233" i="31" l="1"/>
  <c r="I200" i="31"/>
  <c r="I320" i="31" s="1"/>
  <c r="I222" i="31"/>
  <c r="I211" i="31"/>
  <c r="I244" i="31"/>
  <c r="I114" i="31"/>
  <c r="I103" i="31"/>
  <c r="I189" i="31"/>
  <c r="I309" i="31" s="1"/>
  <c r="I81" i="31"/>
  <c r="I156" i="31"/>
  <c r="I276" i="31" s="1"/>
  <c r="I48" i="31"/>
  <c r="I178" i="31"/>
  <c r="I298" i="31" s="1"/>
  <c r="I70" i="31"/>
  <c r="I167" i="31"/>
  <c r="I287" i="31" s="1"/>
  <c r="I59" i="31"/>
  <c r="I125" i="31"/>
  <c r="I92" i="31"/>
  <c r="I223" i="31" l="1"/>
  <c r="I234" i="31"/>
  <c r="I201" i="31"/>
  <c r="I321" i="31" s="1"/>
  <c r="I212" i="31"/>
  <c r="I245" i="31"/>
  <c r="I104" i="31"/>
  <c r="I190" i="31"/>
  <c r="I310" i="31" s="1"/>
  <c r="I82" i="31"/>
  <c r="I93" i="31"/>
  <c r="I179" i="31"/>
  <c r="I299" i="31" s="1"/>
  <c r="I71" i="31"/>
  <c r="I168" i="31"/>
  <c r="I288" i="31" s="1"/>
  <c r="I60" i="31"/>
  <c r="I115" i="31"/>
  <c r="I126" i="31"/>
  <c r="I202" i="31" l="1"/>
  <c r="I322" i="31" s="1"/>
  <c r="I235" i="31"/>
  <c r="I224" i="31"/>
  <c r="I213" i="31"/>
  <c r="I246" i="31"/>
  <c r="I127" i="31"/>
  <c r="I191" i="31"/>
  <c r="I311" i="31" s="1"/>
  <c r="I83" i="31"/>
  <c r="I105" i="31"/>
  <c r="I94" i="31"/>
  <c r="I180" i="31"/>
  <c r="I300" i="31" s="1"/>
  <c r="I72" i="31"/>
  <c r="I116" i="31"/>
  <c r="I236" i="31" l="1"/>
  <c r="I225" i="31"/>
  <c r="I203" i="31"/>
  <c r="I323" i="31" s="1"/>
  <c r="I214" i="31"/>
  <c r="I247" i="31"/>
  <c r="I117" i="31"/>
  <c r="I95" i="31"/>
  <c r="I128" i="31"/>
  <c r="I192" i="31"/>
  <c r="I312" i="31" s="1"/>
  <c r="I84" i="31"/>
  <c r="I106" i="31"/>
  <c r="I204" i="31" l="1"/>
  <c r="I324" i="31" s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I13" i="25" l="1"/>
  <c r="BW13" i="25"/>
  <c r="BV13" i="25"/>
  <c r="BT13" i="25"/>
  <c r="BS13" i="25"/>
  <c r="BR13" i="25"/>
  <c r="BP13" i="25"/>
  <c r="BN13" i="25"/>
  <c r="BM13" i="25"/>
  <c r="BK13" i="25"/>
  <c r="BH13" i="25"/>
  <c r="BY13" i="25"/>
  <c r="BG13" i="25"/>
  <c r="DA13" i="25"/>
  <c r="DB13" i="25" s="1"/>
  <c r="J15" i="31"/>
  <c r="B16" i="31"/>
  <c r="L28" i="31"/>
  <c r="B17" i="31" l="1"/>
  <c r="J16" i="31"/>
  <c r="L29" i="31"/>
  <c r="L30" i="31" l="1"/>
  <c r="J17" i="31"/>
  <c r="B18" i="31"/>
  <c r="J18" i="31" l="1"/>
  <c r="B19" i="31"/>
  <c r="L31" i="31"/>
  <c r="B20" i="31" l="1"/>
  <c r="J19" i="31"/>
  <c r="L32" i="31"/>
  <c r="L33" i="31" l="1"/>
  <c r="J20" i="31"/>
  <c r="B21" i="31"/>
  <c r="B22" i="31" l="1"/>
  <c r="J21" i="31"/>
  <c r="L34" i="31"/>
  <c r="J22" i="31" l="1"/>
  <c r="B23" i="31"/>
  <c r="L35" i="31"/>
  <c r="L36" i="31" l="1"/>
  <c r="L37" i="31" s="1"/>
  <c r="L38" i="31" s="1"/>
  <c r="L39" i="31" s="1"/>
  <c r="L40" i="31" s="1"/>
  <c r="L41" i="31" s="1"/>
  <c r="L42" i="31" s="1"/>
  <c r="J23" i="31"/>
  <c r="B24" i="31"/>
  <c r="B25" i="31" l="1"/>
  <c r="J24" i="31"/>
  <c r="J25" i="31" l="1"/>
  <c r="B26" i="31"/>
  <c r="B27" i="31" l="1"/>
  <c r="J26" i="31"/>
  <c r="B28" i="31" l="1"/>
  <c r="J27" i="31"/>
  <c r="J28" i="31" l="1"/>
  <c r="B29" i="31"/>
  <c r="B29" i="25" l="1"/>
  <c r="B30" i="31"/>
  <c r="J29" i="31"/>
  <c r="B30" i="25" l="1"/>
  <c r="O29" i="25"/>
  <c r="B31" i="31"/>
  <c r="J30" i="31"/>
  <c r="BI29" i="25" l="1"/>
  <c r="BW29" i="25"/>
  <c r="BV29" i="25"/>
  <c r="BT29" i="25"/>
  <c r="BS29" i="25"/>
  <c r="BR29" i="25"/>
  <c r="BP29" i="25"/>
  <c r="BN29" i="25"/>
  <c r="BM29" i="25"/>
  <c r="BK29" i="25"/>
  <c r="BH29" i="25"/>
  <c r="BY29" i="25"/>
  <c r="BG29" i="25"/>
  <c r="B32" i="31"/>
  <c r="J31" i="31"/>
  <c r="DA29" i="25"/>
  <c r="DB29" i="25" s="1"/>
  <c r="O30" i="25"/>
  <c r="B31" i="25"/>
  <c r="BI30" i="25" l="1"/>
  <c r="BW30" i="25"/>
  <c r="BV30" i="25"/>
  <c r="BT30" i="25"/>
  <c r="BS30" i="25"/>
  <c r="BR30" i="25"/>
  <c r="BP30" i="25"/>
  <c r="BN30" i="25"/>
  <c r="BM30" i="25"/>
  <c r="BK30" i="25"/>
  <c r="BH30" i="25"/>
  <c r="BY30" i="25"/>
  <c r="BG30" i="25"/>
  <c r="O31" i="25"/>
  <c r="B32" i="25"/>
  <c r="DA30" i="25"/>
  <c r="DB30" i="25" s="1"/>
  <c r="J32" i="31"/>
  <c r="B33" i="31"/>
  <c r="AQ31" i="25" l="1"/>
  <c r="AN31" i="25"/>
  <c r="AM31" i="25"/>
  <c r="AL31" i="25"/>
  <c r="DA31" i="25"/>
  <c r="DB31" i="25" s="1"/>
  <c r="BI31" i="25"/>
  <c r="BG31" i="25"/>
  <c r="BW31" i="25"/>
  <c r="BT31" i="25"/>
  <c r="BM31" i="25"/>
  <c r="BS31" i="25"/>
  <c r="BN31" i="25"/>
  <c r="BP31" i="25"/>
  <c r="BK31" i="25"/>
  <c r="BH31" i="25"/>
  <c r="BY31" i="25"/>
  <c r="BR31" i="25"/>
  <c r="BV31" i="25"/>
  <c r="B33" i="25"/>
  <c r="O32" i="25"/>
  <c r="B34" i="31"/>
  <c r="J33" i="31"/>
  <c r="DA32" i="25" l="1"/>
  <c r="DB32" i="25" s="1"/>
  <c r="BI32" i="25"/>
  <c r="BG32" i="25"/>
  <c r="BW32" i="25"/>
  <c r="BT32" i="25"/>
  <c r="BM32" i="25"/>
  <c r="BN32" i="25"/>
  <c r="BS32" i="25"/>
  <c r="BP32" i="25"/>
  <c r="BK32" i="25"/>
  <c r="BH32" i="25"/>
  <c r="BY32" i="25"/>
  <c r="BR32" i="25"/>
  <c r="BV32" i="25"/>
  <c r="B34" i="25"/>
  <c r="O33" i="25"/>
  <c r="B35" i="31"/>
  <c r="J34" i="31"/>
  <c r="DA33" i="25" l="1"/>
  <c r="DB33" i="25" s="1"/>
  <c r="BI33" i="25"/>
  <c r="BG33" i="25"/>
  <c r="BW33" i="25"/>
  <c r="BT33" i="25"/>
  <c r="BM33" i="25"/>
  <c r="BN33" i="25"/>
  <c r="BS33" i="25"/>
  <c r="BP33" i="25"/>
  <c r="BK33" i="25"/>
  <c r="BH33" i="25"/>
  <c r="BY33" i="25"/>
  <c r="BR33" i="25"/>
  <c r="BV33" i="25"/>
  <c r="O34" i="25"/>
  <c r="B35" i="25"/>
  <c r="J35" i="31"/>
  <c r="B36" i="31"/>
  <c r="BG34" i="25" l="1"/>
  <c r="BI34" i="25"/>
  <c r="DA34" i="25"/>
  <c r="DB34" i="25" s="1"/>
  <c r="BY34" i="25"/>
  <c r="BW34" i="25"/>
  <c r="BT34" i="25"/>
  <c r="BM34" i="25"/>
  <c r="BS34" i="25"/>
  <c r="BN34" i="25"/>
  <c r="BP34" i="25"/>
  <c r="BK34" i="25"/>
  <c r="BH34" i="25"/>
  <c r="BR34" i="25"/>
  <c r="BV34" i="25"/>
  <c r="B36" i="25"/>
  <c r="O35" i="25"/>
  <c r="B37" i="31"/>
  <c r="J36" i="31"/>
  <c r="BT35" i="25" l="1"/>
  <c r="BM35" i="25"/>
  <c r="BH35" i="25"/>
  <c r="BV35" i="25"/>
  <c r="BI35" i="25"/>
  <c r="DA35" i="25"/>
  <c r="DB35" i="25" s="1"/>
  <c r="BY35" i="25"/>
  <c r="BS35" i="25"/>
  <c r="BK35" i="25"/>
  <c r="BG35" i="25"/>
  <c r="BN35" i="25"/>
  <c r="BW35" i="25"/>
  <c r="BP35" i="25"/>
  <c r="BR35" i="25"/>
  <c r="O36" i="25"/>
  <c r="B37" i="25"/>
  <c r="B38" i="31"/>
  <c r="J37" i="31"/>
  <c r="DA36" i="25" l="1"/>
  <c r="DB36" i="25" s="1"/>
  <c r="BY36" i="25"/>
  <c r="BS36" i="25"/>
  <c r="BK36" i="25"/>
  <c r="BG36" i="25"/>
  <c r="BM36" i="25"/>
  <c r="BW36" i="25"/>
  <c r="BP36" i="25"/>
  <c r="BT36" i="25"/>
  <c r="BH36" i="25"/>
  <c r="BV36" i="25"/>
  <c r="BN36" i="25"/>
  <c r="BI36" i="25"/>
  <c r="BR36" i="25"/>
  <c r="B38" i="25"/>
  <c r="O37" i="25"/>
  <c r="B39" i="31"/>
  <c r="J38" i="31"/>
  <c r="DA37" i="25" l="1"/>
  <c r="DB37" i="25" s="1"/>
  <c r="BW37" i="25"/>
  <c r="BP37" i="25"/>
  <c r="BJ37" i="25"/>
  <c r="BS37" i="25"/>
  <c r="BG37" i="25"/>
  <c r="BV37" i="25"/>
  <c r="BN37" i="25"/>
  <c r="BI37" i="25"/>
  <c r="BY37" i="25"/>
  <c r="BK37" i="25"/>
  <c r="BT37" i="25"/>
  <c r="BM37" i="25"/>
  <c r="BH37" i="25"/>
  <c r="BR37" i="25"/>
  <c r="O38" i="25"/>
  <c r="J39" i="31"/>
  <c r="B40" i="31"/>
  <c r="DA38" i="25" l="1"/>
  <c r="DB38" i="25" s="1"/>
  <c r="BV38" i="25"/>
  <c r="BN38" i="25"/>
  <c r="BI38" i="25"/>
  <c r="BW38" i="25"/>
  <c r="BJ38" i="25"/>
  <c r="BT38" i="25"/>
  <c r="BM38" i="25"/>
  <c r="BH38" i="25"/>
  <c r="BP38" i="25"/>
  <c r="BY38" i="25"/>
  <c r="BS38" i="25"/>
  <c r="BK38" i="25"/>
  <c r="BG38" i="25"/>
  <c r="BR38" i="25"/>
  <c r="B41" i="3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B267" i="31" l="1"/>
  <c r="J266" i="31"/>
  <c r="B268" i="31" l="1"/>
  <c r="J267" i="31"/>
  <c r="J268" i="31" l="1"/>
  <c r="B269" i="31"/>
  <c r="J269" i="31" l="1"/>
  <c r="B270" i="31"/>
  <c r="B271" i="31" l="1"/>
  <c r="J270" i="31"/>
  <c r="B272" i="31" l="1"/>
  <c r="J271" i="31"/>
  <c r="B273" i="31" l="1"/>
  <c r="J272" i="31"/>
  <c r="CV13" i="25"/>
  <c r="CW13" i="25"/>
  <c r="J273" i="31" l="1"/>
  <c r="B274" i="31"/>
  <c r="CX29" i="25"/>
  <c r="CV29" i="25"/>
  <c r="J274" i="31" l="1"/>
  <c r="B275" i="31"/>
  <c r="CW29" i="25"/>
  <c r="J275" i="31" l="1"/>
  <c r="B276" i="31"/>
  <c r="CV30" i="25"/>
  <c r="CW30" i="25"/>
  <c r="CX30" i="25"/>
  <c r="J276" i="31" l="1"/>
  <c r="B277" i="31"/>
  <c r="D18" i="43"/>
  <c r="J277" i="31" l="1"/>
  <c r="B278" i="31"/>
  <c r="G18" i="43"/>
  <c r="L18" i="43"/>
  <c r="D19" i="43"/>
  <c r="L19" i="43" s="1"/>
  <c r="BJ13" i="25" l="1"/>
  <c r="B279" i="31"/>
  <c r="J278" i="31"/>
  <c r="D20" i="43"/>
  <c r="L20" i="43" s="1"/>
  <c r="G19" i="43"/>
  <c r="J279" i="31" l="1"/>
  <c r="B280" i="31"/>
  <c r="D21" i="43"/>
  <c r="L21" i="43" s="1"/>
  <c r="G20" i="43"/>
  <c r="J280" i="31" l="1"/>
  <c r="B281" i="31"/>
  <c r="D22" i="43"/>
  <c r="L22" i="43" s="1"/>
  <c r="G21" i="43"/>
  <c r="J281" i="31" l="1"/>
  <c r="B282" i="31"/>
  <c r="D23" i="43"/>
  <c r="L23" i="43" s="1"/>
  <c r="G22" i="43"/>
  <c r="J282" i="31" l="1"/>
  <c r="B283" i="31"/>
  <c r="D24" i="43"/>
  <c r="L24" i="43" s="1"/>
  <c r="G23" i="43"/>
  <c r="J283" i="31" l="1"/>
  <c r="B284" i="31"/>
  <c r="D25" i="43"/>
  <c r="L25" i="43" s="1"/>
  <c r="G24" i="43"/>
  <c r="J284" i="31" l="1"/>
  <c r="B285" i="31"/>
  <c r="D26" i="43"/>
  <c r="L26" i="43" s="1"/>
  <c r="G25" i="43"/>
  <c r="J285" i="31" l="1"/>
  <c r="B286" i="31"/>
  <c r="D27" i="43"/>
  <c r="L27" i="43" s="1"/>
  <c r="G26" i="43"/>
  <c r="J286" i="31" l="1"/>
  <c r="B287" i="31"/>
  <c r="D28" i="43"/>
  <c r="L28" i="43" s="1"/>
  <c r="G27" i="43"/>
  <c r="J287" i="31" l="1"/>
  <c r="B288" i="31"/>
  <c r="D29" i="43"/>
  <c r="L29" i="43" s="1"/>
  <c r="G28" i="43"/>
  <c r="J28" i="43" s="1"/>
  <c r="J288" i="31" l="1"/>
  <c r="B289" i="31"/>
  <c r="D30" i="43"/>
  <c r="L30" i="43" s="1"/>
  <c r="G29" i="43"/>
  <c r="J29" i="43" s="1"/>
  <c r="B21" i="77"/>
  <c r="K28" i="43"/>
  <c r="B290" i="31" l="1"/>
  <c r="J289" i="31"/>
  <c r="D31" i="43"/>
  <c r="L31" i="43" s="1"/>
  <c r="G30" i="43"/>
  <c r="J30" i="43" s="1"/>
  <c r="B22" i="77"/>
  <c r="K29" i="43"/>
  <c r="J290" i="31" l="1"/>
  <c r="B291" i="31"/>
  <c r="D32" i="43"/>
  <c r="L32" i="43" s="1"/>
  <c r="G31" i="43"/>
  <c r="J31" i="43" s="1"/>
  <c r="B23" i="77"/>
  <c r="K30" i="43"/>
  <c r="J291" i="31" l="1"/>
  <c r="B292" i="31"/>
  <c r="D33" i="43"/>
  <c r="L33" i="43" s="1"/>
  <c r="G32" i="43"/>
  <c r="J32" i="43" s="1"/>
  <c r="B24" i="77"/>
  <c r="K31" i="43"/>
  <c r="J292" i="31" l="1"/>
  <c r="B293" i="31"/>
  <c r="G33" i="43"/>
  <c r="D34" i="43"/>
  <c r="L34" i="43" s="1"/>
  <c r="BJ29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B294" i="31" l="1"/>
  <c r="J293" i="31"/>
  <c r="J33" i="43"/>
  <c r="K33" i="43" s="1"/>
  <c r="G34" i="43"/>
  <c r="D35" i="43"/>
  <c r="L35" i="43" s="1"/>
  <c r="BJ30" i="25" s="1"/>
  <c r="J294" i="31" l="1"/>
  <c r="B295" i="31"/>
  <c r="J34" i="43"/>
  <c r="K34" i="43" s="1"/>
  <c r="G35" i="43"/>
  <c r="D36" i="43"/>
  <c r="L36" i="43" s="1"/>
  <c r="BJ31" i="25" l="1"/>
  <c r="B296" i="31"/>
  <c r="J295" i="31"/>
  <c r="J35" i="43"/>
  <c r="K35" i="43" s="1"/>
  <c r="G36" i="43"/>
  <c r="D37" i="43"/>
  <c r="L37" i="43" s="1"/>
  <c r="BJ33" i="25" s="1"/>
  <c r="BJ35" i="25" l="1"/>
  <c r="BJ32" i="25"/>
  <c r="BJ34" i="25"/>
  <c r="BJ36" i="25"/>
  <c r="B297" i="31"/>
  <c r="J296" i="31"/>
  <c r="J36" i="43"/>
  <c r="K36" i="43" s="1"/>
  <c r="G37" i="43"/>
  <c r="B298" i="31" l="1"/>
  <c r="J297" i="31"/>
  <c r="J37" i="43"/>
  <c r="K37" i="43" s="1"/>
  <c r="J298" i="31" l="1"/>
  <c r="B299" i="31"/>
  <c r="B300" i="31" l="1"/>
  <c r="J299" i="31"/>
  <c r="J300" i="31" l="1"/>
  <c r="B301" i="31"/>
  <c r="J301" i="31" l="1"/>
  <c r="B302" i="31"/>
  <c r="J302" i="31" l="1"/>
  <c r="B303" i="31"/>
  <c r="J303" i="31" l="1"/>
  <c r="B304" i="31"/>
  <c r="B305" i="31" l="1"/>
  <c r="J304" i="31"/>
  <c r="B306" i="31" l="1"/>
  <c r="J305" i="31"/>
  <c r="B307" i="31" l="1"/>
  <c r="J306" i="31"/>
  <c r="B308" i="31" l="1"/>
  <c r="J307" i="31"/>
  <c r="B309" i="31" l="1"/>
  <c r="J308" i="31"/>
  <c r="B310" i="31" l="1"/>
  <c r="J309" i="31"/>
  <c r="B311" i="31" l="1"/>
  <c r="J310" i="31"/>
  <c r="B312" i="31" l="1"/>
  <c r="J311" i="31"/>
  <c r="J312" i="31" l="1"/>
  <c r="B313" i="31"/>
  <c r="J313" i="31" l="1"/>
  <c r="B314" i="31"/>
  <c r="J314" i="31" l="1"/>
  <c r="B315" i="31"/>
  <c r="J315" i="31" l="1"/>
  <c r="B316" i="31"/>
  <c r="J316" i="31" l="1"/>
  <c r="B317" i="31"/>
  <c r="J317" i="31" l="1"/>
  <c r="B318" i="31"/>
  <c r="J318" i="31" l="1"/>
  <c r="B319" i="31"/>
  <c r="J319" i="31" l="1"/>
  <c r="B320" i="31"/>
  <c r="J320" i="31" l="1"/>
  <c r="B321" i="31"/>
  <c r="J321" i="31" l="1"/>
  <c r="B322" i="31"/>
  <c r="J322" i="31" l="1"/>
  <c r="B323" i="31"/>
  <c r="J323" i="31" l="1"/>
  <c r="J324" i="31"/>
  <c r="AL33" i="25" l="1"/>
  <c r="K324" i="31" l="1"/>
  <c r="K294" i="31" l="1"/>
  <c r="K291" i="31"/>
  <c r="K298" i="31"/>
  <c r="K299" i="31"/>
  <c r="K300" i="31"/>
  <c r="K297" i="31"/>
  <c r="K295" i="31"/>
  <c r="K292" i="31"/>
  <c r="K289" i="31"/>
  <c r="O39" i="31"/>
  <c r="K296" i="31"/>
  <c r="K290" i="31"/>
  <c r="K293" i="31"/>
  <c r="K301" i="31" l="1"/>
  <c r="O40" i="31"/>
  <c r="K306" i="31"/>
  <c r="K304" i="31"/>
  <c r="K307" i="31"/>
  <c r="K312" i="31"/>
  <c r="K302" i="31"/>
  <c r="K308" i="31"/>
  <c r="K310" i="31"/>
  <c r="K303" i="31"/>
  <c r="K305" i="31"/>
  <c r="K309" i="31"/>
  <c r="K311" i="31"/>
  <c r="N39" i="31" l="1"/>
  <c r="K313" i="31"/>
  <c r="O41" i="31"/>
  <c r="K323" i="31"/>
  <c r="K318" i="31"/>
  <c r="K317" i="31"/>
  <c r="K319" i="31"/>
  <c r="K321" i="31"/>
  <c r="K322" i="31"/>
  <c r="K315" i="31"/>
  <c r="K320" i="31"/>
  <c r="K314" i="31"/>
  <c r="K316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CE38" i="25" l="1"/>
  <c r="CE29" i="25"/>
  <c r="CE37" i="25"/>
  <c r="CE31" i="25"/>
  <c r="CE35" i="25"/>
  <c r="CE34" i="25"/>
  <c r="CE30" i="25"/>
  <c r="CE32" i="25"/>
  <c r="CE33" i="25"/>
  <c r="CE36" i="25"/>
  <c r="AW13" i="25" l="1"/>
  <c r="AW30" i="25"/>
  <c r="AW31" i="25"/>
  <c r="AV13" i="25" l="1"/>
  <c r="AV30" i="25"/>
  <c r="AV31" i="25"/>
  <c r="CO13" i="25"/>
  <c r="AL13" i="25" l="1"/>
  <c r="AZ13" i="25"/>
  <c r="AZ30" i="25"/>
  <c r="AZ31" i="25"/>
  <c r="CN13" i="25"/>
  <c r="AQ13" i="25"/>
  <c r="AR13" i="25" l="1"/>
  <c r="AR30" i="25"/>
  <c r="AR31" i="25"/>
  <c r="CI13" i="25"/>
  <c r="AT13" i="25"/>
  <c r="AT30" i="25"/>
  <c r="AT31" i="25"/>
  <c r="CR13" i="25"/>
  <c r="CD13" i="25"/>
  <c r="DB5" i="25" l="1"/>
  <c r="CL13" i="25"/>
  <c r="AN13" i="25"/>
  <c r="CJ13" i="25"/>
  <c r="CF13" i="25" l="1"/>
  <c r="DC31" i="25"/>
  <c r="DC34" i="25"/>
  <c r="DC35" i="25"/>
  <c r="DC33" i="25"/>
  <c r="DC38" i="25"/>
  <c r="DC30" i="25"/>
  <c r="DC32" i="25"/>
  <c r="DC37" i="25"/>
  <c r="DC29" i="25"/>
  <c r="DC36" i="25"/>
  <c r="DC13" i="25"/>
  <c r="AO30" i="25" l="1"/>
  <c r="AO31" i="25"/>
  <c r="AO13" i="25" l="1"/>
  <c r="CG13" i="25" l="1"/>
  <c r="AU13" i="25" l="1"/>
  <c r="AU30" i="25"/>
  <c r="AU31" i="25"/>
  <c r="AX13" i="25"/>
  <c r="AX30" i="25"/>
  <c r="AX31" i="25"/>
  <c r="CP13" i="25" l="1"/>
  <c r="CM13" i="25"/>
  <c r="BA13" i="25"/>
  <c r="BA30" i="25"/>
  <c r="BA31" i="25"/>
  <c r="CS13" i="25" l="1"/>
  <c r="AR29" i="25"/>
  <c r="AP30" i="25" l="1"/>
  <c r="AP31" i="25"/>
  <c r="AQ29" i="25"/>
  <c r="AN29" i="25"/>
  <c r="AL29" i="25"/>
  <c r="AO29" i="25" l="1"/>
  <c r="CJ30" i="25"/>
  <c r="CJ31" i="25"/>
  <c r="CJ36" i="25"/>
  <c r="CJ37" i="25"/>
  <c r="CJ29" i="25"/>
  <c r="CJ35" i="25"/>
  <c r="CJ38" i="25"/>
  <c r="AS13" i="25"/>
  <c r="AS29" i="25"/>
  <c r="AS30" i="25"/>
  <c r="AS31" i="25"/>
  <c r="CJ32" i="25"/>
  <c r="CJ33" i="25"/>
  <c r="CJ34" i="25"/>
  <c r="AP29" i="25"/>
  <c r="AP13" i="25"/>
  <c r="AW29" i="25" l="1"/>
  <c r="AX29" i="25"/>
  <c r="AV29" i="25"/>
  <c r="CD30" i="25"/>
  <c r="CD31" i="25"/>
  <c r="CD35" i="25"/>
  <c r="AT29" i="25"/>
  <c r="AU29" i="25"/>
  <c r="CK30" i="25"/>
  <c r="CK29" i="25"/>
  <c r="CK35" i="25"/>
  <c r="CK37" i="25"/>
  <c r="CK36" i="25"/>
  <c r="CK31" i="25"/>
  <c r="CK33" i="25"/>
  <c r="CK38" i="25"/>
  <c r="CK13" i="25"/>
  <c r="CK34" i="25"/>
  <c r="CK32" i="25"/>
  <c r="CD38" i="25"/>
  <c r="CD37" i="25"/>
  <c r="CG31" i="25"/>
  <c r="CG37" i="25"/>
  <c r="CG35" i="25"/>
  <c r="CG33" i="25"/>
  <c r="CG29" i="25"/>
  <c r="CG36" i="25"/>
  <c r="CG30" i="25"/>
  <c r="CG34" i="25"/>
  <c r="CG38" i="25"/>
  <c r="CG32" i="25"/>
  <c r="CH37" i="25"/>
  <c r="CH33" i="25"/>
  <c r="CH32" i="25"/>
  <c r="CH38" i="25"/>
  <c r="CH31" i="25"/>
  <c r="CH36" i="25"/>
  <c r="CH29" i="25"/>
  <c r="CH13" i="25"/>
  <c r="CH34" i="25"/>
  <c r="CH30" i="25"/>
  <c r="CH35" i="25"/>
  <c r="CD33" i="25"/>
  <c r="CD32" i="25"/>
  <c r="CD34" i="25"/>
  <c r="CD29" i="25"/>
  <c r="CD36" i="25"/>
  <c r="CM32" i="25" l="1"/>
  <c r="CM31" i="25"/>
  <c r="CM37" i="25"/>
  <c r="CI30" i="25"/>
  <c r="CI34" i="25"/>
  <c r="CI37" i="25"/>
  <c r="CI36" i="25"/>
  <c r="CI35" i="25"/>
  <c r="CI33" i="25"/>
  <c r="CI32" i="25"/>
  <c r="CI38" i="25"/>
  <c r="CI29" i="25"/>
  <c r="CI31" i="25"/>
  <c r="CM36" i="25"/>
  <c r="CL30" i="25"/>
  <c r="CL37" i="25"/>
  <c r="CL35" i="25"/>
  <c r="CL33" i="25"/>
  <c r="CL34" i="25"/>
  <c r="CL36" i="25"/>
  <c r="CL31" i="25"/>
  <c r="CL38" i="25"/>
  <c r="CL32" i="25"/>
  <c r="CL29" i="25"/>
  <c r="CM38" i="25"/>
  <c r="AZ29" i="25"/>
  <c r="BA29" i="25"/>
  <c r="CM29" i="25"/>
  <c r="CM34" i="25"/>
  <c r="CN29" i="25"/>
  <c r="CN32" i="25"/>
  <c r="CN31" i="25"/>
  <c r="CN37" i="25"/>
  <c r="CN35" i="25"/>
  <c r="CN36" i="25"/>
  <c r="CN38" i="25"/>
  <c r="CN33" i="25"/>
  <c r="CN30" i="25"/>
  <c r="CN34" i="25"/>
  <c r="AY29" i="25"/>
  <c r="AY30" i="25"/>
  <c r="AY31" i="25"/>
  <c r="CM30" i="25"/>
  <c r="CM35" i="25"/>
  <c r="CM33" i="25"/>
  <c r="CO32" i="25" l="1"/>
  <c r="CO33" i="25"/>
  <c r="CO35" i="25"/>
  <c r="CO38" i="25"/>
  <c r="CO29" i="25"/>
  <c r="CR31" i="25"/>
  <c r="CF35" i="25"/>
  <c r="CF38" i="25"/>
  <c r="CF29" i="25"/>
  <c r="CF33" i="25"/>
  <c r="CF32" i="25"/>
  <c r="CF34" i="25"/>
  <c r="CF37" i="25"/>
  <c r="CF36" i="25"/>
  <c r="CF30" i="25"/>
  <c r="CF31" i="25"/>
  <c r="AY13" i="25"/>
  <c r="CO30" i="25"/>
  <c r="CO31" i="25"/>
  <c r="BB13" i="25"/>
  <c r="BB29" i="25"/>
  <c r="BB30" i="25"/>
  <c r="BB31" i="25"/>
  <c r="CP30" i="25"/>
  <c r="CP35" i="25"/>
  <c r="CP33" i="25"/>
  <c r="CP31" i="25"/>
  <c r="CP37" i="25"/>
  <c r="CP36" i="25"/>
  <c r="CP29" i="25"/>
  <c r="CP34" i="25"/>
  <c r="CP32" i="25"/>
  <c r="CP38" i="25"/>
  <c r="CO37" i="25"/>
  <c r="CO34" i="25"/>
  <c r="CO36" i="25"/>
  <c r="CR38" i="25" l="1"/>
  <c r="CR30" i="25"/>
  <c r="CR37" i="25"/>
  <c r="CQ33" i="25"/>
  <c r="CQ30" i="25"/>
  <c r="CQ29" i="25"/>
  <c r="CQ35" i="25"/>
  <c r="CQ38" i="25"/>
  <c r="CQ32" i="25"/>
  <c r="CQ37" i="25"/>
  <c r="CQ34" i="25"/>
  <c r="CQ36" i="25"/>
  <c r="CQ31" i="25"/>
  <c r="CQ13" i="25"/>
  <c r="CS31" i="25"/>
  <c r="CS38" i="25"/>
  <c r="CS35" i="25"/>
  <c r="CS34" i="25"/>
  <c r="CS37" i="25"/>
  <c r="CS32" i="25"/>
  <c r="CS30" i="25"/>
  <c r="CS36" i="25"/>
  <c r="CS29" i="25"/>
  <c r="CT35" i="25"/>
  <c r="CT36" i="25"/>
  <c r="CT37" i="25"/>
  <c r="CT34" i="25"/>
  <c r="CT13" i="25"/>
  <c r="CT30" i="25"/>
  <c r="CT31" i="25"/>
  <c r="CT32" i="25"/>
  <c r="CT38" i="25"/>
  <c r="CT33" i="25"/>
  <c r="CT29" i="25"/>
  <c r="CR36" i="25"/>
  <c r="CR33" i="25"/>
  <c r="CR32" i="25"/>
  <c r="CS33" i="25"/>
  <c r="CR29" i="25"/>
  <c r="CR34" i="25"/>
  <c r="CR35" i="25"/>
  <c r="BC13" i="25" l="1"/>
  <c r="BC30" i="25"/>
  <c r="BC31" i="25"/>
  <c r="CU13" i="25" l="1"/>
  <c r="CY13" i="25" s="1"/>
  <c r="C13" i="25" s="1"/>
  <c r="BC29" i="25" l="1"/>
  <c r="CU29" i="25" s="1"/>
  <c r="CY29" i="25" s="1"/>
  <c r="C29" i="25" s="1"/>
  <c r="CU35" i="25" l="1"/>
  <c r="CY35" i="25" s="1"/>
  <c r="C35" i="25" s="1"/>
  <c r="CU32" i="25"/>
  <c r="CY32" i="25" s="1"/>
  <c r="C32" i="25" s="1"/>
  <c r="CU31" i="25"/>
  <c r="CY31" i="25" s="1"/>
  <c r="C31" i="25" s="1"/>
  <c r="CU38" i="25"/>
  <c r="CY38" i="25" s="1"/>
  <c r="C38" i="25" s="1"/>
  <c r="CU36" i="25"/>
  <c r="CY36" i="25" s="1"/>
  <c r="C36" i="25" s="1"/>
  <c r="CU30" i="25"/>
  <c r="CY30" i="25" s="1"/>
  <c r="C30" i="25" s="1"/>
  <c r="CU33" i="25"/>
  <c r="CY33" i="25" s="1"/>
  <c r="C33" i="25" s="1"/>
  <c r="CU37" i="25"/>
  <c r="CY37" i="25" s="1"/>
  <c r="C37" i="25" s="1"/>
  <c r="CU34" i="25"/>
  <c r="CY34" i="25" s="1"/>
  <c r="C34" i="25" s="1"/>
  <c r="K136" i="31" l="1"/>
  <c r="K157" i="31"/>
  <c r="O28" i="31"/>
  <c r="K158" i="31"/>
  <c r="K146" i="31"/>
  <c r="K184" i="31"/>
  <c r="K188" i="31"/>
  <c r="K142" i="31"/>
  <c r="K172" i="31"/>
  <c r="K161" i="31"/>
  <c r="K177" i="31"/>
  <c r="K141" i="31"/>
  <c r="K174" i="31"/>
  <c r="K147" i="31"/>
  <c r="K148" i="31"/>
  <c r="K168" i="31"/>
  <c r="K149" i="31"/>
  <c r="O30" i="31"/>
  <c r="K181" i="31"/>
  <c r="K154" i="31"/>
  <c r="K186" i="31"/>
  <c r="K163" i="31"/>
  <c r="K140" i="31"/>
  <c r="K144" i="31"/>
  <c r="K137" i="31"/>
  <c r="K176" i="31"/>
  <c r="K166" i="31"/>
  <c r="K190" i="31"/>
  <c r="K134" i="31"/>
  <c r="K164" i="31"/>
  <c r="K178" i="31"/>
  <c r="K173" i="31"/>
  <c r="K156" i="31"/>
  <c r="K135" i="31"/>
  <c r="K182" i="31"/>
  <c r="K187" i="31"/>
  <c r="K170" i="31"/>
  <c r="K133" i="31"/>
  <c r="O26" i="31"/>
  <c r="K165" i="31"/>
  <c r="K138" i="31"/>
  <c r="K192" i="31"/>
  <c r="K151" i="31"/>
  <c r="K143" i="31"/>
  <c r="K171" i="31"/>
  <c r="K191" i="31"/>
  <c r="K160" i="31"/>
  <c r="K180" i="31"/>
  <c r="K159" i="31"/>
  <c r="K152" i="31"/>
  <c r="K183" i="31"/>
  <c r="K169" i="31"/>
  <c r="O29" i="31"/>
  <c r="K139" i="31"/>
  <c r="K185" i="31"/>
  <c r="K145" i="31"/>
  <c r="O27" i="31"/>
  <c r="K189" i="31"/>
  <c r="K162" i="31"/>
  <c r="K179" i="31"/>
  <c r="K175" i="31"/>
  <c r="K150" i="31"/>
  <c r="K153" i="31"/>
  <c r="K155" i="31"/>
  <c r="K167" i="31"/>
  <c r="K203" i="31" l="1"/>
  <c r="K201" i="31"/>
  <c r="K204" i="31"/>
  <c r="K200" i="31"/>
  <c r="K202" i="31"/>
  <c r="N29" i="31"/>
  <c r="O31" i="31"/>
  <c r="K193" i="31"/>
  <c r="N28" i="31"/>
  <c r="K195" i="31"/>
  <c r="N26" i="31"/>
  <c r="K199" i="31"/>
  <c r="K194" i="31"/>
  <c r="N30" i="31"/>
  <c r="K198" i="31"/>
  <c r="N27" i="31"/>
  <c r="K197" i="31"/>
  <c r="K196" i="31"/>
  <c r="K221" i="31" l="1"/>
  <c r="K222" i="31"/>
  <c r="K224" i="31"/>
  <c r="K219" i="31"/>
  <c r="K227" i="31"/>
  <c r="K220" i="31"/>
  <c r="K218" i="31"/>
  <c r="K228" i="31"/>
  <c r="K217" i="31"/>
  <c r="K225" i="31"/>
  <c r="O33" i="31"/>
  <c r="K223" i="31"/>
  <c r="K226" i="31"/>
  <c r="K212" i="31"/>
  <c r="K207" i="31"/>
  <c r="K213" i="31"/>
  <c r="K208" i="31"/>
  <c r="K211" i="31"/>
  <c r="K215" i="31"/>
  <c r="K206" i="31"/>
  <c r="O32" i="31"/>
  <c r="K205" i="31"/>
  <c r="K210" i="31"/>
  <c r="K216" i="31"/>
  <c r="K209" i="31"/>
  <c r="K214" i="31"/>
  <c r="R27" i="31"/>
  <c r="R28" i="31"/>
  <c r="R30" i="31"/>
  <c r="R26" i="31"/>
  <c r="R29" i="31"/>
  <c r="K235" i="31"/>
  <c r="K238" i="31"/>
  <c r="K237" i="31"/>
  <c r="K230" i="31"/>
  <c r="K236" i="31"/>
  <c r="K240" i="31"/>
  <c r="K233" i="31"/>
  <c r="K239" i="31"/>
  <c r="K232" i="31" l="1"/>
  <c r="K234" i="31"/>
  <c r="K231" i="31"/>
  <c r="O34" i="31"/>
  <c r="K229" i="31"/>
  <c r="N31" i="31"/>
  <c r="R31" i="31" s="1"/>
  <c r="N32" i="31"/>
  <c r="K248" i="31"/>
  <c r="K241" i="31"/>
  <c r="O35" i="31"/>
  <c r="K249" i="31"/>
  <c r="K250" i="31"/>
  <c r="K251" i="31"/>
  <c r="K245" i="31"/>
  <c r="K252" i="31"/>
  <c r="K242" i="31"/>
  <c r="K247" i="31"/>
  <c r="K243" i="31"/>
  <c r="K244" i="31"/>
  <c r="K246" i="31"/>
  <c r="N33" i="31" l="1"/>
  <c r="R33" i="31" s="1"/>
  <c r="R32" i="31"/>
  <c r="N34" i="31"/>
  <c r="K258" i="31"/>
  <c r="K255" i="31"/>
  <c r="K257" i="31"/>
  <c r="K263" i="31"/>
  <c r="K256" i="31"/>
  <c r="K259" i="31"/>
  <c r="O36" i="31"/>
  <c r="K253" i="31"/>
  <c r="K254" i="31"/>
  <c r="K264" i="31"/>
  <c r="K260" i="31"/>
  <c r="K262" i="31"/>
  <c r="K261" i="31"/>
  <c r="R34" i="31" l="1"/>
  <c r="N35" i="31"/>
  <c r="K274" i="31"/>
  <c r="K273" i="31"/>
  <c r="K272" i="31"/>
  <c r="K271" i="31"/>
  <c r="K268" i="31"/>
  <c r="K269" i="31"/>
  <c r="K270" i="31"/>
  <c r="K276" i="31"/>
  <c r="K266" i="31"/>
  <c r="O37" i="31"/>
  <c r="K265" i="31"/>
  <c r="K275" i="31"/>
  <c r="K267" i="31"/>
  <c r="R35" i="31" l="1"/>
  <c r="K282" i="31"/>
  <c r="K280" i="31"/>
  <c r="K283" i="31"/>
  <c r="K277" i="31"/>
  <c r="O38" i="31"/>
  <c r="K288" i="31"/>
  <c r="N36" i="31"/>
  <c r="K284" i="31"/>
  <c r="K286" i="31"/>
  <c r="K279" i="31"/>
  <c r="K287" i="31"/>
  <c r="K278" i="31"/>
  <c r="K281" i="31"/>
  <c r="K285" i="31"/>
  <c r="R36" i="31" l="1"/>
  <c r="N37" i="31"/>
  <c r="N38" i="31"/>
  <c r="M28" i="31"/>
  <c r="R38" i="31" l="1"/>
  <c r="R37" i="31"/>
  <c r="M29" i="31"/>
  <c r="M30" i="31"/>
  <c r="M26" i="31"/>
  <c r="Q28" i="31"/>
  <c r="P28" i="31"/>
  <c r="M27" i="31"/>
  <c r="M32" i="31" l="1"/>
  <c r="Q27" i="31"/>
  <c r="P27" i="31"/>
  <c r="Q26" i="31"/>
  <c r="P26" i="31"/>
  <c r="Q29" i="31"/>
  <c r="P29" i="31"/>
  <c r="Q30" i="31"/>
  <c r="P30" i="31"/>
  <c r="M31" i="31"/>
  <c r="M33" i="31" l="1"/>
  <c r="Q32" i="31"/>
  <c r="P32" i="31"/>
  <c r="Q31" i="31"/>
  <c r="P31" i="31"/>
  <c r="M34" i="31" l="1"/>
  <c r="P33" i="31"/>
  <c r="Q33" i="31"/>
  <c r="M35" i="31" l="1"/>
  <c r="Q34" i="31"/>
  <c r="P34" i="31"/>
  <c r="Q35" i="31" l="1"/>
  <c r="P35" i="31"/>
  <c r="M36" i="31"/>
  <c r="M37" i="31" l="1"/>
  <c r="Q36" i="31"/>
  <c r="P36" i="31"/>
  <c r="M38" i="31"/>
  <c r="Q37" i="31" l="1"/>
  <c r="P37" i="31"/>
  <c r="P38" i="31"/>
  <c r="Q38" i="31"/>
  <c r="O16" i="28" l="1"/>
  <c r="C9" i="28" l="1"/>
  <c r="C38" i="28" l="1"/>
  <c r="C36" i="28"/>
  <c r="C30" i="28"/>
  <c r="C20" i="28"/>
  <c r="C27" i="28"/>
  <c r="C26" i="28"/>
  <c r="C21" i="28"/>
  <c r="C18" i="28"/>
  <c r="C33" i="28"/>
  <c r="C35" i="28"/>
  <c r="C31" i="28"/>
  <c r="C25" i="28"/>
  <c r="C32" i="28"/>
  <c r="C24" i="28"/>
  <c r="C34" i="28"/>
  <c r="C29" i="28"/>
  <c r="C28" i="28"/>
  <c r="C17" i="28"/>
  <c r="C37" i="28"/>
  <c r="C19" i="28"/>
  <c r="C23" i="28"/>
  <c r="C22" i="28"/>
  <c r="J18" i="43" l="1"/>
  <c r="I19" i="43"/>
  <c r="I20" i="43" l="1"/>
  <c r="J19" i="43"/>
  <c r="B11" i="77"/>
  <c r="K18" i="43"/>
  <c r="B12" i="77" l="1"/>
  <c r="K19" i="43"/>
  <c r="J20" i="43"/>
  <c r="I21" i="43"/>
  <c r="K20" i="43" l="1"/>
  <c r="B13" i="77"/>
  <c r="I22" i="43"/>
  <c r="J21" i="43"/>
  <c r="I23" i="43" l="1"/>
  <c r="J22" i="43"/>
  <c r="B14" i="77"/>
  <c r="K21" i="43"/>
  <c r="K22" i="43" l="1"/>
  <c r="B15" i="77"/>
  <c r="J23" i="43"/>
  <c r="I24" i="43"/>
  <c r="I25" i="43" l="1"/>
  <c r="J24" i="43"/>
  <c r="K23" i="43"/>
  <c r="B16" i="77"/>
  <c r="K24" i="43" l="1"/>
  <c r="B17" i="77"/>
  <c r="J25" i="43"/>
  <c r="I26" i="43"/>
  <c r="I27" i="43" l="1"/>
  <c r="J27" i="43" s="1"/>
  <c r="J26" i="43"/>
  <c r="K25" i="43"/>
  <c r="B18" i="77"/>
  <c r="K26" i="43" l="1"/>
  <c r="B19" i="77"/>
  <c r="B20" i="77"/>
  <c r="K27" i="43"/>
  <c r="B50" i="77" l="1"/>
  <c r="F9" i="31"/>
  <c r="K125" i="31" l="1"/>
  <c r="D125" i="31"/>
  <c r="E125" i="31"/>
  <c r="D21" i="31"/>
  <c r="K21" i="31"/>
  <c r="D116" i="31"/>
  <c r="K116" i="31"/>
  <c r="D31" i="31"/>
  <c r="K31" i="31"/>
  <c r="D18" i="31"/>
  <c r="K18" i="31"/>
  <c r="K107" i="31"/>
  <c r="D107" i="31"/>
  <c r="D24" i="31"/>
  <c r="K24" i="31"/>
  <c r="D19" i="31"/>
  <c r="K19" i="31"/>
  <c r="D14" i="31"/>
  <c r="K14" i="31"/>
  <c r="D27" i="31"/>
  <c r="K27" i="31"/>
  <c r="K47" i="31"/>
  <c r="D47" i="31"/>
  <c r="E126" i="31"/>
  <c r="D126" i="31"/>
  <c r="K126" i="31"/>
  <c r="K118" i="31"/>
  <c r="D118" i="31"/>
  <c r="O25" i="31"/>
  <c r="D121" i="31"/>
  <c r="K121" i="31"/>
  <c r="E130" i="31"/>
  <c r="K130" i="31"/>
  <c r="D130" i="31"/>
  <c r="K58" i="31"/>
  <c r="D58" i="31"/>
  <c r="K50" i="31"/>
  <c r="D50" i="31"/>
  <c r="D89" i="31"/>
  <c r="K89" i="31"/>
  <c r="K79" i="31"/>
  <c r="D79" i="31"/>
  <c r="K75" i="31"/>
  <c r="D75" i="31"/>
  <c r="O22" i="31"/>
  <c r="K85" i="31"/>
  <c r="D85" i="31"/>
  <c r="K42" i="31"/>
  <c r="D42" i="31"/>
  <c r="D99" i="31"/>
  <c r="K99" i="31"/>
  <c r="D15" i="31"/>
  <c r="K15" i="31"/>
  <c r="E68" i="31"/>
  <c r="D68" i="31"/>
  <c r="K68" i="31"/>
  <c r="D92" i="31"/>
  <c r="K92" i="31"/>
  <c r="K17" i="31"/>
  <c r="D17" i="31"/>
  <c r="D84" i="31"/>
  <c r="K84" i="31"/>
  <c r="K55" i="31"/>
  <c r="D55" i="31"/>
  <c r="K127" i="31"/>
  <c r="D127" i="31"/>
  <c r="D39" i="31"/>
  <c r="K39" i="31"/>
  <c r="K32" i="31"/>
  <c r="D32" i="31"/>
  <c r="E32" i="31" s="1"/>
  <c r="K22" i="31"/>
  <c r="D22" i="31"/>
  <c r="D80" i="31"/>
  <c r="K80" i="31"/>
  <c r="K90" i="31"/>
  <c r="D90" i="31"/>
  <c r="E90" i="31" s="1"/>
  <c r="K33" i="31"/>
  <c r="D33" i="31"/>
  <c r="K93" i="31"/>
  <c r="D93" i="31"/>
  <c r="D104" i="31"/>
  <c r="K104" i="31"/>
  <c r="K112" i="31"/>
  <c r="D112" i="31"/>
  <c r="E112" i="31" s="1"/>
  <c r="K20" i="31"/>
  <c r="D20" i="31"/>
  <c r="D53" i="31"/>
  <c r="K53" i="31"/>
  <c r="D49" i="31"/>
  <c r="O19" i="31"/>
  <c r="K49" i="31"/>
  <c r="O24" i="31"/>
  <c r="K109" i="31"/>
  <c r="D109" i="31"/>
  <c r="K105" i="31"/>
  <c r="D105" i="31"/>
  <c r="K98" i="31"/>
  <c r="D98" i="31"/>
  <c r="K86" i="31"/>
  <c r="D86" i="31"/>
  <c r="D26" i="31"/>
  <c r="K26" i="31"/>
  <c r="D91" i="31"/>
  <c r="K91" i="31"/>
  <c r="K34" i="31"/>
  <c r="D34" i="31"/>
  <c r="K63" i="31"/>
  <c r="D63" i="31"/>
  <c r="O21" i="31"/>
  <c r="K73" i="31"/>
  <c r="D73" i="31"/>
  <c r="D67" i="31"/>
  <c r="K67" i="31"/>
  <c r="K108" i="31"/>
  <c r="D108" i="31"/>
  <c r="D81" i="31"/>
  <c r="K81" i="31"/>
  <c r="K115" i="31"/>
  <c r="D115" i="31"/>
  <c r="D83" i="31"/>
  <c r="K83" i="31"/>
  <c r="D113" i="31"/>
  <c r="K113" i="31"/>
  <c r="K101" i="31"/>
  <c r="D101" i="31"/>
  <c r="K117" i="31"/>
  <c r="D117" i="31"/>
  <c r="K64" i="31"/>
  <c r="D64" i="31"/>
  <c r="E64" i="31" s="1"/>
  <c r="K114" i="31"/>
  <c r="D114" i="31"/>
  <c r="K43" i="31"/>
  <c r="D43" i="31"/>
  <c r="K23" i="31"/>
  <c r="D23" i="31"/>
  <c r="D76" i="31"/>
  <c r="K76" i="31"/>
  <c r="D46" i="31"/>
  <c r="K46" i="31"/>
  <c r="K77" i="31"/>
  <c r="D77" i="31"/>
  <c r="K102" i="31"/>
  <c r="D102" i="31"/>
  <c r="D52" i="31"/>
  <c r="K52" i="31"/>
  <c r="K128" i="31"/>
  <c r="D128" i="31"/>
  <c r="K129" i="31"/>
  <c r="D129" i="31"/>
  <c r="K94" i="31"/>
  <c r="D94" i="31"/>
  <c r="K82" i="31"/>
  <c r="D82" i="31"/>
  <c r="K95" i="31"/>
  <c r="D95" i="31"/>
  <c r="K57" i="31"/>
  <c r="D57" i="31"/>
  <c r="K72" i="31"/>
  <c r="D72" i="31"/>
  <c r="E72" i="31" s="1"/>
  <c r="D25" i="31"/>
  <c r="O17" i="31"/>
  <c r="K25" i="31"/>
  <c r="D12" i="31"/>
  <c r="G12" i="31" s="1"/>
  <c r="K28" i="31"/>
  <c r="D28" i="31"/>
  <c r="K87" i="31"/>
  <c r="D87" i="31"/>
  <c r="K132" i="31"/>
  <c r="D132" i="31"/>
  <c r="K30" i="31"/>
  <c r="D30" i="31"/>
  <c r="K65" i="31"/>
  <c r="D65" i="31"/>
  <c r="D119" i="31"/>
  <c r="K119" i="31"/>
  <c r="K59" i="31"/>
  <c r="D59" i="31"/>
  <c r="D62" i="31"/>
  <c r="K62" i="31"/>
  <c r="K100" i="31"/>
  <c r="D100" i="31"/>
  <c r="K97" i="31"/>
  <c r="D97" i="31"/>
  <c r="O23" i="31"/>
  <c r="K29" i="31"/>
  <c r="D29" i="31"/>
  <c r="D120" i="31"/>
  <c r="K120" i="31"/>
  <c r="K16" i="31"/>
  <c r="D16" i="31"/>
  <c r="D96" i="31"/>
  <c r="K96" i="31"/>
  <c r="D88" i="31"/>
  <c r="K88" i="31"/>
  <c r="D56" i="31"/>
  <c r="K56" i="31"/>
  <c r="D44" i="31"/>
  <c r="K44" i="31"/>
  <c r="K106" i="31"/>
  <c r="D106" i="31"/>
  <c r="K70" i="31"/>
  <c r="D70" i="31"/>
  <c r="K41" i="31"/>
  <c r="D41" i="31"/>
  <c r="K103" i="31"/>
  <c r="D103" i="31"/>
  <c r="K122" i="31"/>
  <c r="D122" i="31"/>
  <c r="K71" i="31"/>
  <c r="D71" i="31"/>
  <c r="K111" i="31"/>
  <c r="D111" i="31"/>
  <c r="K54" i="31"/>
  <c r="D54" i="31"/>
  <c r="E54" i="31" s="1"/>
  <c r="D38" i="31"/>
  <c r="K38" i="31"/>
  <c r="D48" i="31"/>
  <c r="K48" i="31"/>
  <c r="D124" i="31"/>
  <c r="K124" i="31"/>
  <c r="D45" i="31"/>
  <c r="K45" i="31"/>
  <c r="O16" i="31"/>
  <c r="D13" i="31"/>
  <c r="K13" i="31"/>
  <c r="D35" i="31"/>
  <c r="K35" i="31"/>
  <c r="K110" i="31"/>
  <c r="D110" i="31"/>
  <c r="D131" i="31"/>
  <c r="K131" i="31"/>
  <c r="O20" i="31"/>
  <c r="D61" i="31"/>
  <c r="K61" i="31"/>
  <c r="D74" i="31"/>
  <c r="K74" i="31"/>
  <c r="K37" i="31"/>
  <c r="O18" i="31"/>
  <c r="D37" i="31"/>
  <c r="D36" i="31"/>
  <c r="K36" i="31"/>
  <c r="K78" i="31"/>
  <c r="D78" i="31"/>
  <c r="D40" i="31"/>
  <c r="K40" i="31"/>
  <c r="D69" i="31"/>
  <c r="K69" i="31"/>
  <c r="K60" i="31"/>
  <c r="D60" i="31"/>
  <c r="K51" i="31"/>
  <c r="D51" i="31"/>
  <c r="D66" i="31"/>
  <c r="K66" i="31"/>
  <c r="D123" i="31"/>
  <c r="K123" i="31"/>
  <c r="D9" i="31"/>
  <c r="E74" i="31" l="1"/>
  <c r="G112" i="31"/>
  <c r="G90" i="31"/>
  <c r="G32" i="31"/>
  <c r="E84" i="31"/>
  <c r="G130" i="31"/>
  <c r="G125" i="31"/>
  <c r="E123" i="31"/>
  <c r="E69" i="31"/>
  <c r="G54" i="31"/>
  <c r="E119" i="31"/>
  <c r="E87" i="31"/>
  <c r="G72" i="31"/>
  <c r="G64" i="31"/>
  <c r="G68" i="31"/>
  <c r="G126" i="31"/>
  <c r="G74" i="31"/>
  <c r="E66" i="31"/>
  <c r="E40" i="31"/>
  <c r="E62" i="31"/>
  <c r="E95" i="31"/>
  <c r="E117" i="31"/>
  <c r="E101" i="31"/>
  <c r="E34" i="31"/>
  <c r="E98" i="31"/>
  <c r="E29" i="31"/>
  <c r="N23" i="31"/>
  <c r="E83" i="31"/>
  <c r="E75" i="31"/>
  <c r="E58" i="31"/>
  <c r="E122" i="31"/>
  <c r="E106" i="31"/>
  <c r="E38" i="31"/>
  <c r="E96" i="31"/>
  <c r="E102" i="31"/>
  <c r="E108" i="31"/>
  <c r="E36" i="31"/>
  <c r="E48" i="31"/>
  <c r="E70" i="31"/>
  <c r="E30" i="31"/>
  <c r="E77" i="31"/>
  <c r="E43" i="31"/>
  <c r="E67" i="31"/>
  <c r="E118" i="31"/>
  <c r="E110" i="31"/>
  <c r="E124" i="31"/>
  <c r="E111" i="31"/>
  <c r="E41" i="31"/>
  <c r="E65" i="31"/>
  <c r="E28" i="31"/>
  <c r="E82" i="31"/>
  <c r="E94" i="31"/>
  <c r="E129" i="31"/>
  <c r="E93" i="31"/>
  <c r="E127" i="31"/>
  <c r="E99" i="31"/>
  <c r="E27" i="31"/>
  <c r="E51" i="31"/>
  <c r="E78" i="31"/>
  <c r="E37" i="31"/>
  <c r="M18" i="31"/>
  <c r="E61" i="31"/>
  <c r="M20" i="31"/>
  <c r="E131" i="31"/>
  <c r="E35" i="31"/>
  <c r="E59" i="31"/>
  <c r="M17" i="31"/>
  <c r="E25" i="31"/>
  <c r="E57" i="31"/>
  <c r="E128" i="31"/>
  <c r="E46" i="31"/>
  <c r="E114" i="31"/>
  <c r="E113" i="31"/>
  <c r="E115" i="31"/>
  <c r="E81" i="31"/>
  <c r="M21" i="31"/>
  <c r="E73" i="31"/>
  <c r="E109" i="31"/>
  <c r="M24" i="31"/>
  <c r="N19" i="31"/>
  <c r="E53" i="31"/>
  <c r="E104" i="31"/>
  <c r="E80" i="31"/>
  <c r="E39" i="31"/>
  <c r="E92" i="31"/>
  <c r="E85" i="31"/>
  <c r="M22" i="31"/>
  <c r="E79" i="31"/>
  <c r="E50" i="31"/>
  <c r="N20" i="31"/>
  <c r="K4" i="31"/>
  <c r="K5" i="31"/>
  <c r="E45" i="31"/>
  <c r="E71" i="31"/>
  <c r="E103" i="31"/>
  <c r="E44" i="31"/>
  <c r="E88" i="31"/>
  <c r="E120" i="31"/>
  <c r="E97" i="31"/>
  <c r="M23" i="31"/>
  <c r="E52" i="31"/>
  <c r="E76" i="31"/>
  <c r="N21" i="31"/>
  <c r="E63" i="31"/>
  <c r="E91" i="31"/>
  <c r="E86" i="31"/>
  <c r="E105" i="31"/>
  <c r="N24" i="31"/>
  <c r="E49" i="31"/>
  <c r="M19" i="31"/>
  <c r="E33" i="31"/>
  <c r="E55" i="31"/>
  <c r="E42" i="31"/>
  <c r="E89" i="31"/>
  <c r="E121" i="31"/>
  <c r="M25" i="31"/>
  <c r="E60" i="31"/>
  <c r="N18" i="31"/>
  <c r="N16" i="31"/>
  <c r="E56" i="31"/>
  <c r="E100" i="31"/>
  <c r="E132" i="31"/>
  <c r="N17" i="31"/>
  <c r="E26" i="31"/>
  <c r="N25" i="31"/>
  <c r="E31" i="31"/>
  <c r="E116" i="31"/>
  <c r="N22" i="31"/>
  <c r="E47" i="31"/>
  <c r="E107" i="31"/>
  <c r="R22" i="31" l="1"/>
  <c r="G26" i="31"/>
  <c r="G56" i="31"/>
  <c r="G55" i="31"/>
  <c r="R24" i="31"/>
  <c r="G63" i="31"/>
  <c r="G44" i="31"/>
  <c r="G79" i="31"/>
  <c r="G39" i="31"/>
  <c r="R19" i="31"/>
  <c r="G114" i="31"/>
  <c r="G25" i="31"/>
  <c r="G131" i="31"/>
  <c r="G37" i="31"/>
  <c r="G99" i="31"/>
  <c r="G94" i="31"/>
  <c r="G41" i="31"/>
  <c r="G118" i="31"/>
  <c r="G30" i="31"/>
  <c r="G108" i="31"/>
  <c r="G106" i="31"/>
  <c r="G83" i="31"/>
  <c r="G34" i="31"/>
  <c r="G62" i="31"/>
  <c r="R17" i="31"/>
  <c r="R16" i="31"/>
  <c r="G121" i="31"/>
  <c r="G33" i="31"/>
  <c r="G105" i="31"/>
  <c r="R21" i="31"/>
  <c r="G97" i="31"/>
  <c r="G103" i="31"/>
  <c r="G80" i="31"/>
  <c r="G81" i="31"/>
  <c r="G46" i="31"/>
  <c r="G78" i="31"/>
  <c r="G127" i="31"/>
  <c r="G82" i="31"/>
  <c r="G111" i="31"/>
  <c r="G67" i="31"/>
  <c r="G70" i="31"/>
  <c r="G102" i="31"/>
  <c r="G122" i="31"/>
  <c r="R23" i="31"/>
  <c r="G101" i="31"/>
  <c r="G40" i="31"/>
  <c r="G87" i="31"/>
  <c r="G69" i="31"/>
  <c r="G84" i="31"/>
  <c r="G116" i="31"/>
  <c r="G107" i="31"/>
  <c r="G31" i="31"/>
  <c r="G132" i="31"/>
  <c r="R18" i="31"/>
  <c r="G89" i="31"/>
  <c r="G86" i="31"/>
  <c r="G76" i="31"/>
  <c r="G120" i="31"/>
  <c r="G71" i="31"/>
  <c r="R20" i="31"/>
  <c r="G85" i="31"/>
  <c r="G104" i="31"/>
  <c r="G109" i="31"/>
  <c r="G115" i="31"/>
  <c r="G128" i="31"/>
  <c r="G59" i="31"/>
  <c r="G61" i="31"/>
  <c r="G51" i="31"/>
  <c r="G93" i="31"/>
  <c r="G28" i="31"/>
  <c r="G124" i="31"/>
  <c r="G43" i="31"/>
  <c r="G48" i="31"/>
  <c r="G96" i="31"/>
  <c r="G58" i="31"/>
  <c r="G29" i="31"/>
  <c r="G117" i="31"/>
  <c r="G66" i="31"/>
  <c r="G119" i="31"/>
  <c r="G123" i="31"/>
  <c r="G47" i="31"/>
  <c r="R25" i="31"/>
  <c r="G100" i="31"/>
  <c r="G60" i="31"/>
  <c r="G42" i="31"/>
  <c r="G49" i="31"/>
  <c r="G91" i="31"/>
  <c r="G52" i="31"/>
  <c r="G88" i="31"/>
  <c r="G45" i="31"/>
  <c r="G50" i="31"/>
  <c r="G92" i="31"/>
  <c r="G53" i="31"/>
  <c r="G73" i="31"/>
  <c r="G113" i="31"/>
  <c r="G57" i="31"/>
  <c r="G35" i="31"/>
  <c r="G27" i="31"/>
  <c r="G129" i="31"/>
  <c r="G65" i="31"/>
  <c r="G110" i="31"/>
  <c r="G77" i="31"/>
  <c r="G36" i="31"/>
  <c r="G38" i="31"/>
  <c r="G75" i="31"/>
  <c r="G98" i="31"/>
  <c r="G95" i="31"/>
  <c r="Q25" i="31"/>
  <c r="P25" i="31"/>
  <c r="P23" i="31"/>
  <c r="Q23" i="31"/>
  <c r="K3" i="25"/>
  <c r="K6" i="31"/>
  <c r="B5" i="31" s="1"/>
  <c r="M7" i="31"/>
  <c r="Q21" i="31"/>
  <c r="P21" i="31"/>
  <c r="Q22" i="31"/>
  <c r="P22" i="31"/>
  <c r="P24" i="31"/>
  <c r="Q24" i="31"/>
  <c r="Q17" i="31"/>
  <c r="P17" i="31"/>
  <c r="P20" i="31"/>
  <c r="Q20" i="31"/>
  <c r="P19" i="31"/>
  <c r="Q19" i="31"/>
  <c r="Q18" i="31"/>
  <c r="P18" i="31"/>
  <c r="G9" i="25" l="1"/>
  <c r="B5" i="25"/>
  <c r="C49" i="25"/>
  <c r="E31" i="25"/>
  <c r="G38" i="25"/>
  <c r="E36" i="25"/>
  <c r="G35" i="25"/>
  <c r="G29" i="25"/>
  <c r="G33" i="25"/>
  <c r="G36" i="25"/>
  <c r="E37" i="25"/>
  <c r="G30" i="25"/>
  <c r="G32" i="25"/>
  <c r="G37" i="25"/>
  <c r="E38" i="25"/>
  <c r="E30" i="25"/>
  <c r="E35" i="25"/>
  <c r="E29" i="25"/>
  <c r="G31" i="25"/>
  <c r="G34" i="25"/>
  <c r="E32" i="25"/>
  <c r="E33" i="25"/>
  <c r="E34" i="25"/>
  <c r="H36" i="25" l="1"/>
  <c r="H35" i="25"/>
  <c r="H34" i="25"/>
  <c r="H30" i="25"/>
  <c r="H29" i="25"/>
  <c r="H31" i="25"/>
  <c r="H38" i="25"/>
  <c r="H37" i="25"/>
  <c r="H32" i="25"/>
  <c r="H33" i="25"/>
  <c r="B4" i="31"/>
  <c r="B5" i="66"/>
  <c r="B5" i="28"/>
  <c r="E24" i="31" l="1"/>
  <c r="E15" i="31"/>
  <c r="E19" i="31"/>
  <c r="E17" i="31"/>
  <c r="E20" i="31"/>
  <c r="E16" i="31"/>
  <c r="E14" i="31"/>
  <c r="G16" i="31" l="1"/>
  <c r="G24" i="31"/>
  <c r="G14" i="31"/>
  <c r="G20" i="31"/>
  <c r="G17" i="31"/>
  <c r="G19" i="31"/>
  <c r="G15" i="31"/>
  <c r="E21" i="31"/>
  <c r="E23" i="31"/>
  <c r="E22" i="31"/>
  <c r="E18" i="31"/>
  <c r="G21" i="31" l="1"/>
  <c r="G18" i="31"/>
  <c r="G22" i="31"/>
  <c r="G23" i="31"/>
  <c r="C9" i="31"/>
  <c r="E13" i="25"/>
  <c r="G9" i="31" l="1"/>
  <c r="G50" i="25" s="1"/>
  <c r="E50" i="25"/>
  <c r="M16" i="31"/>
  <c r="E13" i="31"/>
  <c r="E9" i="31"/>
  <c r="G13" i="25"/>
  <c r="G13" i="31" l="1"/>
  <c r="Q16" i="31"/>
  <c r="P16" i="3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comments2.xml><?xml version="1.0" encoding="utf-8"?>
<comments xmlns="http://schemas.openxmlformats.org/spreadsheetml/2006/main">
  <authors>
    <author>Alpay, Ebru</author>
  </authors>
  <commentList>
    <comment ref="C75" authorId="0" shapeId="0">
      <text>
        <r>
          <rPr>
            <sz val="9"/>
            <color indexed="81"/>
            <rFont val="Tahoma"/>
            <family val="2"/>
          </rPr>
          <t xml:space="preserve">Should this be zero if this inly holding reserves?
</t>
        </r>
      </text>
    </comment>
  </commentList>
</comments>
</file>

<file path=xl/sharedStrings.xml><?xml version="1.0" encoding="utf-8"?>
<sst xmlns="http://schemas.openxmlformats.org/spreadsheetml/2006/main" count="1183" uniqueCount="252">
  <si>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</si>
  <si>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</si>
  <si>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</si>
  <si>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</si>
  <si>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</si>
  <si>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</si>
  <si>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</si>
  <si>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</si>
  <si>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</si>
  <si>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</si>
  <si>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</si>
  <si>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</si>
  <si>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</si>
  <si>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</si>
  <si>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</si>
  <si>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</si>
  <si>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</si>
  <si>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</si>
  <si>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</si>
  <si>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</si>
  <si>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</si>
  <si>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</si>
  <si>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</si>
  <si>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</si>
  <si>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</si>
  <si>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</si>
  <si>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</si>
  <si>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</si>
  <si>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</si>
  <si>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</si>
  <si>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</si>
  <si>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</si>
  <si>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</si>
  <si>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</si>
  <si>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</si>
  <si>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</si>
  <si>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</si>
  <si>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</si>
  <si>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</si>
  <si>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</si>
  <si>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</si>
  <si>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</si>
  <si>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</si>
  <si>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</si>
  <si>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</si>
  <si>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</si>
  <si>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</si>
  <si>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</si>
  <si>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</si>
  <si>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</si>
  <si>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</si>
  <si>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</si>
  <si>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</si>
  <si>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</si>
  <si>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</si>
  <si>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</si>
  <si>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</si>
  <si>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</si>
  <si>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</si>
  <si>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</si>
  <si>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</si>
  <si>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</si>
  <si>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</si>
  <si>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</si>
  <si>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</si>
  <si>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</si>
  <si>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</si>
  <si>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</si>
  <si>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</si>
  <si>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</si>
  <si>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</si>
  <si>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</si>
  <si>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</si>
  <si>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</si>
  <si>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</si>
  <si>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</si>
  <si>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</si>
  <si>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</si>
  <si>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</si>
  <si>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</si>
  <si>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</si>
  <si>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</si>
  <si>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</si>
  <si>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</si>
  <si>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</si>
  <si>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</si>
  <si>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</si>
  <si>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</si>
  <si>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</si>
  <si>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</si>
  <si>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</si>
  <si>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</si>
  <si>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</si>
  <si>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</si>
  <si>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</si>
  <si>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</si>
  <si>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</si>
  <si>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</si>
  <si>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2019 IRP Wyoming Wind Resource</t>
  </si>
  <si>
    <t>H4.AE1_WD</t>
  </si>
  <si>
    <t>2018 $</t>
  </si>
  <si>
    <t>Plant Costs  - 2019 IRP Update - Table 6.1 &amp; 6.2</t>
  </si>
  <si>
    <t>COD</t>
  </si>
  <si>
    <t>40% PTC</t>
  </si>
  <si>
    <t>Wheeling ($ MWh)</t>
  </si>
  <si>
    <t>2019 IRP Utah South Solar with Storage</t>
  </si>
  <si>
    <t>L1.US1_PVS</t>
  </si>
  <si>
    <t>L1.US1_PV</t>
  </si>
  <si>
    <t>includes 30% ITC</t>
  </si>
  <si>
    <t>Levelized</t>
  </si>
  <si>
    <t>Inflation/Escalation</t>
  </si>
  <si>
    <t>IRP 2019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</si>
  <si>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</si>
  <si>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</si>
  <si>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</si>
  <si>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</si>
  <si>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</si>
  <si>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</si>
  <si>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</si>
  <si>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</si>
  <si>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</si>
  <si>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</si>
  <si>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</si>
  <si>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</si>
  <si>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</si>
  <si>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</si>
  <si>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</si>
  <si>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</si>
  <si>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</si>
  <si>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</si>
  <si>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</si>
  <si>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</si>
  <si>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</si>
  <si>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</si>
  <si>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</si>
  <si>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</si>
  <si>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</si>
  <si>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 xml:space="preserve">2019 IRP SCCT Resource Costs </t>
  </si>
  <si>
    <t xml:space="preserve">Plant Costs  - 2019 IRP - Table 6.1 &amp; 6.2 </t>
  </si>
  <si>
    <t>Naughton</t>
  </si>
  <si>
    <t>Burner tip</t>
  </si>
  <si>
    <t>L1.UN1_PVS</t>
  </si>
  <si>
    <t>Naughton - 185 MW - SCCT Frame "F" x1 - East Side Resource (6,050')</t>
  </si>
  <si>
    <t>L1.JBB_PVS</t>
  </si>
  <si>
    <t>H1.SO1_PVS</t>
  </si>
  <si>
    <t>L1.SO1_PVS</t>
  </si>
  <si>
    <t>2019 IRP Jim Bridger Solar with Storage</t>
  </si>
  <si>
    <t>2019 IRP Utah North Solar with Storage</t>
  </si>
  <si>
    <t>2019 IRP Southen Oregon Solar with Storage</t>
  </si>
  <si>
    <t>L1.YK1_PVS</t>
  </si>
  <si>
    <t>I_NTN_SC_FRM</t>
  </si>
  <si>
    <t>WY wind Tax</t>
  </si>
  <si>
    <t>H_.GO2_WD</t>
  </si>
  <si>
    <t>L_.GO2_WD</t>
  </si>
  <si>
    <t>2019 IRP Idaho Wind Resource</t>
  </si>
  <si>
    <t>2019 IRP Yakima Wind with Storage Resource</t>
  </si>
  <si>
    <t>H_.YK1_WDS</t>
  </si>
  <si>
    <t>IRP19Wind_WYAE</t>
  </si>
  <si>
    <t>Total Resource Cost ($/MWh)</t>
  </si>
  <si>
    <t>Discount Rate - 2019 IRP Update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</si>
  <si>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</si>
  <si>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</si>
  <si>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</si>
  <si>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</si>
  <si>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</si>
  <si>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</si>
  <si>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</si>
  <si>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</si>
  <si>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</si>
  <si>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L_.JBB_PVS</t>
  </si>
  <si>
    <t>H_.GO2_WDS</t>
  </si>
  <si>
    <t>IRP19Wind_wS_ID</t>
  </si>
  <si>
    <t>IRP19Wind_wS_YK</t>
  </si>
  <si>
    <t>L_.US4_PVS</t>
  </si>
  <si>
    <t>H_.US4_PVS</t>
  </si>
  <si>
    <t>Retail Revenue Requirement
($/kW-year, 2024$)</t>
  </si>
  <si>
    <t>Capital Cost (Mil $)</t>
  </si>
  <si>
    <t>CRF 1st Year Real</t>
  </si>
  <si>
    <t>Aeolus_Wyoming - to - Utah S, Expansion</t>
  </si>
  <si>
    <t>2019 IRP Transmission Costs</t>
  </si>
  <si>
    <t>Retail Revenue Requirement
($/kW-year, 2023$)</t>
  </si>
  <si>
    <t>Utah N, Transmission Integration</t>
  </si>
  <si>
    <t>Yakima, Transmission Integration</t>
  </si>
  <si>
    <t>Goshen - to - Utah N, Expansion</t>
  </si>
  <si>
    <t>Utah S, Transmission Integration-2023</t>
  </si>
  <si>
    <t>Utah S, Transmission Integration-2030</t>
  </si>
  <si>
    <t>Southern Oregon/California, Transmission Integration</t>
  </si>
  <si>
    <t>Retail Revenue Requirement
($/kW-year, 2029$)</t>
  </si>
  <si>
    <t>Retail Revenue Requirement
($/kW-year, 2033$)</t>
  </si>
  <si>
    <t>Retail Revenue Requirement
($/kW-year, 2030$)</t>
  </si>
  <si>
    <t>Yakima- to - Southern Oregon/California, Expansion</t>
  </si>
  <si>
    <t>Retail Revenue Requirement
($/kW-year, 2036$)</t>
  </si>
  <si>
    <t>Willamette Valley, Transmission Integration</t>
  </si>
  <si>
    <t>Retail Revenue Requirement
($/kW-year, 2037$)</t>
  </si>
  <si>
    <t>Wyoming SW, Transmission Integration</t>
  </si>
  <si>
    <t>IRP19Wind_ID_T</t>
  </si>
  <si>
    <t>IRP19Wind_WYAE_T</t>
  </si>
  <si>
    <t>IRP19Wind_wS_YK_T</t>
  </si>
  <si>
    <t>IRP19Wind_wS_ID_T</t>
  </si>
  <si>
    <t>IRP19Solar_wS_YK_T</t>
  </si>
  <si>
    <t>IRP19Wind_wS_YK_T 2029</t>
  </si>
  <si>
    <t>IRP19Wind_wS_YK_T 2037</t>
  </si>
  <si>
    <t>IRP19Solar_wS_YK_T 2024</t>
  </si>
  <si>
    <t>IRP19Solar_wS_YK_T 2036</t>
  </si>
  <si>
    <t>IRP19Solar_wS_OR_T</t>
  </si>
  <si>
    <t>IRP19Solar_wS_OR_T 2024</t>
  </si>
  <si>
    <t>IRP19Solar_wS_OR_T 2033</t>
  </si>
  <si>
    <t>IRP19Solar_wS_UT_UTN_T</t>
  </si>
  <si>
    <t>IRP19Solar_wS_UT_UTN_T 2024</t>
  </si>
  <si>
    <t>IRP19Solar_wS_WY_JB_T</t>
  </si>
  <si>
    <t>IRP19Solar_wS_WY_JB_T 2024</t>
  </si>
  <si>
    <t>IRP19Solar_wS_WY_JB_T 2029</t>
  </si>
  <si>
    <t>IRP19Solar_wS_WY_JB_T 2038</t>
  </si>
  <si>
    <t>IRP19Solar_wS_UT_UTS_T</t>
  </si>
  <si>
    <t>IRP19Solar_wS_UT_UTS_T 2024</t>
  </si>
  <si>
    <t>IRP19Solar_wS_UT_UTS_T 2030</t>
  </si>
  <si>
    <t>IRP19Solar_wS_UT_UTS_T 2037</t>
  </si>
  <si>
    <t>Network Upgrade ($/kw-yr)</t>
  </si>
  <si>
    <t>Bridger - to - Bridger West, Recovered Transmission 2029</t>
  </si>
  <si>
    <t>Bridger - to - Bridger West, Recovered Transmission 2024</t>
  </si>
  <si>
    <t>Utah S, Transmission Integration 2023</t>
  </si>
  <si>
    <t>Utah S, Transmission Integration 2030</t>
  </si>
  <si>
    <t>n/a</t>
  </si>
  <si>
    <t>Total Fixed Cost</t>
  </si>
  <si>
    <t xml:space="preserve">No resource cost tab </t>
  </si>
  <si>
    <t>if Deferred 1</t>
  </si>
  <si>
    <t>2019 IRP Utah Wind Resource</t>
  </si>
  <si>
    <t>PTC &amp; Variable O&amp;M</t>
  </si>
  <si>
    <t>H3.US1_WD_CP</t>
  </si>
  <si>
    <t>IRP19Wind_UT_CP_T</t>
  </si>
  <si>
    <t>15 Year Starting 2021</t>
  </si>
  <si>
    <t>15 Year Starting 2023</t>
  </si>
  <si>
    <t xml:space="preserve">15 Year </t>
  </si>
  <si>
    <t>15 Year</t>
  </si>
  <si>
    <t>Photovoltaic (Utility) 30% ITC</t>
  </si>
  <si>
    <t>Tesoro Non Firm</t>
  </si>
  <si>
    <t>2023$</t>
  </si>
  <si>
    <t>Company Official Inflation Forecast Dated September 30, 2019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</si>
  <si>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</si>
  <si>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</si>
  <si>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</si>
  <si>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</si>
  <si>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</si>
  <si>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</si>
  <si>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</si>
  <si>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</si>
  <si>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</si>
  <si>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</si>
  <si>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</si>
  <si>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</si>
  <si>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</si>
  <si>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- 435 - UT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</si>
</sst>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0.0000%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sz val="9"/>
      <color indexed="81"/>
      <name val="Tahoma"/>
      <family val="2"/>
    </font>
    <font>
      <b/>
      <u/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412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41" fontId="5" fillId="0" borderId="0" xfId="4" applyFont="1" applyFill="1"/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0" fontId="5" fillId="0" borderId="0" xfId="8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1" fontId="32" fillId="0" borderId="0" xfId="24" applyFont="1" applyFill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3" fontId="5" fillId="6" borderId="0" xfId="24" applyNumberFormat="1" applyFont="1" applyFill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15" fillId="0" borderId="0" xfId="0" applyFont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0" fillId="6" borderId="0" xfId="2" applyNumberFormat="1" applyFont="1" applyFill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43" fontId="32" fillId="0" borderId="0" xfId="1" applyNumberFormat="1" applyFont="1" applyFill="1"/>
    <xf numFmtId="172" fontId="32" fillId="0" borderId="0" xfId="24" applyNumberFormat="1" applyFont="1" applyFill="1"/>
    <xf numFmtId="182" fontId="5" fillId="6" borderId="0" xfId="1" applyNumberFormat="1" applyFont="1" applyFill="1"/>
    <xf numFmtId="183" fontId="0" fillId="0" borderId="0" xfId="8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8" fillId="0" borderId="0" xfId="5" applyFont="1" applyFill="1" applyBorder="1"/>
    <xf numFmtId="0" fontId="5" fillId="12" borderId="0" xfId="1" applyNumberFormat="1" applyFont="1" applyFill="1" applyAlignment="1">
      <alignment horizontal="right"/>
    </xf>
    <xf numFmtId="8" fontId="5" fillId="12" borderId="0" xfId="24" applyNumberFormat="1" applyFont="1" applyFill="1" applyAlignment="1">
      <alignment horizontal="right"/>
    </xf>
    <xf numFmtId="171" fontId="5" fillId="0" borderId="0" xfId="24" applyFont="1" applyFill="1" applyBorder="1" applyAlignment="1"/>
    <xf numFmtId="171" fontId="0" fillId="12" borderId="0" xfId="0" applyFill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2" fontId="5" fillId="6" borderId="0" xfId="2" applyNumberFormat="1" applyFont="1" applyFill="1"/>
    <xf numFmtId="0" fontId="5" fillId="0" borderId="0" xfId="25" applyFont="1" applyFill="1"/>
    <xf numFmtId="44" fontId="5" fillId="0" borderId="0" xfId="2" applyFont="1" applyFill="1"/>
    <xf numFmtId="8" fontId="5" fillId="0" borderId="0" xfId="1" applyNumberFormat="1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71" fontId="12" fillId="0" borderId="0" xfId="24" quotePrefix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8" fontId="5" fillId="0" borderId="0" xfId="2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173" fontId="0" fillId="12" borderId="0" xfId="0" applyNumberFormat="1" applyFill="1"/>
    <xf numFmtId="172" fontId="0" fillId="12" borderId="0" xfId="0" applyNumberForma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</cellXfs>
  <cellStyles count="30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DRR AC Study - Utah Valley - 53 MW 90 CF (2.28.2005)" xfId="4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1">
    <dxf>
      <font>
        <b/>
        <i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Scenarios\4_Appendix%20B.3%20-%20UT%202019.Q3%20-%20AC%20Study%20NON-CONF%20Wind%2060pctPTC_DeferUT_CP_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39">
          <cell r="I39">
            <v>6.9199999999999998E-2</v>
          </cell>
        </row>
      </sheetData>
      <sheetData sheetId="2" refreshError="1"/>
      <sheetData sheetId="3">
        <row r="5">
          <cell r="H5">
            <v>43738</v>
          </cell>
        </row>
      </sheetData>
      <sheetData sheetId="4">
        <row r="6">
          <cell r="M6">
            <v>69.2</v>
          </cell>
        </row>
      </sheetData>
      <sheetData sheetId="5" refreshError="1"/>
      <sheetData sheetId="6">
        <row r="4">
          <cell r="B4" t="str">
            <v>Aeolus_Wyoming - to - Utah S, Expansion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tabSelected="1" view="pageBreakPreview" topLeftCell="A2" zoomScale="70" zoomScaleNormal="70" zoomScaleSheetLayoutView="70" workbookViewId="0">
      <selection activeCell="A39" sqref="A39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7" width="17.6640625" customWidth="1"/>
    <col min="18" max="18" width="12.83203125" customWidth="1"/>
    <col min="19" max="19" width="12.5" customWidth="1"/>
    <col min="20" max="21" width="12.83203125" customWidth="1"/>
    <col min="22" max="22" width="11.83203125" customWidth="1"/>
    <col min="23" max="23" width="13.1640625" customWidth="1"/>
    <col min="24" max="24" width="12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4.33203125" customWidth="1"/>
    <col min="66" max="66" width="16.6640625" customWidth="1"/>
    <col min="67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3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8" t="s">
        <v>57</v>
      </c>
      <c r="Q4" s="168"/>
      <c r="R4" s="168"/>
      <c r="DB4">
        <v>1700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Tesoro Non Firm - 25.0 MW and 85.0% CF</v>
      </c>
      <c r="C5" s="4"/>
      <c r="D5" s="4"/>
      <c r="E5" s="4"/>
      <c r="F5" s="4"/>
      <c r="G5" s="1"/>
      <c r="H5" s="36"/>
      <c r="I5" s="5"/>
      <c r="P5" s="169">
        <v>0.19110185946338937</v>
      </c>
      <c r="Q5" s="169">
        <v>0.17942392948633207</v>
      </c>
      <c r="R5" s="169">
        <v>0.1271079447656262</v>
      </c>
      <c r="S5" s="169">
        <v>0.76028737403417868</v>
      </c>
      <c r="T5" s="169">
        <v>0.76028737403417868</v>
      </c>
      <c r="U5" s="169">
        <v>0.38371436341206699</v>
      </c>
      <c r="V5" s="169">
        <v>0.3269329984960806</v>
      </c>
      <c r="W5" s="169">
        <v>0.3269329984960806</v>
      </c>
      <c r="X5" s="169">
        <v>0.35161226356897352</v>
      </c>
      <c r="Y5" s="169">
        <v>0.35161226356897352</v>
      </c>
      <c r="Z5" s="169">
        <v>0.30222943999568985</v>
      </c>
      <c r="AA5" s="169">
        <v>0.31403713524649896</v>
      </c>
      <c r="AB5" s="169">
        <v>0.31403713524649896</v>
      </c>
      <c r="AC5" s="169">
        <v>0.31403713524649896</v>
      </c>
      <c r="AD5" s="169">
        <v>0.30222943999568985</v>
      </c>
      <c r="AE5" s="169">
        <v>0.30222943999568985</v>
      </c>
      <c r="AF5" s="169">
        <v>0.30222943999568985</v>
      </c>
      <c r="AG5" s="169">
        <v>0.96944331644387627</v>
      </c>
      <c r="AH5" s="169"/>
      <c r="AI5" s="169"/>
      <c r="AJ5" s="169"/>
      <c r="AK5" s="169"/>
      <c r="DB5" s="174">
        <f>$DB$3*$DB$4</f>
        <v>0</v>
      </c>
      <c r="DC5" t="s">
        <v>84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12" t="s">
        <v>73</v>
      </c>
      <c r="AM7" s="212"/>
    </row>
    <row r="8" spans="2:107" s="209" customFormat="1" ht="40.700000000000003" customHeight="1">
      <c r="B8" s="200"/>
      <c r="C8" s="200"/>
      <c r="D8" s="200"/>
      <c r="E8" s="202"/>
      <c r="F8" s="203"/>
      <c r="G8" s="201" t="s">
        <v>14</v>
      </c>
      <c r="H8" s="205"/>
      <c r="I8" s="211"/>
      <c r="K8"/>
      <c r="L8"/>
      <c r="M8"/>
      <c r="P8" s="212"/>
      <c r="Q8" s="212"/>
      <c r="R8" s="212"/>
      <c r="S8" s="209" t="s">
        <v>200</v>
      </c>
      <c r="T8" s="217" t="s">
        <v>201</v>
      </c>
      <c r="U8" s="214"/>
      <c r="V8" s="217" t="s">
        <v>202</v>
      </c>
      <c r="W8" s="217" t="s">
        <v>203</v>
      </c>
      <c r="X8" s="217" t="s">
        <v>205</v>
      </c>
      <c r="Y8" s="217" t="s">
        <v>206</v>
      </c>
      <c r="Z8" s="214" t="s">
        <v>208</v>
      </c>
      <c r="AA8" s="209" t="s">
        <v>210</v>
      </c>
      <c r="AB8" s="217" t="s">
        <v>211</v>
      </c>
      <c r="AC8" s="217" t="s">
        <v>212</v>
      </c>
      <c r="AD8" s="209" t="s">
        <v>214</v>
      </c>
      <c r="AE8" s="217" t="s">
        <v>215</v>
      </c>
      <c r="AF8" s="217" t="s">
        <v>216</v>
      </c>
      <c r="AG8" s="217" t="s">
        <v>167</v>
      </c>
      <c r="AL8" s="217">
        <f>P8</f>
        <v>0</v>
      </c>
      <c r="AM8" s="217"/>
      <c r="AN8" s="217">
        <f t="shared" ref="AN8" si="0">R8</f>
        <v>0</v>
      </c>
      <c r="AO8" s="217" t="str">
        <f t="shared" ref="AO8" si="1">S8</f>
        <v>IRP19Wind_wS_YK_T 2029</v>
      </c>
      <c r="AP8" s="217" t="str">
        <f t="shared" ref="AP8" si="2">T8</f>
        <v>IRP19Wind_wS_YK_T 2037</v>
      </c>
      <c r="AQ8" s="217">
        <f t="shared" ref="AQ8" si="3">U8</f>
        <v>0</v>
      </c>
      <c r="AR8" s="217" t="str">
        <f t="shared" ref="AR8" si="4">V8</f>
        <v>IRP19Solar_wS_YK_T 2024</v>
      </c>
      <c r="AS8" s="217" t="str">
        <f t="shared" ref="AS8" si="5">W8</f>
        <v>IRP19Solar_wS_YK_T 2036</v>
      </c>
      <c r="AT8" s="217" t="str">
        <f t="shared" ref="AT8" si="6">X8</f>
        <v>IRP19Solar_wS_OR_T 2024</v>
      </c>
      <c r="AU8" s="217" t="str">
        <f t="shared" ref="AU8" si="7">Y8</f>
        <v>IRP19Solar_wS_OR_T 2033</v>
      </c>
      <c r="AV8" s="217" t="str">
        <f t="shared" ref="AV8" si="8">Z8</f>
        <v>IRP19Solar_wS_UT_UTN_T 2024</v>
      </c>
      <c r="AW8" s="217" t="str">
        <f t="shared" ref="AW8" si="9">AA8</f>
        <v>IRP19Solar_wS_WY_JB_T 2024</v>
      </c>
      <c r="AX8" s="217" t="str">
        <f t="shared" ref="AX8" si="10">AB8</f>
        <v>IRP19Solar_wS_WY_JB_T 2029</v>
      </c>
      <c r="AY8" s="217" t="str">
        <f t="shared" ref="AY8" si="11">AC8</f>
        <v>IRP19Solar_wS_WY_JB_T 2038</v>
      </c>
      <c r="AZ8" s="217" t="str">
        <f t="shared" ref="AZ8" si="12">AD8</f>
        <v>IRP19Solar_wS_UT_UTS_T 2024</v>
      </c>
      <c r="BA8" s="217" t="str">
        <f t="shared" ref="BA8" si="13">AE8</f>
        <v>IRP19Solar_wS_UT_UTS_T 2030</v>
      </c>
      <c r="BB8" s="217" t="str">
        <f>AF8</f>
        <v>IRP19Solar_wS_UT_UTS_T 2037</v>
      </c>
      <c r="BC8" s="217" t="str">
        <f>AG8</f>
        <v>IRP19_SCCT_NTN_2026_185MW</v>
      </c>
      <c r="BD8" s="217"/>
      <c r="BE8" s="217"/>
      <c r="BF8" s="217"/>
      <c r="BH8" s="212" t="s">
        <v>74</v>
      </c>
      <c r="BI8" s="212"/>
      <c r="BJ8" s="212"/>
      <c r="BK8" s="217" t="str">
        <f t="shared" ref="BK8:BY9" si="14">S8</f>
        <v>IRP19Wind_wS_YK_T 2029</v>
      </c>
      <c r="BL8" s="217" t="str">
        <f t="shared" si="14"/>
        <v>IRP19Wind_wS_YK_T 2037</v>
      </c>
      <c r="BM8" s="217">
        <f t="shared" si="14"/>
        <v>0</v>
      </c>
      <c r="BN8" s="217" t="str">
        <f t="shared" si="14"/>
        <v>IRP19Solar_wS_YK_T 2024</v>
      </c>
      <c r="BO8" s="217" t="str">
        <f t="shared" si="14"/>
        <v>IRP19Solar_wS_YK_T 2036</v>
      </c>
      <c r="BP8" s="217" t="str">
        <f t="shared" si="14"/>
        <v>IRP19Solar_wS_OR_T 2024</v>
      </c>
      <c r="BQ8" s="217" t="str">
        <f t="shared" si="14"/>
        <v>IRP19Solar_wS_OR_T 2033</v>
      </c>
      <c r="BR8" s="217" t="str">
        <f t="shared" si="14"/>
        <v>IRP19Solar_wS_UT_UTN_T 2024</v>
      </c>
      <c r="BS8" s="217" t="str">
        <f t="shared" si="14"/>
        <v>IRP19Solar_wS_WY_JB_T 2024</v>
      </c>
      <c r="BT8" s="217" t="str">
        <f t="shared" si="14"/>
        <v>IRP19Solar_wS_WY_JB_T 2029</v>
      </c>
      <c r="BU8" s="217" t="str">
        <f t="shared" si="14"/>
        <v>IRP19Solar_wS_WY_JB_T 2038</v>
      </c>
      <c r="BV8" s="217" t="str">
        <f t="shared" si="14"/>
        <v>IRP19Solar_wS_UT_UTS_T 2024</v>
      </c>
      <c r="BW8" s="217" t="str">
        <f t="shared" si="14"/>
        <v>IRP19Solar_wS_UT_UTS_T 2030</v>
      </c>
      <c r="BX8" s="217" t="str">
        <f t="shared" si="14"/>
        <v>IRP19Solar_wS_UT_UTS_T 2037</v>
      </c>
      <c r="BY8" s="217" t="str">
        <f t="shared" si="14"/>
        <v>IRP19_SCCT_NTN_2026_185MW</v>
      </c>
      <c r="BZ8" s="217"/>
      <c r="CA8" s="217"/>
      <c r="CB8" s="217"/>
      <c r="CD8" s="212" t="s">
        <v>75</v>
      </c>
      <c r="CE8" s="212"/>
      <c r="CF8" s="212"/>
      <c r="CI8" s="217"/>
      <c r="CN8" s="217"/>
      <c r="DB8" s="186" t="s">
        <v>74</v>
      </c>
      <c r="DC8" s="187" t="s">
        <v>75</v>
      </c>
    </row>
    <row r="9" spans="2:107" s="195" customFormat="1" ht="76.7" customHeight="1">
      <c r="B9" s="200"/>
      <c r="C9" s="201" t="s">
        <v>6</v>
      </c>
      <c r="D9" s="201"/>
      <c r="E9" s="202" t="s">
        <v>18</v>
      </c>
      <c r="F9" s="203"/>
      <c r="G9" s="204">
        <f ca="1">Study_CF</f>
        <v>0.85</v>
      </c>
      <c r="H9" s="205"/>
      <c r="I9" s="206"/>
      <c r="K9"/>
      <c r="L9"/>
      <c r="M9"/>
      <c r="P9" s="195" t="s">
        <v>195</v>
      </c>
      <c r="Q9" s="217" t="s">
        <v>229</v>
      </c>
      <c r="R9" s="195" t="s">
        <v>196</v>
      </c>
      <c r="S9" s="195" t="s">
        <v>197</v>
      </c>
      <c r="T9" s="217" t="s">
        <v>197</v>
      </c>
      <c r="U9" s="214" t="s">
        <v>198</v>
      </c>
      <c r="V9" s="195" t="s">
        <v>199</v>
      </c>
      <c r="W9" s="217" t="s">
        <v>199</v>
      </c>
      <c r="X9" s="195" t="s">
        <v>204</v>
      </c>
      <c r="Y9" s="217" t="s">
        <v>204</v>
      </c>
      <c r="Z9" s="214" t="s">
        <v>207</v>
      </c>
      <c r="AA9" s="195" t="s">
        <v>209</v>
      </c>
      <c r="AB9" s="217" t="s">
        <v>209</v>
      </c>
      <c r="AC9" s="217" t="s">
        <v>209</v>
      </c>
      <c r="AD9" s="195" t="s">
        <v>213</v>
      </c>
      <c r="AE9" s="217" t="s">
        <v>213</v>
      </c>
      <c r="AF9" s="217" t="s">
        <v>213</v>
      </c>
      <c r="AG9" s="209" t="s">
        <v>167</v>
      </c>
      <c r="AH9" s="209"/>
      <c r="AI9" s="209"/>
      <c r="AK9" s="208"/>
      <c r="AL9" s="195" t="str">
        <f>P9</f>
        <v>IRP19Wind_ID_T</v>
      </c>
      <c r="AM9" s="217" t="str">
        <f t="shared" ref="AM9:BA9" si="15">Q9</f>
        <v>IRP19Wind_UT_CP_T</v>
      </c>
      <c r="AN9" s="195" t="str">
        <f t="shared" si="15"/>
        <v>IRP19Wind_WYAE_T</v>
      </c>
      <c r="AO9" s="195" t="str">
        <f t="shared" si="15"/>
        <v>IRP19Wind_wS_YK_T</v>
      </c>
      <c r="AP9" s="195" t="str">
        <f t="shared" si="15"/>
        <v>IRP19Wind_wS_YK_T</v>
      </c>
      <c r="AQ9" s="214" t="str">
        <f t="shared" si="15"/>
        <v>IRP19Wind_wS_ID_T</v>
      </c>
      <c r="AR9" s="195" t="str">
        <f t="shared" si="15"/>
        <v>IRP19Solar_wS_YK_T</v>
      </c>
      <c r="AS9" s="195" t="str">
        <f t="shared" si="15"/>
        <v>IRP19Solar_wS_YK_T</v>
      </c>
      <c r="AT9" s="195" t="str">
        <f t="shared" si="15"/>
        <v>IRP19Solar_wS_OR_T</v>
      </c>
      <c r="AU9" s="195" t="str">
        <f t="shared" si="15"/>
        <v>IRP19Solar_wS_OR_T</v>
      </c>
      <c r="AV9" s="214" t="str">
        <f t="shared" si="15"/>
        <v>IRP19Solar_wS_UT_UTN_T</v>
      </c>
      <c r="AW9" s="195" t="str">
        <f t="shared" si="15"/>
        <v>IRP19Solar_wS_WY_JB_T</v>
      </c>
      <c r="AX9" s="209" t="str">
        <f t="shared" si="15"/>
        <v>IRP19Solar_wS_WY_JB_T</v>
      </c>
      <c r="AY9" s="209" t="str">
        <f t="shared" si="15"/>
        <v>IRP19Solar_wS_WY_JB_T</v>
      </c>
      <c r="AZ9" s="209" t="str">
        <f t="shared" si="15"/>
        <v>IRP19Solar_wS_UT_UTS_T</v>
      </c>
      <c r="BA9" s="209" t="str">
        <f t="shared" si="15"/>
        <v>IRP19Solar_wS_UT_UTS_T</v>
      </c>
      <c r="BB9" s="209" t="str">
        <f>AF9</f>
        <v>IRP19Solar_wS_UT_UTS_T</v>
      </c>
      <c r="BC9" s="217" t="str">
        <f>AG9</f>
        <v>IRP19_SCCT_NTN_2026_185MW</v>
      </c>
      <c r="BD9" s="209"/>
      <c r="BE9" s="209"/>
      <c r="BF9" s="209"/>
      <c r="BH9" s="195" t="str">
        <f>P9</f>
        <v>IRP19Wind_ID_T</v>
      </c>
      <c r="BI9" s="217" t="str">
        <f>Q9</f>
        <v>IRP19Wind_UT_CP_T</v>
      </c>
      <c r="BJ9" s="217" t="str">
        <f>R9</f>
        <v>IRP19Wind_WYAE_T</v>
      </c>
      <c r="BK9" s="217" t="str">
        <f t="shared" si="14"/>
        <v>IRP19Wind_wS_YK_T</v>
      </c>
      <c r="BL9" s="217" t="str">
        <f t="shared" si="14"/>
        <v>IRP19Wind_wS_YK_T</v>
      </c>
      <c r="BM9" s="217" t="str">
        <f t="shared" si="14"/>
        <v>IRP19Wind_wS_ID_T</v>
      </c>
      <c r="BN9" s="217" t="str">
        <f t="shared" si="14"/>
        <v>IRP19Solar_wS_YK_T</v>
      </c>
      <c r="BO9" s="217" t="str">
        <f t="shared" si="14"/>
        <v>IRP19Solar_wS_YK_T</v>
      </c>
      <c r="BP9" s="217" t="str">
        <f t="shared" si="14"/>
        <v>IRP19Solar_wS_OR_T</v>
      </c>
      <c r="BQ9" s="217" t="str">
        <f t="shared" si="14"/>
        <v>IRP19Solar_wS_OR_T</v>
      </c>
      <c r="BR9" s="217" t="str">
        <f t="shared" si="14"/>
        <v>IRP19Solar_wS_UT_UTN_T</v>
      </c>
      <c r="BS9" s="217" t="str">
        <f t="shared" si="14"/>
        <v>IRP19Solar_wS_WY_JB_T</v>
      </c>
      <c r="BT9" s="217" t="str">
        <f t="shared" si="14"/>
        <v>IRP19Solar_wS_WY_JB_T</v>
      </c>
      <c r="BU9" s="217" t="str">
        <f t="shared" si="14"/>
        <v>IRP19Solar_wS_WY_JB_T</v>
      </c>
      <c r="BV9" s="217" t="str">
        <f t="shared" si="14"/>
        <v>IRP19Solar_wS_UT_UTS_T</v>
      </c>
      <c r="BW9" s="217" t="str">
        <f t="shared" si="14"/>
        <v>IRP19Solar_wS_UT_UTS_T</v>
      </c>
      <c r="BX9" s="217" t="str">
        <f t="shared" si="14"/>
        <v>IRP19Solar_wS_UT_UTS_T</v>
      </c>
      <c r="BY9" s="217" t="str">
        <f t="shared" si="14"/>
        <v>IRP19_SCCT_NTN_2026_185MW</v>
      </c>
      <c r="BZ9" s="217"/>
      <c r="CA9" s="217"/>
      <c r="CB9" s="217"/>
      <c r="CD9" s="195" t="str">
        <f t="shared" ref="CD9:CX9" si="16">BH9</f>
        <v>IRP19Wind_ID_T</v>
      </c>
      <c r="CE9" s="217" t="str">
        <f t="shared" si="16"/>
        <v>IRP19Wind_UT_CP_T</v>
      </c>
      <c r="CF9" s="209" t="str">
        <f t="shared" si="16"/>
        <v>IRP19Wind_WYAE_T</v>
      </c>
      <c r="CG9" s="209" t="str">
        <f t="shared" si="16"/>
        <v>IRP19Wind_wS_YK_T</v>
      </c>
      <c r="CH9" s="209" t="str">
        <f t="shared" si="16"/>
        <v>IRP19Wind_wS_YK_T</v>
      </c>
      <c r="CI9" s="215" t="str">
        <f t="shared" si="16"/>
        <v>IRP19Wind_wS_ID_T</v>
      </c>
      <c r="CJ9" s="209" t="str">
        <f t="shared" si="16"/>
        <v>IRP19Solar_wS_YK_T</v>
      </c>
      <c r="CK9" s="209" t="str">
        <f t="shared" si="16"/>
        <v>IRP19Solar_wS_YK_T</v>
      </c>
      <c r="CL9" s="209" t="str">
        <f t="shared" si="16"/>
        <v>IRP19Solar_wS_OR_T</v>
      </c>
      <c r="CM9" s="209" t="str">
        <f t="shared" si="16"/>
        <v>IRP19Solar_wS_OR_T</v>
      </c>
      <c r="CN9" s="215" t="str">
        <f t="shared" si="16"/>
        <v>IRP19Solar_wS_UT_UTN_T</v>
      </c>
      <c r="CO9" s="209" t="str">
        <f t="shared" si="16"/>
        <v>IRP19Solar_wS_WY_JB_T</v>
      </c>
      <c r="CP9" s="209" t="str">
        <f t="shared" si="16"/>
        <v>IRP19Solar_wS_WY_JB_T</v>
      </c>
      <c r="CQ9" s="209" t="str">
        <f t="shared" si="16"/>
        <v>IRP19Solar_wS_WY_JB_T</v>
      </c>
      <c r="CR9" s="209" t="str">
        <f t="shared" si="16"/>
        <v>IRP19Solar_wS_UT_UTS_T</v>
      </c>
      <c r="CS9" s="209" t="str">
        <f t="shared" si="16"/>
        <v>IRP19Solar_wS_UT_UTS_T</v>
      </c>
      <c r="CT9" s="209" t="str">
        <f t="shared" si="16"/>
        <v>IRP19Solar_wS_UT_UTS_T</v>
      </c>
      <c r="CU9" s="209" t="str">
        <f t="shared" si="16"/>
        <v>IRP19_SCCT_NTN_2026_185MW</v>
      </c>
      <c r="CV9" s="209">
        <f t="shared" si="16"/>
        <v>0</v>
      </c>
      <c r="CW9" s="209">
        <f t="shared" si="16"/>
        <v>0</v>
      </c>
      <c r="CX9" s="209">
        <f t="shared" si="16"/>
        <v>0</v>
      </c>
      <c r="CY9" s="195" t="s">
        <v>76</v>
      </c>
      <c r="DB9" s="195" t="s">
        <v>85</v>
      </c>
      <c r="DC9" s="195" t="s">
        <v>85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77</v>
      </c>
      <c r="BI11" t="s">
        <v>77</v>
      </c>
      <c r="BJ11" t="s">
        <v>77</v>
      </c>
      <c r="BK11" t="s">
        <v>77</v>
      </c>
      <c r="BL11" t="s">
        <v>77</v>
      </c>
      <c r="BM11" t="s">
        <v>77</v>
      </c>
      <c r="BN11" t="s">
        <v>77</v>
      </c>
      <c r="BO11" t="s">
        <v>77</v>
      </c>
      <c r="BP11" t="s">
        <v>77</v>
      </c>
      <c r="BQ11" t="s">
        <v>77</v>
      </c>
      <c r="BR11" t="s">
        <v>77</v>
      </c>
      <c r="BS11" t="s">
        <v>77</v>
      </c>
      <c r="BT11" t="s">
        <v>77</v>
      </c>
      <c r="BU11" t="s">
        <v>77</v>
      </c>
      <c r="BV11" t="s">
        <v>77</v>
      </c>
      <c r="BW11" t="s">
        <v>77</v>
      </c>
      <c r="BX11" t="s">
        <v>77</v>
      </c>
      <c r="BY11" t="s">
        <v>77</v>
      </c>
      <c r="CD11" t="s">
        <v>78</v>
      </c>
      <c r="CE11" t="s">
        <v>78</v>
      </c>
      <c r="CF11" t="s">
        <v>78</v>
      </c>
      <c r="CG11" t="s">
        <v>78</v>
      </c>
      <c r="CH11" t="s">
        <v>78</v>
      </c>
      <c r="CI11" t="s">
        <v>78</v>
      </c>
      <c r="CJ11" t="s">
        <v>78</v>
      </c>
      <c r="CK11" t="s">
        <v>78</v>
      </c>
      <c r="CL11" t="s">
        <v>78</v>
      </c>
      <c r="CM11" t="s">
        <v>78</v>
      </c>
      <c r="CN11" t="s">
        <v>78</v>
      </c>
      <c r="CO11" t="s">
        <v>78</v>
      </c>
      <c r="CP11" t="s">
        <v>78</v>
      </c>
      <c r="CQ11" t="s">
        <v>78</v>
      </c>
      <c r="CR11" t="s">
        <v>78</v>
      </c>
      <c r="CS11" t="s">
        <v>78</v>
      </c>
      <c r="CT11" t="s">
        <v>78</v>
      </c>
      <c r="CU11" t="s">
        <v>78</v>
      </c>
      <c r="CV11" t="s">
        <v>78</v>
      </c>
      <c r="CW11" t="s">
        <v>78</v>
      </c>
      <c r="CX11" t="s">
        <v>78</v>
      </c>
      <c r="CY11" t="s">
        <v>78</v>
      </c>
      <c r="DB11" t="s">
        <v>77</v>
      </c>
      <c r="DC11" t="s">
        <v>78</v>
      </c>
    </row>
    <row r="12" spans="2:107" customFormat="1">
      <c r="B12" s="171"/>
      <c r="C12" s="172"/>
      <c r="D12" s="171"/>
      <c r="E12" s="12"/>
      <c r="F12" s="12"/>
      <c r="G12" s="3"/>
      <c r="H12" s="36"/>
      <c r="I12" s="89"/>
      <c r="BU12" s="367"/>
    </row>
    <row r="13" spans="2:107" customFormat="1">
      <c r="B13" s="15">
        <f>'Table 5'!J13</f>
        <v>2022</v>
      </c>
      <c r="C13" s="9">
        <f t="shared" ref="C13:C38" si="17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25.045517205749665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25.045517205749665</v>
      </c>
      <c r="H13" s="36"/>
      <c r="I13" s="174"/>
      <c r="J13" s="174"/>
      <c r="O13">
        <f t="shared" ref="O13:O32" si="18">B13</f>
        <v>2022</v>
      </c>
      <c r="P13">
        <v>0</v>
      </c>
      <c r="Q13">
        <v>0</v>
      </c>
      <c r="R13">
        <v>0</v>
      </c>
      <c r="S13" s="366">
        <v>0</v>
      </c>
      <c r="T13" s="366">
        <v>0</v>
      </c>
      <c r="U13" s="174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L13">
        <f t="shared" ref="AL13:AM33" si="19">P13/P$5</f>
        <v>0</v>
      </c>
      <c r="AM13">
        <f t="shared" si="19"/>
        <v>0</v>
      </c>
      <c r="AN13">
        <f t="shared" ref="AN13:AN30" si="20">R13/R$5</f>
        <v>0</v>
      </c>
      <c r="AO13">
        <f t="shared" ref="AO13:AO30" si="21">S13/S$5</f>
        <v>0</v>
      </c>
      <c r="AP13">
        <f t="shared" ref="AP13:AP30" si="22">T13/T$5</f>
        <v>0</v>
      </c>
      <c r="AQ13">
        <f t="shared" ref="AQ13:AQ30" si="23">U13/U$5</f>
        <v>0</v>
      </c>
      <c r="AR13">
        <f t="shared" ref="AR13:AR30" si="24">V13/V$5</f>
        <v>0</v>
      </c>
      <c r="AS13">
        <f t="shared" ref="AS13:AS30" si="25">W13/W$5</f>
        <v>0</v>
      </c>
      <c r="AT13">
        <f t="shared" ref="AT13:AT30" si="26">X13/X$5</f>
        <v>0</v>
      </c>
      <c r="AU13">
        <f t="shared" ref="AU13:AU30" si="27">Y13/Y$5</f>
        <v>0</v>
      </c>
      <c r="AV13">
        <f t="shared" ref="AV13:AV30" si="28">Z13/Z$5</f>
        <v>0</v>
      </c>
      <c r="AW13">
        <f t="shared" ref="AW13:AW30" si="29">AA13/AA$5</f>
        <v>0</v>
      </c>
      <c r="AX13">
        <f t="shared" ref="AX13:AX30" si="30">AB13/AB$5</f>
        <v>0</v>
      </c>
      <c r="AY13">
        <f t="shared" ref="AY13:AY30" si="31">AC13/AC$5</f>
        <v>0</v>
      </c>
      <c r="AZ13">
        <f t="shared" ref="AZ13:AZ30" si="32">AD13/AD$5</f>
        <v>0</v>
      </c>
      <c r="BA13">
        <f t="shared" ref="BA13:BA30" si="33">AE13/AE$5</f>
        <v>0</v>
      </c>
      <c r="BB13">
        <f t="shared" ref="BB13:BB30" si="34">AF13/AF$5</f>
        <v>0</v>
      </c>
      <c r="BC13">
        <f t="shared" ref="BC13:BC30" si="35">AG13/AG$5</f>
        <v>0</v>
      </c>
      <c r="BG13">
        <f>O13</f>
        <v>2022</v>
      </c>
      <c r="BH13" s="130">
        <f>IFERROR(VLOOKUP($O13,'Table 3 ID Wind_2030'!$B$10:$K$37,10,FALSE),0)</f>
        <v>0</v>
      </c>
      <c r="BI13" s="130">
        <f>IFERROR(VLOOKUP($O13,'Table 3 UT CP Wind_2023'!$B$10:$K$37,10,FALSE),0)</f>
        <v>0</v>
      </c>
      <c r="BJ13" s="130">
        <f>IFERROR(VLOOKUP($O13,'Table 3 WYAE Wind_2024'!$B$10:$L$37,11,FALSE),0)</f>
        <v>0</v>
      </c>
      <c r="BK13" s="130">
        <f>IFERROR(VLOOKUP($O13,'Table 3 YK Wind wS_2029'!$B$10:$K$37,10,FALSE),0)</f>
        <v>0</v>
      </c>
      <c r="BL13" s="368"/>
      <c r="BM13" s="130">
        <f>IFERROR(VLOOKUP($O13,'Table 3 ID Wind wS_2032'!$B$10:$K$38,10,FALSE),0)</f>
        <v>0</v>
      </c>
      <c r="BN13" s="130">
        <f>IFERROR(VLOOKUP($O13,'Table 3 PV wS YK_2024'!$B$10:$K$40,10,FALSE),0)</f>
        <v>26.69</v>
      </c>
      <c r="BO13" s="368"/>
      <c r="BP13" s="130">
        <f>IFERROR(VLOOKUP($O13,'Table 3 PV wS SO_2024'!$B$10:$K$40,10,FALSE),0)</f>
        <v>26.69</v>
      </c>
      <c r="BQ13" s="368"/>
      <c r="BR13" s="130">
        <f>IFERROR(VLOOKUP($O13,'Table 3 PV wS UTN_2024'!$B$10:$K$43,10,FALSE),0)</f>
        <v>26.69</v>
      </c>
      <c r="BS13" s="130">
        <f>IFERROR(VLOOKUP($O13,'Table 3 PV wS JB_2024'!$B$10:$K$40,10,FALSE),0)</f>
        <v>26.69</v>
      </c>
      <c r="BT13" s="130">
        <f>IFERROR(VLOOKUP($O13,'Table 3 PV wS JB_2029'!$B$10:$K$40,10,FALSE),0)</f>
        <v>26.69</v>
      </c>
      <c r="BU13" s="368"/>
      <c r="BV13" s="130">
        <f>IFERROR(VLOOKUP($O13,'Table 3 PV wS UTS_2024'!$B$10:$K$38,10,FALSE),0)</f>
        <v>26.69</v>
      </c>
      <c r="BW13" s="130">
        <f>IFERROR(VLOOKUP($O13,'Table 3 PV wS UTS_2030'!$B$10:$K$38,10,FALSE),0)</f>
        <v>26.69</v>
      </c>
      <c r="BX13" s="367"/>
      <c r="BY13" s="130">
        <f>IFERROR(VLOOKUP($O13,'Table 3 185 MW (NTN) 2026)'!$B$13:$L$40,11,FALSE),0)</f>
        <v>8.43</v>
      </c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" si="36">SUM(CD13:CX13)</f>
        <v>0</v>
      </c>
      <c r="DA13">
        <f t="shared" ref="DA13:DA30" si="37">O13</f>
        <v>2022</v>
      </c>
      <c r="DB13" s="89">
        <f>IFERROR(VLOOKUP($DA13,'Table 3 TransCost'!$B$10:$E$40,4,FALSE),0)</f>
        <v>0</v>
      </c>
      <c r="DC13" s="174">
        <f>$DB$5*DB13/1000</f>
        <v>0</v>
      </c>
    </row>
    <row r="14" spans="2:107" customFormat="1" hidden="1">
      <c r="B14" s="15"/>
      <c r="C14" s="9"/>
      <c r="D14" s="45"/>
      <c r="E14" s="9"/>
      <c r="F14" s="37"/>
      <c r="G14" s="14"/>
      <c r="H14" s="36"/>
      <c r="I14" s="174"/>
      <c r="J14" s="174"/>
      <c r="S14" s="366"/>
      <c r="T14" s="366"/>
      <c r="U14" s="174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BH14" s="130"/>
      <c r="BI14" s="130"/>
      <c r="BJ14" s="130"/>
      <c r="BK14" s="130"/>
      <c r="BL14" s="368"/>
      <c r="BM14" s="130"/>
      <c r="BN14" s="130"/>
      <c r="BO14" s="368"/>
      <c r="BP14" s="130"/>
      <c r="BQ14" s="368"/>
      <c r="BR14" s="130"/>
      <c r="BS14" s="130"/>
      <c r="BT14" s="130"/>
      <c r="BU14" s="368"/>
      <c r="BV14" s="130"/>
      <c r="BW14" s="130"/>
      <c r="BX14" s="367"/>
      <c r="BY14" s="130"/>
      <c r="DB14" s="89"/>
      <c r="DC14" s="174"/>
    </row>
    <row r="15" spans="2:107" customFormat="1" hidden="1">
      <c r="B15" s="15"/>
      <c r="C15" s="9"/>
      <c r="D15" s="45"/>
      <c r="E15" s="9"/>
      <c r="F15" s="37"/>
      <c r="G15" s="14"/>
      <c r="H15" s="36"/>
      <c r="I15" s="174"/>
      <c r="J15" s="174"/>
      <c r="N15" s="89"/>
      <c r="S15" s="366"/>
      <c r="T15" s="366"/>
      <c r="U15" s="174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BH15" s="130"/>
      <c r="BI15" s="130"/>
      <c r="BJ15" s="130"/>
      <c r="BK15" s="130"/>
      <c r="BL15" s="368"/>
      <c r="BM15" s="130"/>
      <c r="BN15" s="130"/>
      <c r="BO15" s="368"/>
      <c r="BP15" s="130"/>
      <c r="BQ15" s="368"/>
      <c r="BR15" s="130"/>
      <c r="BS15" s="130"/>
      <c r="BT15" s="130"/>
      <c r="BU15" s="368"/>
      <c r="BV15" s="130"/>
      <c r="BW15" s="130"/>
      <c r="BX15" s="367"/>
      <c r="BY15" s="130"/>
      <c r="DB15" s="89"/>
      <c r="DC15" s="174"/>
    </row>
    <row r="16" spans="2:107" customFormat="1" hidden="1">
      <c r="B16" s="15"/>
      <c r="C16" s="9"/>
      <c r="D16" s="45"/>
      <c r="E16" s="9"/>
      <c r="F16" s="37"/>
      <c r="G16" s="14"/>
      <c r="H16" s="36"/>
      <c r="I16" s="174"/>
      <c r="J16" s="174"/>
      <c r="M16" s="111"/>
      <c r="S16" s="366"/>
      <c r="T16" s="366"/>
      <c r="U16" s="174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BH16" s="130"/>
      <c r="BI16" s="130"/>
      <c r="BJ16" s="130"/>
      <c r="BK16" s="130"/>
      <c r="BL16" s="368"/>
      <c r="BM16" s="130"/>
      <c r="BN16" s="130"/>
      <c r="BO16" s="368"/>
      <c r="BP16" s="130"/>
      <c r="BQ16" s="368"/>
      <c r="BR16" s="130"/>
      <c r="BS16" s="130"/>
      <c r="BT16" s="130"/>
      <c r="BU16" s="368"/>
      <c r="BV16" s="130"/>
      <c r="BW16" s="130"/>
      <c r="BX16" s="367"/>
      <c r="BY16" s="130"/>
      <c r="DB16" s="89"/>
      <c r="DC16" s="174"/>
    </row>
    <row r="17" spans="2:107" hidden="1">
      <c r="B17" s="15"/>
      <c r="C17" s="9"/>
      <c r="D17" s="45"/>
      <c r="E17" s="9"/>
      <c r="F17" s="37"/>
      <c r="G17" s="14"/>
      <c r="H17" s="36"/>
      <c r="I17" s="174"/>
      <c r="J17" s="174"/>
      <c r="M17" s="112"/>
      <c r="S17" s="366"/>
      <c r="T17" s="366"/>
      <c r="U17" s="174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400"/>
      <c r="BC17" s="174"/>
      <c r="BH17" s="130"/>
      <c r="BI17" s="130"/>
      <c r="BJ17" s="130"/>
      <c r="BK17" s="130"/>
      <c r="BL17" s="368"/>
      <c r="BM17" s="130"/>
      <c r="BN17" s="130"/>
      <c r="BO17" s="368"/>
      <c r="BP17" s="130"/>
      <c r="BQ17" s="368"/>
      <c r="BR17" s="130"/>
      <c r="BS17" s="130"/>
      <c r="BT17" s="130"/>
      <c r="BU17" s="368"/>
      <c r="BV17" s="130"/>
      <c r="BW17" s="130"/>
      <c r="BX17" s="367"/>
      <c r="BY17" s="130"/>
      <c r="DB17" s="89"/>
      <c r="DC17" s="174"/>
    </row>
    <row r="18" spans="2:107" hidden="1">
      <c r="B18" s="15"/>
      <c r="C18" s="9"/>
      <c r="D18" s="45"/>
      <c r="E18" s="9"/>
      <c r="F18" s="37"/>
      <c r="G18" s="14"/>
      <c r="H18" s="36"/>
      <c r="I18" s="174"/>
      <c r="J18" s="174"/>
      <c r="M18" s="112"/>
      <c r="S18" s="401"/>
      <c r="T18" s="366"/>
      <c r="U18" s="174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O18" s="89"/>
      <c r="BH18" s="130"/>
      <c r="BI18" s="130"/>
      <c r="BJ18" s="130"/>
      <c r="BK18" s="130"/>
      <c r="BL18" s="368"/>
      <c r="BM18" s="130"/>
      <c r="BN18" s="130"/>
      <c r="BO18" s="368"/>
      <c r="BP18" s="130"/>
      <c r="BQ18" s="368"/>
      <c r="BR18" s="130"/>
      <c r="BS18" s="130"/>
      <c r="BT18" s="130"/>
      <c r="BU18" s="368"/>
      <c r="BV18" s="130"/>
      <c r="BW18" s="130"/>
      <c r="BX18" s="367"/>
      <c r="BY18" s="130"/>
      <c r="DB18" s="89"/>
      <c r="DC18" s="174"/>
    </row>
    <row r="19" spans="2:107" hidden="1">
      <c r="B19" s="15"/>
      <c r="C19" s="9"/>
      <c r="D19" s="45"/>
      <c r="E19" s="9"/>
      <c r="F19" s="37"/>
      <c r="G19" s="14"/>
      <c r="H19" s="36"/>
      <c r="I19" s="174"/>
      <c r="J19" s="174"/>
      <c r="M19" s="112"/>
      <c r="S19" s="366"/>
      <c r="T19" s="366"/>
      <c r="U19" s="174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BH19" s="130"/>
      <c r="BI19" s="130"/>
      <c r="BJ19" s="130"/>
      <c r="BK19" s="130"/>
      <c r="BL19" s="368"/>
      <c r="BM19" s="130"/>
      <c r="BN19" s="130"/>
      <c r="BO19" s="368"/>
      <c r="BP19" s="130"/>
      <c r="BQ19" s="368"/>
      <c r="BR19" s="130"/>
      <c r="BS19" s="130"/>
      <c r="BT19" s="130"/>
      <c r="BU19" s="368"/>
      <c r="BV19" s="130"/>
      <c r="BW19" s="130"/>
      <c r="BX19" s="367"/>
      <c r="BY19" s="130"/>
      <c r="DB19" s="89"/>
      <c r="DC19" s="174"/>
    </row>
    <row r="20" spans="2:107" hidden="1">
      <c r="B20" s="15"/>
      <c r="C20" s="9"/>
      <c r="D20" s="45"/>
      <c r="E20" s="9"/>
      <c r="F20" s="37"/>
      <c r="G20" s="14"/>
      <c r="H20" s="36"/>
      <c r="I20" s="174"/>
      <c r="J20" s="174"/>
      <c r="M20" s="112"/>
      <c r="S20" s="366"/>
      <c r="T20" s="366"/>
      <c r="U20" s="174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BH20" s="130"/>
      <c r="BI20" s="130"/>
      <c r="BJ20" s="130"/>
      <c r="BK20" s="130"/>
      <c r="BL20" s="368"/>
      <c r="BM20" s="130"/>
      <c r="BN20" s="130"/>
      <c r="BO20" s="368"/>
      <c r="BP20" s="130"/>
      <c r="BQ20" s="368"/>
      <c r="BR20" s="130"/>
      <c r="BS20" s="130"/>
      <c r="BT20" s="130"/>
      <c r="BU20" s="368"/>
      <c r="BV20" s="130"/>
      <c r="BW20" s="130"/>
      <c r="BX20" s="367"/>
      <c r="BY20" s="130"/>
      <c r="DB20" s="89"/>
      <c r="DC20" s="174"/>
    </row>
    <row r="21" spans="2:107" hidden="1">
      <c r="B21" s="15"/>
      <c r="C21" s="9"/>
      <c r="D21" s="45"/>
      <c r="E21" s="9"/>
      <c r="F21" s="37"/>
      <c r="G21" s="14"/>
      <c r="H21" s="36"/>
      <c r="I21" s="174"/>
      <c r="J21" s="174"/>
      <c r="M21" s="112"/>
      <c r="S21" s="366"/>
      <c r="T21" s="366"/>
      <c r="U21" s="174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BH21" s="130"/>
      <c r="BI21" s="130"/>
      <c r="BJ21" s="130"/>
      <c r="BK21" s="130"/>
      <c r="BL21" s="368"/>
      <c r="BM21" s="130"/>
      <c r="BN21" s="130"/>
      <c r="BO21" s="368"/>
      <c r="BP21" s="130"/>
      <c r="BQ21" s="368"/>
      <c r="BR21" s="130"/>
      <c r="BS21" s="130"/>
      <c r="BT21" s="130"/>
      <c r="BU21" s="368"/>
      <c r="BV21" s="130"/>
      <c r="BW21" s="130"/>
      <c r="BX21" s="367"/>
      <c r="BY21" s="130"/>
      <c r="DB21" s="89"/>
      <c r="DC21" s="174"/>
    </row>
    <row r="22" spans="2:107" hidden="1">
      <c r="B22" s="15"/>
      <c r="C22" s="9"/>
      <c r="D22" s="45"/>
      <c r="E22" s="9"/>
      <c r="F22" s="37"/>
      <c r="G22" s="14"/>
      <c r="H22" s="36"/>
      <c r="I22" s="174"/>
      <c r="J22" s="174"/>
      <c r="M22" s="112"/>
      <c r="S22" s="366"/>
      <c r="T22" s="366"/>
      <c r="U22" s="174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BH22" s="130"/>
      <c r="BI22" s="130"/>
      <c r="BJ22" s="130"/>
      <c r="BK22" s="130"/>
      <c r="BL22" s="368"/>
      <c r="BM22" s="130"/>
      <c r="BN22" s="130"/>
      <c r="BO22" s="368"/>
      <c r="BP22" s="130"/>
      <c r="BQ22" s="368"/>
      <c r="BR22" s="130"/>
      <c r="BS22" s="130"/>
      <c r="BT22" s="130"/>
      <c r="BU22" s="368"/>
      <c r="BV22" s="130"/>
      <c r="BW22" s="130"/>
      <c r="BX22" s="367"/>
      <c r="BY22" s="130"/>
      <c r="DB22" s="89"/>
      <c r="DC22" s="174"/>
    </row>
    <row r="23" spans="2:107" hidden="1">
      <c r="B23" s="15"/>
      <c r="C23" s="9"/>
      <c r="D23" s="45"/>
      <c r="E23" s="9"/>
      <c r="F23" s="37"/>
      <c r="G23" s="14"/>
      <c r="H23" s="36"/>
      <c r="I23" s="174"/>
      <c r="J23" s="174"/>
      <c r="M23" s="112"/>
      <c r="S23" s="366"/>
      <c r="T23" s="366"/>
      <c r="U23" s="174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BH23" s="130"/>
      <c r="BI23" s="130"/>
      <c r="BJ23" s="130"/>
      <c r="BK23" s="130"/>
      <c r="BL23" s="368"/>
      <c r="BM23" s="130"/>
      <c r="BN23" s="130"/>
      <c r="BO23" s="368"/>
      <c r="BP23" s="130"/>
      <c r="BQ23" s="368"/>
      <c r="BR23" s="130"/>
      <c r="BS23" s="130"/>
      <c r="BT23" s="130"/>
      <c r="BU23" s="368"/>
      <c r="BV23" s="130"/>
      <c r="BW23" s="130"/>
      <c r="BX23" s="367"/>
      <c r="BY23" s="130"/>
      <c r="DB23" s="89"/>
      <c r="DC23" s="174"/>
    </row>
    <row r="24" spans="2:107" hidden="1">
      <c r="B24" s="15"/>
      <c r="C24" s="9"/>
      <c r="D24" s="45"/>
      <c r="E24" s="9"/>
      <c r="F24" s="37"/>
      <c r="G24" s="14"/>
      <c r="H24" s="36"/>
      <c r="I24" s="174"/>
      <c r="J24" s="174"/>
      <c r="M24" s="112"/>
      <c r="S24" s="366"/>
      <c r="T24" s="366"/>
      <c r="U24" s="174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BH24" s="130"/>
      <c r="BI24" s="130"/>
      <c r="BJ24" s="130"/>
      <c r="BK24" s="130"/>
      <c r="BL24" s="368"/>
      <c r="BM24" s="130"/>
      <c r="BN24" s="130"/>
      <c r="BO24" s="368"/>
      <c r="BP24" s="130"/>
      <c r="BQ24" s="368"/>
      <c r="BR24" s="130"/>
      <c r="BS24" s="130"/>
      <c r="BT24" s="130"/>
      <c r="BU24" s="368"/>
      <c r="BV24" s="130"/>
      <c r="BW24" s="130"/>
      <c r="BX24" s="367"/>
      <c r="BY24" s="130"/>
      <c r="DB24" s="89"/>
      <c r="DC24" s="174"/>
    </row>
    <row r="25" spans="2:107" hidden="1">
      <c r="B25" s="15"/>
      <c r="C25" s="9"/>
      <c r="D25" s="45"/>
      <c r="E25" s="9"/>
      <c r="F25" s="37"/>
      <c r="G25" s="14"/>
      <c r="H25" s="36"/>
      <c r="I25" s="174"/>
      <c r="J25" s="174"/>
      <c r="M25" s="112"/>
      <c r="S25" s="366"/>
      <c r="T25" s="366"/>
      <c r="U25" s="174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BH25" s="130"/>
      <c r="BI25" s="130"/>
      <c r="BJ25" s="130"/>
      <c r="BK25" s="130"/>
      <c r="BL25" s="368"/>
      <c r="BM25" s="130"/>
      <c r="BN25" s="130"/>
      <c r="BO25" s="368"/>
      <c r="BP25" s="130"/>
      <c r="BQ25" s="368"/>
      <c r="BR25" s="130"/>
      <c r="BS25" s="130"/>
      <c r="BT25" s="130"/>
      <c r="BU25" s="368"/>
      <c r="BV25" s="130"/>
      <c r="BW25" s="130"/>
      <c r="BX25" s="367"/>
      <c r="BY25" s="130"/>
      <c r="DB25" s="89"/>
      <c r="DC25" s="174"/>
    </row>
    <row r="26" spans="2:107" hidden="1">
      <c r="B26" s="15"/>
      <c r="C26" s="9"/>
      <c r="D26" s="45"/>
      <c r="E26" s="9"/>
      <c r="F26" s="37"/>
      <c r="G26" s="14"/>
      <c r="H26" s="36"/>
      <c r="I26" s="174"/>
      <c r="J26" s="174"/>
      <c r="M26" s="112"/>
      <c r="S26" s="366"/>
      <c r="T26" s="366"/>
      <c r="U26" s="174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BH26" s="130"/>
      <c r="BI26" s="130"/>
      <c r="BJ26" s="130"/>
      <c r="BK26" s="130"/>
      <c r="BL26" s="368"/>
      <c r="BM26" s="130"/>
      <c r="BN26" s="130"/>
      <c r="BO26" s="368"/>
      <c r="BP26" s="130"/>
      <c r="BQ26" s="368"/>
      <c r="BR26" s="130"/>
      <c r="BS26" s="130"/>
      <c r="BT26" s="130"/>
      <c r="BU26" s="368"/>
      <c r="BV26" s="130"/>
      <c r="BW26" s="130"/>
      <c r="BX26" s="367"/>
      <c r="BY26" s="130"/>
      <c r="DB26" s="89"/>
      <c r="DC26" s="174"/>
    </row>
    <row r="27" spans="2:107" hidden="1">
      <c r="B27" s="15"/>
      <c r="C27" s="9"/>
      <c r="D27" s="45"/>
      <c r="E27" s="9"/>
      <c r="F27" s="37"/>
      <c r="G27" s="14"/>
      <c r="H27" s="36"/>
      <c r="I27" s="174"/>
      <c r="J27" s="174"/>
      <c r="M27" s="112"/>
      <c r="S27" s="366"/>
      <c r="T27" s="366"/>
      <c r="U27" s="174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BH27" s="130"/>
      <c r="BI27" s="130"/>
      <c r="BJ27" s="130"/>
      <c r="BK27" s="130"/>
      <c r="BL27" s="368"/>
      <c r="BM27" s="130"/>
      <c r="BN27" s="130"/>
      <c r="BO27" s="368"/>
      <c r="BP27" s="130"/>
      <c r="BQ27" s="368"/>
      <c r="BR27" s="130"/>
      <c r="BS27" s="130"/>
      <c r="BT27" s="130"/>
      <c r="BU27" s="368"/>
      <c r="BV27" s="130"/>
      <c r="BW27" s="130"/>
      <c r="BX27" s="367"/>
      <c r="BY27" s="130"/>
      <c r="DB27" s="89"/>
      <c r="DC27" s="174"/>
    </row>
    <row r="28" spans="2:107" hidden="1">
      <c r="B28" s="15"/>
      <c r="C28" s="9"/>
      <c r="D28" s="45"/>
      <c r="E28" s="9"/>
      <c r="F28" s="37"/>
      <c r="G28" s="14"/>
      <c r="H28" s="36"/>
      <c r="I28" s="174"/>
      <c r="J28" s="174"/>
      <c r="M28" s="112"/>
      <c r="S28" s="366"/>
      <c r="T28" s="366"/>
      <c r="U28" s="174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BH28" s="130"/>
      <c r="BI28" s="130"/>
      <c r="BJ28" s="130"/>
      <c r="BK28" s="130"/>
      <c r="BL28" s="368"/>
      <c r="BM28" s="130"/>
      <c r="BN28" s="130"/>
      <c r="BO28" s="368"/>
      <c r="BP28" s="130"/>
      <c r="BQ28" s="368"/>
      <c r="BR28" s="130"/>
      <c r="BS28" s="130"/>
      <c r="BT28" s="130"/>
      <c r="BU28" s="368"/>
      <c r="BV28" s="130"/>
      <c r="BW28" s="130"/>
      <c r="BX28" s="367"/>
      <c r="BY28" s="130"/>
      <c r="DB28" s="89"/>
      <c r="DC28" s="174"/>
    </row>
    <row r="29" spans="2:107" hidden="1">
      <c r="B29" s="15">
        <f t="shared" ref="B29:B38" si="38">B28+1</f>
        <v>1</v>
      </c>
      <c r="C29" s="9" t="e">
        <f t="shared" si="17"/>
        <v>#N/A</v>
      </c>
      <c r="D29" s="45"/>
      <c r="E29" s="9" t="e">
        <f t="shared" ref="E29:E32" ca="1" si="39">SUMIF(INDIRECT("'Table 5'!$J$"&amp;$K$3&amp;":$J$"&amp;$K$4),B29,INDIRECT("'Table 5'!$c$"&amp;$K$3&amp;":$c$"&amp;$K$4))/SUMIF(INDIRECT("'Table 5'!$J$"&amp;$K$3&amp;":$J$"&amp;$K$4),B29,INDIRECT("'Table 5'!$f$"&amp;$K$3&amp;":$f$"&amp;$K$4))</f>
        <v>#DIV/0!</v>
      </c>
      <c r="F29" s="37"/>
      <c r="G29" s="14" t="e">
        <f t="shared" ref="G29:G38" ca="1" si="40">SUMIF(INDIRECT("'Table 5'!$J$"&amp;$K$3&amp;":$J$"&amp;$K$4),B29,INDIRECT("'Table 5'!$e$"&amp;$K$3&amp;":$e$"&amp;$K$4))/SUMIF(INDIRECT("'Table 5'!$J$"&amp;$K$3&amp;":$J$"&amp;$K$4),B29,INDIRECT("'Table 5'!$f$"&amp;$K$3&amp;":$f$"&amp;$K$4))</f>
        <v>#DIV/0!</v>
      </c>
      <c r="H29" s="36" t="e">
        <f t="shared" ref="H29:H38" ca="1" si="41">G29-E29</f>
        <v>#DIV/0!</v>
      </c>
      <c r="I29" s="174"/>
      <c r="J29" s="174"/>
      <c r="M29" s="112"/>
      <c r="O29">
        <f t="shared" si="18"/>
        <v>1</v>
      </c>
      <c r="P29" t="e">
        <v>#N/A</v>
      </c>
      <c r="Q29" t="e">
        <v>#N/A</v>
      </c>
      <c r="R29" t="e">
        <v>#N/A</v>
      </c>
      <c r="S29" s="366" t="e">
        <v>#N/A</v>
      </c>
      <c r="T29" s="366" t="e">
        <v>#N/A</v>
      </c>
      <c r="U29" s="174" t="e">
        <v>#N/A</v>
      </c>
      <c r="V29" s="366" t="e">
        <v>#N/A</v>
      </c>
      <c r="W29" s="366" t="e">
        <v>#N/A</v>
      </c>
      <c r="X29" s="366" t="e">
        <v>#N/A</v>
      </c>
      <c r="Y29" s="366" t="e">
        <v>#N/A</v>
      </c>
      <c r="Z29" s="366" t="e">
        <v>#N/A</v>
      </c>
      <c r="AA29" s="366" t="e">
        <v>#N/A</v>
      </c>
      <c r="AB29" s="366" t="e">
        <v>#N/A</v>
      </c>
      <c r="AC29" s="366" t="e">
        <v>#N/A</v>
      </c>
      <c r="AD29" s="366" t="e">
        <v>#N/A</v>
      </c>
      <c r="AE29" s="366" t="e">
        <v>#N/A</v>
      </c>
      <c r="AF29" s="366" t="e">
        <v>#N/A</v>
      </c>
      <c r="AG29" s="366" t="e">
        <v>#N/A</v>
      </c>
      <c r="AL29" t="e">
        <f t="shared" si="19"/>
        <v>#N/A</v>
      </c>
      <c r="AM29" t="e">
        <f t="shared" si="19"/>
        <v>#N/A</v>
      </c>
      <c r="AN29" t="e">
        <f t="shared" si="20"/>
        <v>#N/A</v>
      </c>
      <c r="AO29" t="e">
        <f t="shared" si="21"/>
        <v>#N/A</v>
      </c>
      <c r="AP29" t="e">
        <f t="shared" si="22"/>
        <v>#N/A</v>
      </c>
      <c r="AQ29" t="e">
        <f t="shared" si="23"/>
        <v>#N/A</v>
      </c>
      <c r="AR29" t="e">
        <f t="shared" si="24"/>
        <v>#N/A</v>
      </c>
      <c r="AS29" t="e">
        <f t="shared" si="25"/>
        <v>#N/A</v>
      </c>
      <c r="AT29" t="e">
        <f t="shared" si="26"/>
        <v>#N/A</v>
      </c>
      <c r="AU29" t="e">
        <f t="shared" si="27"/>
        <v>#N/A</v>
      </c>
      <c r="AV29" t="e">
        <f t="shared" si="28"/>
        <v>#N/A</v>
      </c>
      <c r="AW29" t="e">
        <f t="shared" si="29"/>
        <v>#N/A</v>
      </c>
      <c r="AX29" t="e">
        <f t="shared" si="30"/>
        <v>#N/A</v>
      </c>
      <c r="AY29" t="e">
        <f t="shared" si="31"/>
        <v>#N/A</v>
      </c>
      <c r="AZ29" t="e">
        <f t="shared" si="32"/>
        <v>#N/A</v>
      </c>
      <c r="BA29" t="e">
        <f t="shared" si="33"/>
        <v>#N/A</v>
      </c>
      <c r="BB29" t="e">
        <f t="shared" si="34"/>
        <v>#N/A</v>
      </c>
      <c r="BC29" t="e">
        <f t="shared" si="35"/>
        <v>#N/A</v>
      </c>
      <c r="BG29">
        <f t="shared" ref="BG29:BG30" si="42">O29</f>
        <v>1</v>
      </c>
      <c r="BH29" s="130">
        <f>IFERROR(VLOOKUP($O29,'Table 3 ID Wind_2030'!$B$10:$K$37,10,FALSE),0)</f>
        <v>0</v>
      </c>
      <c r="BI29" s="130">
        <f>IFERROR(VLOOKUP($O29,'Table 3 UT CP Wind_2023'!$B$10:$K$37,10,FALSE),0)</f>
        <v>0</v>
      </c>
      <c r="BJ29" s="130">
        <f>IFERROR(VLOOKUP($O29,'Table 3 WYAE Wind_2024'!$B$10:$L$37,11,FALSE),0)</f>
        <v>0</v>
      </c>
      <c r="BK29" s="130">
        <f>IFERROR(VLOOKUP($O29,'Table 3 YK Wind wS_2029'!$B$10:$K$37,10,FALSE),0)</f>
        <v>0</v>
      </c>
      <c r="BL29" s="368"/>
      <c r="BM29" s="130">
        <f>IFERROR(VLOOKUP($O29,'Table 3 ID Wind wS_2032'!$B$10:$K$38,10,FALSE),0)</f>
        <v>0</v>
      </c>
      <c r="BN29" s="130">
        <f>IFERROR(VLOOKUP($O29,'Table 3 PV wS YK_2024'!$B$10:$K$40,10,FALSE),0)</f>
        <v>0</v>
      </c>
      <c r="BO29" s="368"/>
      <c r="BP29" s="130">
        <f>IFERROR(VLOOKUP($O29,'Table 3 PV wS SO_2024'!$B$10:$K$40,10,FALSE),0)</f>
        <v>0</v>
      </c>
      <c r="BQ29" s="368"/>
      <c r="BR29" s="130">
        <f>IFERROR(VLOOKUP($O29,'Table 3 PV wS UTN_2024'!$B$10:$K$43,10,FALSE),0)</f>
        <v>0</v>
      </c>
      <c r="BS29" s="130">
        <f>IFERROR(VLOOKUP($O29,'Table 3 PV wS JB_2024'!$B$10:$K$40,10,FALSE),0)</f>
        <v>0</v>
      </c>
      <c r="BT29" s="130">
        <f>IFERROR(VLOOKUP($O29,'Table 3 PV wS JB_2029'!$B$10:$K$40,10,FALSE),0)</f>
        <v>0</v>
      </c>
      <c r="BU29" s="368"/>
      <c r="BV29" s="130">
        <f>IFERROR(VLOOKUP($O29,'Table 3 PV wS UTS_2024'!$B$10:$K$38,10,FALSE),0)</f>
        <v>0</v>
      </c>
      <c r="BW29" s="130">
        <f>IFERROR(VLOOKUP($O29,'Table 3 PV wS UTS_2030'!$B$10:$K$38,10,FALSE),0)</f>
        <v>0</v>
      </c>
      <c r="BX29" s="367"/>
      <c r="BY29" s="130">
        <f>IFERROR(VLOOKUP($O29,'Table 3 185 MW (NTN) 2026)'!$B$13:$L$40,11,FALSE),0)</f>
        <v>0</v>
      </c>
      <c r="CD29" t="e">
        <f>SUM(AL$13:AL29)*BH29/1000</f>
        <v>#N/A</v>
      </c>
      <c r="CE29" t="e">
        <f>SUM(AM$13:AM29)*BI29/1000</f>
        <v>#N/A</v>
      </c>
      <c r="CF29" t="e">
        <f>SUM(AN$13:AN29)*BJ29/1000</f>
        <v>#N/A</v>
      </c>
      <c r="CG29" t="e">
        <f>SUM(AO$13:AO29)*BK29/1000</f>
        <v>#N/A</v>
      </c>
      <c r="CH29" t="e">
        <f>SUM(AP$13:AP29)*BL29/1000</f>
        <v>#N/A</v>
      </c>
      <c r="CI29" t="e">
        <f>SUM(AQ$13:AQ29)*BM29/1000</f>
        <v>#N/A</v>
      </c>
      <c r="CJ29" t="e">
        <f>SUM(AR$13:AR29)*BN29/1000</f>
        <v>#N/A</v>
      </c>
      <c r="CK29" t="e">
        <f>SUM(AS$13:AS29)*BO29/1000</f>
        <v>#N/A</v>
      </c>
      <c r="CL29" t="e">
        <f>SUM(AT$13:AT29)*BP29/1000</f>
        <v>#N/A</v>
      </c>
      <c r="CM29" t="e">
        <f>SUM(AU$13:AU29)*BQ29/1000</f>
        <v>#N/A</v>
      </c>
      <c r="CN29" t="e">
        <f>SUM(AV$13:AV29)*BR29/1000</f>
        <v>#N/A</v>
      </c>
      <c r="CO29" t="e">
        <f>SUM(AW$13:AW29)*BS29/1000</f>
        <v>#N/A</v>
      </c>
      <c r="CP29" t="e">
        <f>SUM(AX$13:AX29)*BT29/1000</f>
        <v>#N/A</v>
      </c>
      <c r="CQ29" t="e">
        <f>SUM(AY$13:AY29)*BU29/1000</f>
        <v>#N/A</v>
      </c>
      <c r="CR29" t="e">
        <f>SUM(AZ$13:AZ29)*BV29/1000</f>
        <v>#N/A</v>
      </c>
      <c r="CS29" t="e">
        <f>SUM(BA$13:BA29)*BW29/1000</f>
        <v>#N/A</v>
      </c>
      <c r="CT29" t="e">
        <f>SUM(BB$13:BB29)*BX29/1000</f>
        <v>#N/A</v>
      </c>
      <c r="CU29" t="e">
        <f>SUM(BC$13:BC29)*BY29/1000</f>
        <v>#N/A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 t="e">
        <f t="shared" ref="CY29:CY30" si="43">SUM(CD29:CX29)</f>
        <v>#N/A</v>
      </c>
      <c r="DA29">
        <f t="shared" si="37"/>
        <v>1</v>
      </c>
      <c r="DB29" s="89">
        <f>IFERROR(VLOOKUP($DA29,'Table 3 TransCost'!$B$10:$E$40,4,FALSE),0)</f>
        <v>0</v>
      </c>
      <c r="DC29" s="174">
        <f t="shared" ref="DC29:DC30" si="44">$DB$5*DB29/1000</f>
        <v>0</v>
      </c>
    </row>
    <row r="30" spans="2:107" hidden="1">
      <c r="B30" s="15">
        <f t="shared" si="38"/>
        <v>2</v>
      </c>
      <c r="C30" s="9" t="e">
        <f t="shared" si="17"/>
        <v>#N/A</v>
      </c>
      <c r="D30" s="45"/>
      <c r="E30" s="9" t="e">
        <f t="shared" ca="1" si="39"/>
        <v>#DIV/0!</v>
      </c>
      <c r="F30" s="37"/>
      <c r="G30" s="14" t="e">
        <f t="shared" ca="1" si="40"/>
        <v>#DIV/0!</v>
      </c>
      <c r="H30" s="36" t="e">
        <f t="shared" ca="1" si="41"/>
        <v>#DIV/0!</v>
      </c>
      <c r="I30" s="174"/>
      <c r="J30" s="174"/>
      <c r="M30" s="112"/>
      <c r="O30">
        <f t="shared" si="18"/>
        <v>2</v>
      </c>
      <c r="P30" t="e">
        <v>#N/A</v>
      </c>
      <c r="Q30" t="e">
        <v>#N/A</v>
      </c>
      <c r="R30" t="e">
        <v>#N/A</v>
      </c>
      <c r="S30" s="366" t="e">
        <v>#N/A</v>
      </c>
      <c r="T30" s="366" t="e">
        <v>#N/A</v>
      </c>
      <c r="U30" s="174" t="e">
        <v>#N/A</v>
      </c>
      <c r="V30" s="366" t="e">
        <v>#N/A</v>
      </c>
      <c r="W30" s="366" t="e">
        <v>#N/A</v>
      </c>
      <c r="X30" s="366" t="e">
        <v>#N/A</v>
      </c>
      <c r="Y30" s="366" t="e">
        <v>#N/A</v>
      </c>
      <c r="Z30" s="366" t="e">
        <v>#N/A</v>
      </c>
      <c r="AA30" s="366" t="e">
        <v>#N/A</v>
      </c>
      <c r="AB30" s="366" t="e">
        <v>#N/A</v>
      </c>
      <c r="AC30" s="366" t="e">
        <v>#N/A</v>
      </c>
      <c r="AD30" s="366" t="e">
        <v>#N/A</v>
      </c>
      <c r="AE30" s="366" t="e">
        <v>#N/A</v>
      </c>
      <c r="AF30" s="366" t="e">
        <v>#N/A</v>
      </c>
      <c r="AG30" s="366" t="e">
        <v>#N/A</v>
      </c>
      <c r="AL30" t="e">
        <f t="shared" si="19"/>
        <v>#N/A</v>
      </c>
      <c r="AM30" t="e">
        <f t="shared" si="19"/>
        <v>#N/A</v>
      </c>
      <c r="AN30" t="e">
        <f t="shared" si="20"/>
        <v>#N/A</v>
      </c>
      <c r="AO30" t="e">
        <f t="shared" si="21"/>
        <v>#N/A</v>
      </c>
      <c r="AP30" t="e">
        <f t="shared" si="22"/>
        <v>#N/A</v>
      </c>
      <c r="AQ30" t="e">
        <f t="shared" si="23"/>
        <v>#N/A</v>
      </c>
      <c r="AR30" t="e">
        <f t="shared" si="24"/>
        <v>#N/A</v>
      </c>
      <c r="AS30" t="e">
        <f t="shared" si="25"/>
        <v>#N/A</v>
      </c>
      <c r="AT30" t="e">
        <f t="shared" si="26"/>
        <v>#N/A</v>
      </c>
      <c r="AU30" t="e">
        <f t="shared" si="27"/>
        <v>#N/A</v>
      </c>
      <c r="AV30" t="e">
        <f t="shared" si="28"/>
        <v>#N/A</v>
      </c>
      <c r="AW30" t="e">
        <f t="shared" si="29"/>
        <v>#N/A</v>
      </c>
      <c r="AX30" t="e">
        <f t="shared" si="30"/>
        <v>#N/A</v>
      </c>
      <c r="AY30" t="e">
        <f t="shared" si="31"/>
        <v>#N/A</v>
      </c>
      <c r="AZ30" t="e">
        <f t="shared" si="32"/>
        <v>#N/A</v>
      </c>
      <c r="BA30" t="e">
        <f t="shared" si="33"/>
        <v>#N/A</v>
      </c>
      <c r="BB30" t="e">
        <f t="shared" si="34"/>
        <v>#N/A</v>
      </c>
      <c r="BC30" t="e">
        <f t="shared" si="35"/>
        <v>#N/A</v>
      </c>
      <c r="BG30">
        <f t="shared" si="42"/>
        <v>2</v>
      </c>
      <c r="BH30" s="130">
        <f>IFERROR(VLOOKUP($O30,'Table 3 ID Wind_2030'!$B$10:$K$37,10,FALSE),0)</f>
        <v>0</v>
      </c>
      <c r="BI30" s="130">
        <f>IFERROR(VLOOKUP($O30,'Table 3 UT CP Wind_2023'!$B$10:$K$37,10,FALSE),0)</f>
        <v>0</v>
      </c>
      <c r="BJ30" s="130">
        <f>IFERROR(VLOOKUP($O30,'Table 3 WYAE Wind_2024'!$B$10:$L$37,11,FALSE),0)</f>
        <v>0</v>
      </c>
      <c r="BK30" s="130">
        <f>IFERROR(VLOOKUP($O30,'Table 3 YK Wind wS_2029'!$B$10:$K$37,10,FALSE),0)</f>
        <v>0</v>
      </c>
      <c r="BL30" s="368"/>
      <c r="BM30" s="130">
        <f>IFERROR(VLOOKUP($O30,'Table 3 ID Wind wS_2032'!$B$10:$K$38,10,FALSE),0)</f>
        <v>0</v>
      </c>
      <c r="BN30" s="130">
        <f>IFERROR(VLOOKUP($O30,'Table 3 PV wS YK_2024'!$B$10:$K$40,10,FALSE),0)</f>
        <v>0</v>
      </c>
      <c r="BO30" s="368"/>
      <c r="BP30" s="130">
        <f>IFERROR(VLOOKUP($O30,'Table 3 PV wS SO_2024'!$B$10:$K$40,10,FALSE),0)</f>
        <v>0</v>
      </c>
      <c r="BQ30" s="368"/>
      <c r="BR30" s="130">
        <f>IFERROR(VLOOKUP($O30,'Table 3 PV wS UTN_2024'!$B$10:$K$43,10,FALSE),0)</f>
        <v>0</v>
      </c>
      <c r="BS30" s="130">
        <f>IFERROR(VLOOKUP($O30,'Table 3 PV wS JB_2024'!$B$10:$K$40,10,FALSE),0)</f>
        <v>0</v>
      </c>
      <c r="BT30" s="130">
        <f>IFERROR(VLOOKUP($O30,'Table 3 PV wS JB_2029'!$B$10:$K$40,10,FALSE),0)</f>
        <v>0</v>
      </c>
      <c r="BU30" s="368"/>
      <c r="BV30" s="130">
        <f>IFERROR(VLOOKUP($O30,'Table 3 PV wS UTS_2024'!$B$10:$K$38,10,FALSE),0)</f>
        <v>0</v>
      </c>
      <c r="BW30" s="130">
        <f>IFERROR(VLOOKUP($O30,'Table 3 PV wS UTS_2030'!$B$10:$K$38,10,FALSE),0)</f>
        <v>0</v>
      </c>
      <c r="BX30" s="367"/>
      <c r="BY30" s="130">
        <f>IFERROR(VLOOKUP($O30,'Table 3 185 MW (NTN) 2026)'!$B$13:$L$40,11,FALSE),0)</f>
        <v>0</v>
      </c>
      <c r="CD30" t="e">
        <f>SUM(AL$13:AL30)*BH30/1000</f>
        <v>#N/A</v>
      </c>
      <c r="CE30" t="e">
        <f>SUM(AM$13:AM30)*BI30/1000</f>
        <v>#N/A</v>
      </c>
      <c r="CF30" t="e">
        <f>SUM(AN$13:AN30)*BJ30/1000</f>
        <v>#N/A</v>
      </c>
      <c r="CG30" t="e">
        <f>SUM(AO$13:AO30)*BK30/1000</f>
        <v>#N/A</v>
      </c>
      <c r="CH30" t="e">
        <f>SUM(AP$13:AP30)*BL30/1000</f>
        <v>#N/A</v>
      </c>
      <c r="CI30" t="e">
        <f>SUM(AQ$13:AQ30)*BM30/1000</f>
        <v>#N/A</v>
      </c>
      <c r="CJ30" t="e">
        <f>SUM(AR$13:AR30)*BN30/1000</f>
        <v>#N/A</v>
      </c>
      <c r="CK30" t="e">
        <f>SUM(AS$13:AS30)*BO30/1000</f>
        <v>#N/A</v>
      </c>
      <c r="CL30" t="e">
        <f>SUM(AT$13:AT30)*BP30/1000</f>
        <v>#N/A</v>
      </c>
      <c r="CM30" t="e">
        <f>SUM(AU$13:AU30)*BQ30/1000</f>
        <v>#N/A</v>
      </c>
      <c r="CN30" t="e">
        <f>SUM(AV$13:AV30)*BR30/1000</f>
        <v>#N/A</v>
      </c>
      <c r="CO30" t="e">
        <f>SUM(AW$13:AW30)*BS30/1000</f>
        <v>#N/A</v>
      </c>
      <c r="CP30" t="e">
        <f>SUM(AX$13:AX30)*BT30/1000</f>
        <v>#N/A</v>
      </c>
      <c r="CQ30" t="e">
        <f>SUM(AY$13:AY30)*BU30/1000</f>
        <v>#N/A</v>
      </c>
      <c r="CR30" t="e">
        <f>SUM(AZ$13:AZ30)*BV30/1000</f>
        <v>#N/A</v>
      </c>
      <c r="CS30" t="e">
        <f>SUM(BA$13:BA30)*BW30/1000</f>
        <v>#N/A</v>
      </c>
      <c r="CT30" t="e">
        <f>SUM(BB$13:BB30)*BX30/1000</f>
        <v>#N/A</v>
      </c>
      <c r="CU30" t="e">
        <f>SUM(BC$13:BC30)*BY30/1000</f>
        <v>#N/A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 t="e">
        <f t="shared" si="43"/>
        <v>#N/A</v>
      </c>
      <c r="DA30">
        <f t="shared" si="37"/>
        <v>2</v>
      </c>
      <c r="DB30" s="89">
        <f>IFERROR(VLOOKUP($DA30,'Table 3 TransCost'!$B$10:$E$40,4,FALSE),0)</f>
        <v>0</v>
      </c>
      <c r="DC30" s="174">
        <f t="shared" si="44"/>
        <v>0</v>
      </c>
    </row>
    <row r="31" spans="2:107" hidden="1">
      <c r="B31" s="15">
        <f t="shared" si="38"/>
        <v>3</v>
      </c>
      <c r="C31" s="9" t="e">
        <f t="shared" si="17"/>
        <v>#N/A</v>
      </c>
      <c r="D31" s="45"/>
      <c r="E31" s="9" t="e">
        <f t="shared" ca="1" si="39"/>
        <v>#DIV/0!</v>
      </c>
      <c r="F31" s="37"/>
      <c r="G31" s="14" t="e">
        <f t="shared" ca="1" si="40"/>
        <v>#DIV/0!</v>
      </c>
      <c r="H31" s="36" t="e">
        <f t="shared" ca="1" si="41"/>
        <v>#DIV/0!</v>
      </c>
      <c r="I31" s="174"/>
      <c r="J31" s="174"/>
      <c r="M31" s="112"/>
      <c r="O31">
        <f t="shared" si="18"/>
        <v>3</v>
      </c>
      <c r="P31" t="e">
        <v>#N/A</v>
      </c>
      <c r="Q31" t="e">
        <v>#N/A</v>
      </c>
      <c r="R31" t="e">
        <v>#N/A</v>
      </c>
      <c r="S31" s="366" t="e">
        <v>#N/A</v>
      </c>
      <c r="T31" s="366" t="e">
        <v>#N/A</v>
      </c>
      <c r="U31" s="174" t="e">
        <v>#N/A</v>
      </c>
      <c r="V31" s="366" t="e">
        <v>#N/A</v>
      </c>
      <c r="W31" s="366" t="e">
        <v>#N/A</v>
      </c>
      <c r="X31" s="366" t="e">
        <v>#N/A</v>
      </c>
      <c r="Y31" s="366" t="e">
        <v>#N/A</v>
      </c>
      <c r="Z31" s="366" t="e">
        <v>#N/A</v>
      </c>
      <c r="AA31" s="366" t="e">
        <v>#N/A</v>
      </c>
      <c r="AB31" s="366" t="e">
        <v>#N/A</v>
      </c>
      <c r="AC31" s="366" t="e">
        <v>#N/A</v>
      </c>
      <c r="AD31" s="366" t="e">
        <v>#N/A</v>
      </c>
      <c r="AE31" s="366" t="e">
        <v>#N/A</v>
      </c>
      <c r="AF31" s="366" t="e">
        <v>#N/A</v>
      </c>
      <c r="AG31" s="366" t="e">
        <v>#N/A</v>
      </c>
      <c r="AL31" t="e">
        <f t="shared" ref="AL31:AL32" si="45">P31/P$5</f>
        <v>#N/A</v>
      </c>
      <c r="AM31" t="e">
        <f t="shared" ref="AM31:AM38" si="46">Q31/Q$5</f>
        <v>#N/A</v>
      </c>
      <c r="AN31" t="e">
        <f t="shared" ref="AN31:AN38" si="47">R31/R$5</f>
        <v>#N/A</v>
      </c>
      <c r="AO31" t="e">
        <f t="shared" ref="AO31:AO38" si="48">S31/S$5</f>
        <v>#N/A</v>
      </c>
      <c r="AP31" t="e">
        <f t="shared" ref="AP31:AP38" si="49">T31/T$5</f>
        <v>#N/A</v>
      </c>
      <c r="AQ31" t="e">
        <f t="shared" ref="AQ31:AQ38" si="50">U31/U$5</f>
        <v>#N/A</v>
      </c>
      <c r="AR31" t="e">
        <f t="shared" ref="AR31:AR38" si="51">V31/V$5</f>
        <v>#N/A</v>
      </c>
      <c r="AS31" t="e">
        <f t="shared" ref="AS31:AS38" si="52">W31/W$5</f>
        <v>#N/A</v>
      </c>
      <c r="AT31" t="e">
        <f t="shared" ref="AT31:AT38" si="53">X31/X$5</f>
        <v>#N/A</v>
      </c>
      <c r="AU31" t="e">
        <f t="shared" ref="AU31:AU38" si="54">Y31/Y$5</f>
        <v>#N/A</v>
      </c>
      <c r="AV31" t="e">
        <f t="shared" ref="AV31:AV38" si="55">Z31/Z$5</f>
        <v>#N/A</v>
      </c>
      <c r="AW31" t="e">
        <f t="shared" ref="AW31:AW38" si="56">AA31/AA$5</f>
        <v>#N/A</v>
      </c>
      <c r="AX31" t="e">
        <f t="shared" ref="AX31:AX38" si="57">AB31/AB$5</f>
        <v>#N/A</v>
      </c>
      <c r="AY31" t="e">
        <f t="shared" ref="AY31:AY38" si="58">AC31/AC$5</f>
        <v>#N/A</v>
      </c>
      <c r="AZ31" t="e">
        <f t="shared" ref="AZ31:AZ38" si="59">AD31/AD$5</f>
        <v>#N/A</v>
      </c>
      <c r="BA31" t="e">
        <f t="shared" ref="BA31:BA38" si="60">AE31/AE$5</f>
        <v>#N/A</v>
      </c>
      <c r="BB31" t="e">
        <f t="shared" ref="BB31:BB38" si="61">AF31/AF$5</f>
        <v>#N/A</v>
      </c>
      <c r="BC31" t="e">
        <f t="shared" ref="BC31:BC38" si="62">AG31/AG$5</f>
        <v>#N/A</v>
      </c>
      <c r="BG31">
        <f t="shared" ref="BG31:BG32" si="63">O31</f>
        <v>3</v>
      </c>
      <c r="BH31" s="130">
        <f>IFERROR(VLOOKUP($O31,'Table 3 ID Wind_2030'!$B$10:$K$37,10,FALSE),0)</f>
        <v>0</v>
      </c>
      <c r="BI31" s="130">
        <f>IFERROR(VLOOKUP($O31,'Table 3 UT CP Wind_2023'!$B$10:$K$37,10,FALSE),0)</f>
        <v>0</v>
      </c>
      <c r="BJ31" s="130">
        <f>IFERROR(VLOOKUP($O31,'Table 3 WYAE Wind_2024'!$B$10:$L$37,11,FALSE),0)</f>
        <v>0</v>
      </c>
      <c r="BK31" s="130">
        <f>IFERROR(VLOOKUP($O31,'Table 3 YK Wind wS_2029'!$B$10:$K$37,10,FALSE),0)</f>
        <v>0</v>
      </c>
      <c r="BL31" s="368"/>
      <c r="BM31" s="130">
        <f>IFERROR(VLOOKUP($O31,'Table 3 ID Wind wS_2032'!$B$10:$K$38,10,FALSE),0)</f>
        <v>0</v>
      </c>
      <c r="BN31" s="130">
        <f>IFERROR(VLOOKUP($O31,'Table 3 PV wS YK_2024'!$B$10:$K$40,10,FALSE),0)</f>
        <v>0</v>
      </c>
      <c r="BO31" s="368"/>
      <c r="BP31" s="130">
        <f>IFERROR(VLOOKUP($O31,'Table 3 PV wS SO_2024'!$B$10:$K$40,10,FALSE),0)</f>
        <v>0</v>
      </c>
      <c r="BQ31" s="368"/>
      <c r="BR31" s="130">
        <f>IFERROR(VLOOKUP($O31,'Table 3 PV wS UTN_2024'!$B$10:$K$43,10,FALSE),0)</f>
        <v>0</v>
      </c>
      <c r="BS31" s="130">
        <f>IFERROR(VLOOKUP($O31,'Table 3 PV wS JB_2024'!$B$10:$K$40,10,FALSE),0)</f>
        <v>0</v>
      </c>
      <c r="BT31" s="130">
        <f>IFERROR(VLOOKUP($O31,'Table 3 PV wS JB_2029'!$B$10:$K$40,10,FALSE),0)</f>
        <v>0</v>
      </c>
      <c r="BU31" s="368"/>
      <c r="BV31" s="130">
        <f>IFERROR(VLOOKUP($O31,'Table 3 PV wS UTS_2024'!$B$10:$K$38,10,FALSE),0)</f>
        <v>0</v>
      </c>
      <c r="BW31" s="130">
        <f>IFERROR(VLOOKUP($O31,'Table 3 PV wS UTS_2030'!$B$10:$K$38,10,FALSE),0)</f>
        <v>0</v>
      </c>
      <c r="BX31" s="367"/>
      <c r="BY31" s="130">
        <f>IFERROR(VLOOKUP($O31,'Table 3 185 MW (NTN) 2026)'!$B$13:$L$40,11,FALSE),0)</f>
        <v>0</v>
      </c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 t="e">
        <f>SUM(AX$13:AX31)*BT31/1000</f>
        <v>#N/A</v>
      </c>
      <c r="CQ31" t="e">
        <f>SUM(AY$13:AY31)*BU31/1000</f>
        <v>#N/A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 t="e">
        <f>SUM(BC$13:BC31)*BY31/1000</f>
        <v>#N/A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4">SUM(CD31:CX31)</f>
        <v>#N/A</v>
      </c>
      <c r="DA31">
        <f t="shared" ref="DA31:DA32" si="65">O31</f>
        <v>3</v>
      </c>
      <c r="DB31" s="89">
        <f>IFERROR(VLOOKUP($DA31,'Table 3 TransCost'!$B$10:$E$40,4,FALSE),0)</f>
        <v>0</v>
      </c>
      <c r="DC31" s="174">
        <f t="shared" ref="DC31:DC32" si="66">$DB$5*DB31/1000</f>
        <v>0</v>
      </c>
    </row>
    <row r="32" spans="2:107" hidden="1">
      <c r="B32" s="15">
        <f t="shared" si="38"/>
        <v>4</v>
      </c>
      <c r="C32" s="9" t="e">
        <f t="shared" si="17"/>
        <v>#N/A</v>
      </c>
      <c r="D32" s="45"/>
      <c r="E32" s="9" t="e">
        <f t="shared" ca="1" si="39"/>
        <v>#DIV/0!</v>
      </c>
      <c r="F32" s="37"/>
      <c r="G32" s="14" t="e">
        <f t="shared" ca="1" si="40"/>
        <v>#DIV/0!</v>
      </c>
      <c r="H32" s="36" t="e">
        <f t="shared" ca="1" si="41"/>
        <v>#DIV/0!</v>
      </c>
      <c r="I32" s="174"/>
      <c r="J32" s="174"/>
      <c r="M32" s="112"/>
      <c r="O32">
        <f t="shared" si="18"/>
        <v>4</v>
      </c>
      <c r="P32" s="380">
        <v>0</v>
      </c>
      <c r="Q32" s="380">
        <v>0</v>
      </c>
      <c r="R32" s="380">
        <v>0</v>
      </c>
      <c r="S32" s="380">
        <v>0</v>
      </c>
      <c r="T32" s="380">
        <v>0</v>
      </c>
      <c r="U32" s="380">
        <v>0</v>
      </c>
      <c r="V32" s="380">
        <v>0</v>
      </c>
      <c r="W32" s="380">
        <v>0</v>
      </c>
      <c r="X32" s="380">
        <v>0</v>
      </c>
      <c r="Y32" s="380">
        <v>0</v>
      </c>
      <c r="Z32" s="380">
        <v>0</v>
      </c>
      <c r="AA32" s="380">
        <v>0</v>
      </c>
      <c r="AB32" s="380">
        <v>0</v>
      </c>
      <c r="AC32" s="380">
        <v>0</v>
      </c>
      <c r="AD32" s="380">
        <v>0</v>
      </c>
      <c r="AE32" s="380">
        <v>0</v>
      </c>
      <c r="AF32" s="380">
        <v>0</v>
      </c>
      <c r="AG32" s="380">
        <v>0</v>
      </c>
      <c r="AL32">
        <f t="shared" si="45"/>
        <v>0</v>
      </c>
      <c r="AM32">
        <f t="shared" si="46"/>
        <v>0</v>
      </c>
      <c r="AN32">
        <f t="shared" si="47"/>
        <v>0</v>
      </c>
      <c r="AO32">
        <f t="shared" si="48"/>
        <v>0</v>
      </c>
      <c r="AP32">
        <f t="shared" si="49"/>
        <v>0</v>
      </c>
      <c r="AQ32">
        <f t="shared" si="50"/>
        <v>0</v>
      </c>
      <c r="AR32">
        <f t="shared" si="51"/>
        <v>0</v>
      </c>
      <c r="AS32">
        <f t="shared" si="52"/>
        <v>0</v>
      </c>
      <c r="AT32">
        <f t="shared" si="53"/>
        <v>0</v>
      </c>
      <c r="AU32">
        <f t="shared" si="54"/>
        <v>0</v>
      </c>
      <c r="AV32">
        <f t="shared" si="55"/>
        <v>0</v>
      </c>
      <c r="AW32">
        <f t="shared" si="56"/>
        <v>0</v>
      </c>
      <c r="AX32">
        <f t="shared" si="57"/>
        <v>0</v>
      </c>
      <c r="AY32">
        <f t="shared" si="58"/>
        <v>0</v>
      </c>
      <c r="AZ32">
        <f t="shared" si="59"/>
        <v>0</v>
      </c>
      <c r="BA32">
        <f t="shared" si="60"/>
        <v>0</v>
      </c>
      <c r="BB32">
        <f t="shared" si="61"/>
        <v>0</v>
      </c>
      <c r="BC32">
        <f t="shared" si="62"/>
        <v>0</v>
      </c>
      <c r="BG32">
        <f t="shared" si="63"/>
        <v>4</v>
      </c>
      <c r="BH32" s="130">
        <f>IFERROR(VLOOKUP($O32,'Table 3 ID Wind_2030'!$B$10:$K$37,10,FALSE),0)</f>
        <v>0</v>
      </c>
      <c r="BI32" s="130">
        <f>IFERROR(VLOOKUP($O32,'Table 3 UT CP Wind_2023'!$B$10:$K$37,10,FALSE),0)</f>
        <v>0</v>
      </c>
      <c r="BJ32" s="130">
        <f>IFERROR(VLOOKUP($O32,'Table 3 WYAE Wind_2024'!$B$10:$L$37,11,FALSE),0)</f>
        <v>0</v>
      </c>
      <c r="BK32" s="130">
        <f>IFERROR(VLOOKUP($O32,'Table 3 YK Wind wS_2029'!$B$10:$K$37,10,FALSE),0)</f>
        <v>0</v>
      </c>
      <c r="BL32" s="368"/>
      <c r="BM32" s="130">
        <f>IFERROR(VLOOKUP($O32,'Table 3 ID Wind wS_2032'!$B$10:$K$38,10,FALSE),0)</f>
        <v>0</v>
      </c>
      <c r="BN32" s="130">
        <f>IFERROR(VLOOKUP($O32,'Table 3 PV wS YK_2024'!$B$10:$K$40,10,FALSE),0)</f>
        <v>0</v>
      </c>
      <c r="BO32" s="368"/>
      <c r="BP32" s="130">
        <f>IFERROR(VLOOKUP($O32,'Table 3 PV wS SO_2024'!$B$10:$K$40,10,FALSE),0)</f>
        <v>0</v>
      </c>
      <c r="BQ32" s="368"/>
      <c r="BR32" s="130">
        <f>IFERROR(VLOOKUP($O32,'Table 3 PV wS UTN_2024'!$B$10:$K$43,10,FALSE),0)</f>
        <v>0</v>
      </c>
      <c r="BS32" s="130">
        <f>IFERROR(VLOOKUP($O32,'Table 3 PV wS JB_2024'!$B$10:$K$40,10,FALSE),0)</f>
        <v>0</v>
      </c>
      <c r="BT32" s="130">
        <f>IFERROR(VLOOKUP($O32,'Table 3 PV wS JB_2029'!$B$10:$K$40,10,FALSE),0)</f>
        <v>0</v>
      </c>
      <c r="BU32" s="368"/>
      <c r="BV32" s="130">
        <f>IFERROR(VLOOKUP($O32,'Table 3 PV wS UTS_2024'!$B$10:$K$38,10,FALSE),0)</f>
        <v>0</v>
      </c>
      <c r="BW32" s="130">
        <f>IFERROR(VLOOKUP($O32,'Table 3 PV wS UTS_2030'!$B$10:$K$38,10,FALSE),0)</f>
        <v>0</v>
      </c>
      <c r="BX32" s="367"/>
      <c r="BY32" s="130">
        <f>IFERROR(VLOOKUP($O32,'Table 3 185 MW (NTN) 2026)'!$B$13:$L$40,11,FALSE),0)</f>
        <v>0</v>
      </c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 t="e">
        <f>SUM(AX$13:AX32)*BT32/1000</f>
        <v>#N/A</v>
      </c>
      <c r="CQ32" t="e">
        <f>SUM(AY$13:AY32)*BU32/1000</f>
        <v>#N/A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 t="e">
        <f>SUM(BC$13:BC32)*BY32/1000</f>
        <v>#N/A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4"/>
        <v>#N/A</v>
      </c>
      <c r="DA32">
        <f t="shared" si="65"/>
        <v>4</v>
      </c>
      <c r="DB32" s="89">
        <f>IFERROR(VLOOKUP($DA32,'Table 3 TransCost'!$B$10:$E$40,4,FALSE),0)</f>
        <v>0</v>
      </c>
      <c r="DC32" s="174">
        <f t="shared" si="66"/>
        <v>0</v>
      </c>
    </row>
    <row r="33" spans="1:107" hidden="1">
      <c r="B33" s="15">
        <f t="shared" si="38"/>
        <v>5</v>
      </c>
      <c r="C33" s="9" t="e">
        <f t="shared" si="17"/>
        <v>#N/A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0"/>
        <v>#DIV/0!</v>
      </c>
      <c r="H33" s="36" t="e">
        <f t="shared" ca="1" si="41"/>
        <v>#DIV/0!</v>
      </c>
      <c r="I33" s="174"/>
      <c r="J33" s="174"/>
      <c r="M33" s="112"/>
      <c r="O33">
        <f t="shared" ref="O33" si="67">B33</f>
        <v>5</v>
      </c>
      <c r="P33" s="380">
        <v>0</v>
      </c>
      <c r="Q33" s="380">
        <v>0</v>
      </c>
      <c r="R33" s="380">
        <v>0</v>
      </c>
      <c r="S33" s="380">
        <v>0</v>
      </c>
      <c r="T33" s="380">
        <v>0</v>
      </c>
      <c r="U33" s="380">
        <v>0</v>
      </c>
      <c r="V33" s="380">
        <v>0</v>
      </c>
      <c r="W33" s="380">
        <v>0</v>
      </c>
      <c r="X33" s="380">
        <v>0</v>
      </c>
      <c r="Y33" s="380">
        <v>0</v>
      </c>
      <c r="Z33" s="380">
        <v>0</v>
      </c>
      <c r="AA33" s="380">
        <v>0</v>
      </c>
      <c r="AB33" s="380">
        <v>0</v>
      </c>
      <c r="AC33" s="380">
        <v>0</v>
      </c>
      <c r="AD33" s="380">
        <v>0</v>
      </c>
      <c r="AE33" s="380">
        <v>0</v>
      </c>
      <c r="AF33" s="380">
        <v>0</v>
      </c>
      <c r="AG33" s="380">
        <v>0</v>
      </c>
      <c r="AH33">
        <v>0</v>
      </c>
      <c r="AI33">
        <v>0</v>
      </c>
      <c r="AJ33">
        <v>0</v>
      </c>
      <c r="AL33">
        <f t="shared" si="19"/>
        <v>0</v>
      </c>
      <c r="AM33">
        <f t="shared" si="46"/>
        <v>0</v>
      </c>
      <c r="AN33">
        <f t="shared" si="47"/>
        <v>0</v>
      </c>
      <c r="AO33">
        <f t="shared" si="48"/>
        <v>0</v>
      </c>
      <c r="AP33">
        <f t="shared" si="49"/>
        <v>0</v>
      </c>
      <c r="AQ33">
        <f t="shared" si="50"/>
        <v>0</v>
      </c>
      <c r="AR33">
        <f t="shared" si="51"/>
        <v>0</v>
      </c>
      <c r="AS33">
        <f t="shared" si="52"/>
        <v>0</v>
      </c>
      <c r="AT33">
        <f t="shared" si="53"/>
        <v>0</v>
      </c>
      <c r="AU33">
        <f t="shared" si="54"/>
        <v>0</v>
      </c>
      <c r="AV33">
        <f t="shared" si="55"/>
        <v>0</v>
      </c>
      <c r="AW33">
        <f t="shared" si="56"/>
        <v>0</v>
      </c>
      <c r="AX33">
        <f t="shared" si="57"/>
        <v>0</v>
      </c>
      <c r="AY33">
        <f t="shared" si="58"/>
        <v>0</v>
      </c>
      <c r="AZ33">
        <f t="shared" si="59"/>
        <v>0</v>
      </c>
      <c r="BA33">
        <f t="shared" si="60"/>
        <v>0</v>
      </c>
      <c r="BB33">
        <f t="shared" si="61"/>
        <v>0</v>
      </c>
      <c r="BC33">
        <f t="shared" si="62"/>
        <v>0</v>
      </c>
      <c r="BG33">
        <f t="shared" ref="BG33:BG38" si="68">O33</f>
        <v>5</v>
      </c>
      <c r="BH33" s="130">
        <f>IFERROR(VLOOKUP($O33,'Table 3 ID Wind_2030'!$B$10:$K$37,10,FALSE),0)</f>
        <v>0</v>
      </c>
      <c r="BI33" s="130">
        <f>IFERROR(VLOOKUP($O33,'Table 3 UT CP Wind_2023'!$B$10:$K$37,10,FALSE),0)</f>
        <v>0</v>
      </c>
      <c r="BJ33" s="130">
        <f>IFERROR(VLOOKUP($O33,'Table 3 WYAE Wind_2024'!$B$10:$L$37,11,FALSE),0)</f>
        <v>0</v>
      </c>
      <c r="BK33" s="130">
        <f>IFERROR(VLOOKUP($O33,'Table 3 YK Wind wS_2029'!$B$10:$K$37,10,FALSE),0)</f>
        <v>0</v>
      </c>
      <c r="BL33" s="368"/>
      <c r="BM33" s="130">
        <f>IFERROR(VLOOKUP($O33,'Table 3 ID Wind wS_2032'!$B$10:$K$38,10,FALSE),0)</f>
        <v>0</v>
      </c>
      <c r="BN33" s="130">
        <f>IFERROR(VLOOKUP($O33,'Table 3 PV wS YK_2024'!$B$10:$K$40,10,FALSE),0)</f>
        <v>0</v>
      </c>
      <c r="BO33" s="368"/>
      <c r="BP33" s="130">
        <f>IFERROR(VLOOKUP($O33,'Table 3 PV wS SO_2024'!$B$10:$K$40,10,FALSE),0)</f>
        <v>0</v>
      </c>
      <c r="BQ33" s="368"/>
      <c r="BR33" s="130">
        <f>IFERROR(VLOOKUP($O33,'Table 3 PV wS UTN_2024'!$B$10:$K$43,10,FALSE),0)</f>
        <v>0</v>
      </c>
      <c r="BS33" s="130">
        <f>IFERROR(VLOOKUP($O33,'Table 3 PV wS JB_2024'!$B$10:$K$40,10,FALSE),0)</f>
        <v>0</v>
      </c>
      <c r="BT33" s="130">
        <f>IFERROR(VLOOKUP($O33,'Table 3 PV wS JB_2029'!$B$10:$K$40,10,FALSE),0)</f>
        <v>0</v>
      </c>
      <c r="BU33" s="368"/>
      <c r="BV33" s="130">
        <f>IFERROR(VLOOKUP($O33,'Table 3 PV wS UTS_2024'!$B$10:$K$38,10,FALSE),0)</f>
        <v>0</v>
      </c>
      <c r="BW33" s="130">
        <f>IFERROR(VLOOKUP($O33,'Table 3 PV wS UTS_2030'!$B$10:$K$38,10,FALSE),0)</f>
        <v>0</v>
      </c>
      <c r="BX33" s="367"/>
      <c r="BY33" s="130">
        <f>IFERROR(VLOOKUP($O33,'Table 3 185 MW (NTN) 2026)'!$B$13:$L$40,11,FALSE),0)</f>
        <v>0</v>
      </c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 t="e">
        <f>SUM(AX$13:AX33)*BT33/1000</f>
        <v>#N/A</v>
      </c>
      <c r="CQ33" t="e">
        <f>SUM(AY$13:AY33)*BU33/1000</f>
        <v>#N/A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 t="e">
        <f>SUM(BC$13:BC33)*BY33/1000</f>
        <v>#N/A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8" si="69">SUM(CD33:CX33)</f>
        <v>#N/A</v>
      </c>
      <c r="DA33">
        <f t="shared" ref="DA33:DA38" si="70">O33</f>
        <v>5</v>
      </c>
      <c r="DB33" s="89">
        <f>IFERROR(VLOOKUP($DA33,'Table 3 TransCost'!$B$10:$E$40,4,FALSE),0)</f>
        <v>0</v>
      </c>
      <c r="DC33" s="174">
        <f t="shared" ref="DC33:DC38" si="71">$DB$5*DB33/1000</f>
        <v>0</v>
      </c>
    </row>
    <row r="34" spans="1:107" hidden="1">
      <c r="B34" s="15">
        <f t="shared" si="38"/>
        <v>6</v>
      </c>
      <c r="C34" s="9" t="e">
        <f t="shared" si="17"/>
        <v>#N/A</v>
      </c>
      <c r="D34" s="45"/>
      <c r="E34" s="9" t="e">
        <f t="shared" ref="E34" ca="1" si="72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0"/>
        <v>#DIV/0!</v>
      </c>
      <c r="H34" s="36" t="e">
        <f t="shared" ca="1" si="41"/>
        <v>#DIV/0!</v>
      </c>
      <c r="I34" s="174"/>
      <c r="J34" s="174"/>
      <c r="M34" s="112"/>
      <c r="O34">
        <f t="shared" ref="O34" si="73">B34</f>
        <v>6</v>
      </c>
      <c r="P34" s="380">
        <v>0</v>
      </c>
      <c r="Q34" s="380">
        <v>0</v>
      </c>
      <c r="R34" s="380">
        <v>0</v>
      </c>
      <c r="S34" s="380">
        <v>0</v>
      </c>
      <c r="T34" s="380">
        <v>0</v>
      </c>
      <c r="U34" s="380">
        <v>0</v>
      </c>
      <c r="V34" s="380">
        <v>0</v>
      </c>
      <c r="W34" s="380">
        <v>0</v>
      </c>
      <c r="X34" s="380">
        <v>0</v>
      </c>
      <c r="Y34" s="380">
        <v>0</v>
      </c>
      <c r="Z34" s="380">
        <v>0</v>
      </c>
      <c r="AA34" s="380">
        <v>0</v>
      </c>
      <c r="AB34" s="380">
        <v>0</v>
      </c>
      <c r="AC34" s="380">
        <v>0</v>
      </c>
      <c r="AD34" s="380">
        <v>0</v>
      </c>
      <c r="AE34" s="380">
        <v>0</v>
      </c>
      <c r="AF34" s="380">
        <v>0</v>
      </c>
      <c r="AG34" s="380">
        <v>0</v>
      </c>
      <c r="AL34">
        <f t="shared" ref="AL34:AL38" si="74">P34/P$5</f>
        <v>0</v>
      </c>
      <c r="AM34">
        <f t="shared" si="46"/>
        <v>0</v>
      </c>
      <c r="AN34">
        <f t="shared" si="47"/>
        <v>0</v>
      </c>
      <c r="AO34">
        <f t="shared" si="48"/>
        <v>0</v>
      </c>
      <c r="AP34">
        <f t="shared" si="49"/>
        <v>0</v>
      </c>
      <c r="AQ34">
        <f t="shared" si="50"/>
        <v>0</v>
      </c>
      <c r="AR34">
        <f t="shared" si="51"/>
        <v>0</v>
      </c>
      <c r="AS34">
        <f t="shared" si="52"/>
        <v>0</v>
      </c>
      <c r="AT34">
        <f t="shared" si="53"/>
        <v>0</v>
      </c>
      <c r="AU34">
        <f t="shared" si="54"/>
        <v>0</v>
      </c>
      <c r="AV34">
        <f t="shared" si="55"/>
        <v>0</v>
      </c>
      <c r="AW34">
        <f t="shared" si="56"/>
        <v>0</v>
      </c>
      <c r="AX34">
        <f t="shared" si="57"/>
        <v>0</v>
      </c>
      <c r="AY34">
        <f t="shared" si="58"/>
        <v>0</v>
      </c>
      <c r="AZ34">
        <f t="shared" si="59"/>
        <v>0</v>
      </c>
      <c r="BA34">
        <f t="shared" si="60"/>
        <v>0</v>
      </c>
      <c r="BB34">
        <f t="shared" si="61"/>
        <v>0</v>
      </c>
      <c r="BC34">
        <f t="shared" si="62"/>
        <v>0</v>
      </c>
      <c r="BG34">
        <f t="shared" si="68"/>
        <v>6</v>
      </c>
      <c r="BH34" s="130">
        <f>IFERROR(VLOOKUP($O34,'Table 3 ID Wind_2030'!$B$10:$K$37,10,FALSE),0)</f>
        <v>0</v>
      </c>
      <c r="BI34" s="130">
        <f>IFERROR(VLOOKUP($O34,'Table 3 UT CP Wind_2023'!$B$10:$K$37,10,FALSE),0)</f>
        <v>0</v>
      </c>
      <c r="BJ34" s="130">
        <f>IFERROR(VLOOKUP($O34,'Table 3 WYAE Wind_2024'!$B$10:$L$37,11,FALSE),0)</f>
        <v>0</v>
      </c>
      <c r="BK34" s="130">
        <f>IFERROR(VLOOKUP($O34,'Table 3 YK Wind wS_2029'!$B$10:$K$37,10,FALSE),0)</f>
        <v>0</v>
      </c>
      <c r="BL34" s="368"/>
      <c r="BM34" s="130">
        <f>IFERROR(VLOOKUP($O34,'Table 3 ID Wind wS_2032'!$B$10:$K$38,10,FALSE),0)</f>
        <v>0</v>
      </c>
      <c r="BN34" s="130">
        <f>IFERROR(VLOOKUP($O34,'Table 3 PV wS YK_2024'!$B$10:$K$40,10,FALSE),0)</f>
        <v>0</v>
      </c>
      <c r="BO34" s="368"/>
      <c r="BP34" s="130">
        <f>IFERROR(VLOOKUP($O34,'Table 3 PV wS SO_2024'!$B$10:$K$40,10,FALSE),0)</f>
        <v>0</v>
      </c>
      <c r="BQ34" s="368"/>
      <c r="BR34" s="130">
        <f>IFERROR(VLOOKUP($O34,'Table 3 PV wS UTN_2024'!$B$10:$K$43,10,FALSE),0)</f>
        <v>0</v>
      </c>
      <c r="BS34" s="130">
        <f>IFERROR(VLOOKUP($O34,'Table 3 PV wS JB_2024'!$B$10:$K$40,10,FALSE),0)</f>
        <v>0</v>
      </c>
      <c r="BT34" s="130">
        <f>IFERROR(VLOOKUP($O34,'Table 3 PV wS JB_2029'!$B$10:$K$40,10,FALSE),0)</f>
        <v>0</v>
      </c>
      <c r="BU34" s="368"/>
      <c r="BV34" s="130">
        <f>IFERROR(VLOOKUP($O34,'Table 3 PV wS UTS_2024'!$B$10:$K$38,10,FALSE),0)</f>
        <v>0</v>
      </c>
      <c r="BW34" s="130">
        <f>IFERROR(VLOOKUP($O34,'Table 3 PV wS UTS_2030'!$B$10:$K$38,10,FALSE),0)</f>
        <v>0</v>
      </c>
      <c r="BX34" s="367"/>
      <c r="BY34" s="130">
        <f>IFERROR(VLOOKUP($O34,'Table 3 185 MW (NTN) 2026)'!$B$13:$L$40,11,FALSE),0)</f>
        <v>0</v>
      </c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 t="e">
        <f>SUM(AX$13:AX34)*BT34/1000</f>
        <v>#N/A</v>
      </c>
      <c r="CQ34" t="e">
        <f>SUM(AY$13:AY34)*BU34/1000</f>
        <v>#N/A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 t="e">
        <f>SUM(BC$13:BC34)*BY34/1000</f>
        <v>#N/A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69"/>
        <v>#N/A</v>
      </c>
      <c r="DA34">
        <f t="shared" si="70"/>
        <v>6</v>
      </c>
      <c r="DB34" s="89">
        <f>IFERROR(VLOOKUP($DA34,'Table 3 TransCost'!$B$10:$E$40,4,FALSE),0)</f>
        <v>0</v>
      </c>
      <c r="DC34" s="174">
        <f t="shared" si="71"/>
        <v>0</v>
      </c>
    </row>
    <row r="35" spans="1:107" hidden="1">
      <c r="B35" s="15">
        <f t="shared" si="38"/>
        <v>7</v>
      </c>
      <c r="C35" s="9" t="e">
        <f t="shared" si="17"/>
        <v>#N/A</v>
      </c>
      <c r="D35" s="45"/>
      <c r="E35" s="9" t="e">
        <f t="shared" ref="E35:E38" ca="1" si="75">SUMIF(INDIRECT("'Table 5'!$J$"&amp;$K$3&amp;":$J$"&amp;$K$4),B35,INDIRECT("'Table 5'!$c$"&amp;$K$3&amp;":$c$"&amp;$K$4))/SUMIF(INDIRECT("'Table 5'!$J$"&amp;$K$3&amp;":$J$"&amp;$K$4),B35,INDIRECT("'Table 5'!$f$"&amp;$K$3&amp;":$f$"&amp;$K$4))</f>
        <v>#DIV/0!</v>
      </c>
      <c r="F35" s="37"/>
      <c r="G35" s="14" t="e">
        <f t="shared" ca="1" si="40"/>
        <v>#DIV/0!</v>
      </c>
      <c r="H35" s="36" t="e">
        <f t="shared" ca="1" si="41"/>
        <v>#DIV/0!</v>
      </c>
      <c r="I35" s="174"/>
      <c r="J35" s="174"/>
      <c r="M35" s="112"/>
      <c r="O35">
        <f t="shared" ref="O35:O38" si="76">B35</f>
        <v>7</v>
      </c>
      <c r="P35" s="380">
        <v>0</v>
      </c>
      <c r="Q35" s="380">
        <v>0</v>
      </c>
      <c r="R35" s="380">
        <v>0</v>
      </c>
      <c r="S35" s="380">
        <v>0</v>
      </c>
      <c r="T35" s="380">
        <v>0</v>
      </c>
      <c r="U35" s="380">
        <v>0</v>
      </c>
      <c r="V35" s="380">
        <v>0</v>
      </c>
      <c r="W35" s="380">
        <v>0</v>
      </c>
      <c r="X35" s="380">
        <v>0</v>
      </c>
      <c r="Y35" s="380">
        <v>0</v>
      </c>
      <c r="Z35" s="380">
        <v>0</v>
      </c>
      <c r="AA35" s="380">
        <v>0</v>
      </c>
      <c r="AB35" s="380">
        <v>0</v>
      </c>
      <c r="AC35" s="380">
        <v>0</v>
      </c>
      <c r="AD35" s="380">
        <v>0</v>
      </c>
      <c r="AE35" s="380">
        <v>0</v>
      </c>
      <c r="AF35" s="380">
        <v>0</v>
      </c>
      <c r="AG35" s="380">
        <v>0</v>
      </c>
      <c r="AL35">
        <f t="shared" si="74"/>
        <v>0</v>
      </c>
      <c r="AM35">
        <f t="shared" si="46"/>
        <v>0</v>
      </c>
      <c r="AN35">
        <f t="shared" si="47"/>
        <v>0</v>
      </c>
      <c r="AO35">
        <f t="shared" si="48"/>
        <v>0</v>
      </c>
      <c r="AP35">
        <f t="shared" si="49"/>
        <v>0</v>
      </c>
      <c r="AQ35">
        <f t="shared" si="50"/>
        <v>0</v>
      </c>
      <c r="AR35">
        <f t="shared" si="51"/>
        <v>0</v>
      </c>
      <c r="AS35">
        <f t="shared" si="52"/>
        <v>0</v>
      </c>
      <c r="AT35">
        <f t="shared" si="53"/>
        <v>0</v>
      </c>
      <c r="AU35">
        <f t="shared" si="54"/>
        <v>0</v>
      </c>
      <c r="AV35">
        <f t="shared" si="55"/>
        <v>0</v>
      </c>
      <c r="AW35">
        <f t="shared" si="56"/>
        <v>0</v>
      </c>
      <c r="AX35">
        <f t="shared" si="57"/>
        <v>0</v>
      </c>
      <c r="AY35">
        <f t="shared" si="58"/>
        <v>0</v>
      </c>
      <c r="AZ35">
        <f t="shared" si="59"/>
        <v>0</v>
      </c>
      <c r="BA35">
        <f t="shared" si="60"/>
        <v>0</v>
      </c>
      <c r="BB35">
        <f t="shared" si="61"/>
        <v>0</v>
      </c>
      <c r="BC35">
        <f t="shared" si="62"/>
        <v>0</v>
      </c>
      <c r="BG35">
        <f t="shared" si="68"/>
        <v>7</v>
      </c>
      <c r="BH35" s="130">
        <f>IFERROR(VLOOKUP($O35,'Table 3 ID Wind_2030'!$B$10:$K$37,10,FALSE),0)</f>
        <v>0</v>
      </c>
      <c r="BI35" s="130">
        <f>IFERROR(VLOOKUP($O35,'Table 3 UT CP Wind_2023'!$B$10:$K$37,10,FALSE),0)</f>
        <v>0</v>
      </c>
      <c r="BJ35" s="130">
        <f>IFERROR(VLOOKUP($O35,'Table 3 WYAE Wind_2024'!$B$10:$L$37,11,FALSE),0)</f>
        <v>0</v>
      </c>
      <c r="BK35" s="130">
        <f>IFERROR(VLOOKUP($O35,'Table 3 YK Wind wS_2029'!$B$10:$K$37,10,FALSE),0)</f>
        <v>0</v>
      </c>
      <c r="BL35" s="368"/>
      <c r="BM35" s="130">
        <f>IFERROR(VLOOKUP($O35,'Table 3 ID Wind wS_2032'!$B$10:$K$38,10,FALSE),0)</f>
        <v>0</v>
      </c>
      <c r="BN35" s="130">
        <f>IFERROR(VLOOKUP($O35,'Table 3 PV wS YK_2024'!$B$10:$K$40,10,FALSE),0)</f>
        <v>0</v>
      </c>
      <c r="BO35" s="368"/>
      <c r="BP35" s="130">
        <f>IFERROR(VLOOKUP($O35,'Table 3 PV wS SO_2024'!$B$10:$K$40,10,FALSE),0)</f>
        <v>0</v>
      </c>
      <c r="BQ35" s="368"/>
      <c r="BR35" s="130">
        <f>IFERROR(VLOOKUP($O35,'Table 3 PV wS UTN_2024'!$B$10:$K$43,10,FALSE),0)</f>
        <v>0</v>
      </c>
      <c r="BS35" s="130">
        <f>IFERROR(VLOOKUP($O35,'Table 3 PV wS JB_2024'!$B$10:$K$40,10,FALSE),0)</f>
        <v>0</v>
      </c>
      <c r="BT35" s="130">
        <f>IFERROR(VLOOKUP($O35,'Table 3 PV wS JB_2029'!$B$10:$K$40,10,FALSE),0)</f>
        <v>0</v>
      </c>
      <c r="BU35" s="368"/>
      <c r="BV35" s="130">
        <f>IFERROR(VLOOKUP($O35,'Table 3 PV wS UTS_2024'!$B$10:$K$38,10,FALSE),0)</f>
        <v>0</v>
      </c>
      <c r="BW35" s="130">
        <f>IFERROR(VLOOKUP($O35,'Table 3 PV wS UTS_2030'!$B$10:$K$38,10,FALSE),0)</f>
        <v>0</v>
      </c>
      <c r="BX35" s="367"/>
      <c r="BY35" s="130">
        <f>IFERROR(VLOOKUP($O35,'Table 3 185 MW (NTN) 2026)'!$B$13:$L$40,11,FALSE),0)</f>
        <v>0</v>
      </c>
      <c r="CD35" t="e">
        <f>SUM(AL$13:AL35)*BH35/1000</f>
        <v>#N/A</v>
      </c>
      <c r="CE35" t="e">
        <f>SUM(AM$13:AM35)*BI35/1000</f>
        <v>#N/A</v>
      </c>
      <c r="CF35" t="e">
        <f>SUM(AN$13:AN35)*BJ35/1000</f>
        <v>#N/A</v>
      </c>
      <c r="CG35" t="e">
        <f>SUM(AO$13:AO35)*BK35/1000</f>
        <v>#N/A</v>
      </c>
      <c r="CH35" t="e">
        <f>SUM(AP$13:AP35)*BL35/1000</f>
        <v>#N/A</v>
      </c>
      <c r="CI35" t="e">
        <f>SUM(AQ$13:AQ35)*BM35/1000</f>
        <v>#N/A</v>
      </c>
      <c r="CJ35" t="e">
        <f>SUM(AR$13:AR35)*BN35/1000</f>
        <v>#N/A</v>
      </c>
      <c r="CK35" t="e">
        <f>SUM(AS$13:AS35)*BO35/1000</f>
        <v>#N/A</v>
      </c>
      <c r="CL35" t="e">
        <f>SUM(AT$13:AT35)*BP35/1000</f>
        <v>#N/A</v>
      </c>
      <c r="CM35" t="e">
        <f>SUM(AU$13:AU35)*BQ35/1000</f>
        <v>#N/A</v>
      </c>
      <c r="CN35" t="e">
        <f>SUM(AV$13:AV35)*BR35/1000</f>
        <v>#N/A</v>
      </c>
      <c r="CO35" t="e">
        <f>SUM(AW$13:AW35)*BS35/1000</f>
        <v>#N/A</v>
      </c>
      <c r="CP35" t="e">
        <f>SUM(AX$13:AX35)*BT35/1000</f>
        <v>#N/A</v>
      </c>
      <c r="CQ35" t="e">
        <f>SUM(AY$13:AY35)*BU35/1000</f>
        <v>#N/A</v>
      </c>
      <c r="CR35" t="e">
        <f>SUM(AZ$13:AZ35)*BV35/1000</f>
        <v>#N/A</v>
      </c>
      <c r="CS35" t="e">
        <f>SUM(BA$13:BA35)*BW35/1000</f>
        <v>#N/A</v>
      </c>
      <c r="CT35" t="e">
        <f>SUM(BB$13:BB35)*BX35/1000</f>
        <v>#N/A</v>
      </c>
      <c r="CU35" t="e">
        <f>SUM(BC$13:BC35)*BY35/1000</f>
        <v>#N/A</v>
      </c>
      <c r="CV35">
        <f>SUM(BD$13:BD35)*BZ35/1000</f>
        <v>0</v>
      </c>
      <c r="CW35">
        <f>SUM(BE$13:BE35)*CA35/1000</f>
        <v>0</v>
      </c>
      <c r="CX35">
        <f>SUM(BF$13:BF35)*CB35/1000</f>
        <v>0</v>
      </c>
      <c r="CY35" t="e">
        <f t="shared" si="69"/>
        <v>#N/A</v>
      </c>
      <c r="DA35">
        <f t="shared" si="70"/>
        <v>7</v>
      </c>
      <c r="DB35" s="89">
        <f>IFERROR(VLOOKUP($DA35,'Table 3 TransCost'!$B$10:$E$40,4,FALSE),0)</f>
        <v>0</v>
      </c>
      <c r="DC35" s="174">
        <f t="shared" si="71"/>
        <v>0</v>
      </c>
    </row>
    <row r="36" spans="1:107" hidden="1">
      <c r="B36" s="15">
        <f t="shared" si="38"/>
        <v>8</v>
      </c>
      <c r="C36" s="9" t="e">
        <f t="shared" si="17"/>
        <v>#N/A</v>
      </c>
      <c r="D36" s="45"/>
      <c r="E36" s="9" t="e">
        <f t="shared" ca="1" si="75"/>
        <v>#DIV/0!</v>
      </c>
      <c r="F36" s="37"/>
      <c r="G36" s="14" t="e">
        <f t="shared" ca="1" si="40"/>
        <v>#DIV/0!</v>
      </c>
      <c r="H36" s="36" t="e">
        <f t="shared" ca="1" si="41"/>
        <v>#DIV/0!</v>
      </c>
      <c r="I36" s="174"/>
      <c r="J36" s="174"/>
      <c r="M36" s="112"/>
      <c r="O36">
        <f t="shared" si="76"/>
        <v>8</v>
      </c>
      <c r="P36" s="380">
        <v>0</v>
      </c>
      <c r="Q36" s="380">
        <v>0</v>
      </c>
      <c r="R36" s="380">
        <v>0</v>
      </c>
      <c r="S36" s="380">
        <v>0</v>
      </c>
      <c r="T36" s="380">
        <v>0</v>
      </c>
      <c r="U36" s="380">
        <v>0</v>
      </c>
      <c r="V36" s="380">
        <v>0</v>
      </c>
      <c r="W36" s="380">
        <v>0</v>
      </c>
      <c r="X36" s="380">
        <v>0</v>
      </c>
      <c r="Y36" s="380">
        <v>0</v>
      </c>
      <c r="Z36" s="380">
        <v>0</v>
      </c>
      <c r="AA36" s="380">
        <v>0</v>
      </c>
      <c r="AB36" s="380">
        <v>0</v>
      </c>
      <c r="AC36" s="380">
        <v>0</v>
      </c>
      <c r="AD36" s="380">
        <v>0</v>
      </c>
      <c r="AE36" s="380">
        <v>0</v>
      </c>
      <c r="AF36" s="380">
        <v>0</v>
      </c>
      <c r="AG36" s="380">
        <v>0</v>
      </c>
      <c r="AL36">
        <f t="shared" si="74"/>
        <v>0</v>
      </c>
      <c r="AM36">
        <f t="shared" si="46"/>
        <v>0</v>
      </c>
      <c r="AN36">
        <f t="shared" si="47"/>
        <v>0</v>
      </c>
      <c r="AO36">
        <f t="shared" si="48"/>
        <v>0</v>
      </c>
      <c r="AP36">
        <f t="shared" si="49"/>
        <v>0</v>
      </c>
      <c r="AQ36">
        <f t="shared" si="50"/>
        <v>0</v>
      </c>
      <c r="AR36">
        <f t="shared" si="51"/>
        <v>0</v>
      </c>
      <c r="AS36">
        <f t="shared" si="52"/>
        <v>0</v>
      </c>
      <c r="AT36">
        <f t="shared" si="53"/>
        <v>0</v>
      </c>
      <c r="AU36">
        <f t="shared" si="54"/>
        <v>0</v>
      </c>
      <c r="AV36">
        <f t="shared" si="55"/>
        <v>0</v>
      </c>
      <c r="AW36">
        <f t="shared" si="56"/>
        <v>0</v>
      </c>
      <c r="AX36">
        <f t="shared" si="57"/>
        <v>0</v>
      </c>
      <c r="AY36">
        <f t="shared" si="58"/>
        <v>0</v>
      </c>
      <c r="AZ36">
        <f t="shared" si="59"/>
        <v>0</v>
      </c>
      <c r="BA36">
        <f t="shared" si="60"/>
        <v>0</v>
      </c>
      <c r="BB36">
        <f t="shared" si="61"/>
        <v>0</v>
      </c>
      <c r="BC36">
        <f t="shared" si="62"/>
        <v>0</v>
      </c>
      <c r="BG36">
        <f t="shared" si="68"/>
        <v>8</v>
      </c>
      <c r="BH36" s="130">
        <f>IFERROR(VLOOKUP($O36,'Table 3 ID Wind_2030'!$B$10:$K$37,10,FALSE),0)</f>
        <v>0</v>
      </c>
      <c r="BI36" s="130">
        <f>IFERROR(VLOOKUP($O36,'Table 3 UT CP Wind_2023'!$B$10:$K$37,10,FALSE),0)</f>
        <v>0</v>
      </c>
      <c r="BJ36" s="130">
        <f>IFERROR(VLOOKUP($O36,'Table 3 WYAE Wind_2024'!$B$10:$L$37,11,FALSE),0)</f>
        <v>0</v>
      </c>
      <c r="BK36" s="130">
        <f>IFERROR(VLOOKUP($O36,'Table 3 YK Wind wS_2029'!$B$10:$K$37,10,FALSE),0)</f>
        <v>0</v>
      </c>
      <c r="BL36" s="368"/>
      <c r="BM36" s="130">
        <f>IFERROR(VLOOKUP($O36,'Table 3 ID Wind wS_2032'!$B$10:$K$38,10,FALSE),0)</f>
        <v>0</v>
      </c>
      <c r="BN36" s="130">
        <f>IFERROR(VLOOKUP($O36,'Table 3 PV wS YK_2024'!$B$10:$K$40,10,FALSE),0)</f>
        <v>0</v>
      </c>
      <c r="BO36" s="368"/>
      <c r="BP36" s="130">
        <f>IFERROR(VLOOKUP($O36,'Table 3 PV wS SO_2024'!$B$10:$K$40,10,FALSE),0)</f>
        <v>0</v>
      </c>
      <c r="BQ36" s="368"/>
      <c r="BR36" s="130">
        <f>IFERROR(VLOOKUP($O36,'Table 3 PV wS UTN_2024'!$B$10:$K$43,10,FALSE),0)</f>
        <v>0</v>
      </c>
      <c r="BS36" s="130">
        <f>IFERROR(VLOOKUP($O36,'Table 3 PV wS JB_2024'!$B$10:$K$40,10,FALSE),0)</f>
        <v>0</v>
      </c>
      <c r="BT36" s="130">
        <f>IFERROR(VLOOKUP($O36,'Table 3 PV wS JB_2029'!$B$10:$K$40,10,FALSE),0)</f>
        <v>0</v>
      </c>
      <c r="BU36" s="368"/>
      <c r="BV36" s="130">
        <f>IFERROR(VLOOKUP($O36,'Table 3 PV wS UTS_2024'!$B$10:$K$38,10,FALSE),0)</f>
        <v>0</v>
      </c>
      <c r="BW36" s="130">
        <f>IFERROR(VLOOKUP($O36,'Table 3 PV wS UTS_2030'!$B$10:$K$38,10,FALSE),0)</f>
        <v>0</v>
      </c>
      <c r="BX36" s="367"/>
      <c r="BY36" s="130">
        <f>IFERROR(VLOOKUP($O36,'Table 3 185 MW (NTN) 2026)'!$B$13:$L$40,11,FALSE),0)</f>
        <v>0</v>
      </c>
      <c r="CD36" t="e">
        <f>SUM(AL$13:AL36)*BH36/1000</f>
        <v>#N/A</v>
      </c>
      <c r="CE36" t="e">
        <f>SUM(AM$13:AM36)*BI36/1000</f>
        <v>#N/A</v>
      </c>
      <c r="CF36" t="e">
        <f>SUM(AN$13:AN36)*BJ36/1000</f>
        <v>#N/A</v>
      </c>
      <c r="CG36" t="e">
        <f>SUM(AO$13:AO36)*BK36/1000</f>
        <v>#N/A</v>
      </c>
      <c r="CH36" t="e">
        <f>SUM(AP$13:AP36)*BL36/1000</f>
        <v>#N/A</v>
      </c>
      <c r="CI36" t="e">
        <f>SUM(AQ$13:AQ36)*BM36/1000</f>
        <v>#N/A</v>
      </c>
      <c r="CJ36" t="e">
        <f>SUM(AR$13:AR36)*BN36/1000</f>
        <v>#N/A</v>
      </c>
      <c r="CK36" t="e">
        <f>SUM(AS$13:AS36)*BO36/1000</f>
        <v>#N/A</v>
      </c>
      <c r="CL36" t="e">
        <f>SUM(AT$13:AT36)*BP36/1000</f>
        <v>#N/A</v>
      </c>
      <c r="CM36" t="e">
        <f>SUM(AU$13:AU36)*BQ36/1000</f>
        <v>#N/A</v>
      </c>
      <c r="CN36" t="e">
        <f>SUM(AV$13:AV36)*BR36/1000</f>
        <v>#N/A</v>
      </c>
      <c r="CO36" t="e">
        <f>SUM(AW$13:AW36)*BS36/1000</f>
        <v>#N/A</v>
      </c>
      <c r="CP36" t="e">
        <f>SUM(AX$13:AX36)*BT36/1000</f>
        <v>#N/A</v>
      </c>
      <c r="CQ36" t="e">
        <f>SUM(AY$13:AY36)*BU36/1000</f>
        <v>#N/A</v>
      </c>
      <c r="CR36" t="e">
        <f>SUM(AZ$13:AZ36)*BV36/1000</f>
        <v>#N/A</v>
      </c>
      <c r="CS36" t="e">
        <f>SUM(BA$13:BA36)*BW36/1000</f>
        <v>#N/A</v>
      </c>
      <c r="CT36" t="e">
        <f>SUM(BB$13:BB36)*BX36/1000</f>
        <v>#N/A</v>
      </c>
      <c r="CU36" t="e">
        <f>SUM(BC$13:BC36)*BY36/1000</f>
        <v>#N/A</v>
      </c>
      <c r="CV36">
        <f>SUM(BD$13:BD36)*BZ36/1000</f>
        <v>0</v>
      </c>
      <c r="CW36">
        <f>SUM(BE$13:BE36)*CA36/1000</f>
        <v>0</v>
      </c>
      <c r="CX36">
        <f>SUM(BF$13:BF36)*CB36/1000</f>
        <v>0</v>
      </c>
      <c r="CY36" t="e">
        <f t="shared" si="69"/>
        <v>#N/A</v>
      </c>
      <c r="DA36">
        <f t="shared" si="70"/>
        <v>8</v>
      </c>
      <c r="DB36" s="89">
        <f>IFERROR(VLOOKUP($DA36,'Table 3 TransCost'!$B$10:$E$40,4,FALSE),0)</f>
        <v>0</v>
      </c>
      <c r="DC36" s="174">
        <f t="shared" si="71"/>
        <v>0</v>
      </c>
    </row>
    <row r="37" spans="1:107" hidden="1">
      <c r="B37" s="15">
        <f t="shared" si="38"/>
        <v>9</v>
      </c>
      <c r="C37" s="9" t="e">
        <f t="shared" si="17"/>
        <v>#N/A</v>
      </c>
      <c r="D37" s="45"/>
      <c r="E37" s="9" t="e">
        <f t="shared" ca="1" si="75"/>
        <v>#DIV/0!</v>
      </c>
      <c r="F37" s="37"/>
      <c r="G37" s="14" t="e">
        <f t="shared" ca="1" si="40"/>
        <v>#DIV/0!</v>
      </c>
      <c r="H37" s="36" t="e">
        <f t="shared" ca="1" si="41"/>
        <v>#DIV/0!</v>
      </c>
      <c r="I37" s="174"/>
      <c r="J37" s="174"/>
      <c r="M37" s="112"/>
      <c r="O37">
        <f t="shared" si="76"/>
        <v>9</v>
      </c>
      <c r="P37" s="380">
        <v>0</v>
      </c>
      <c r="Q37" s="380">
        <v>0</v>
      </c>
      <c r="R37" s="380">
        <v>0</v>
      </c>
      <c r="S37" s="380">
        <v>0</v>
      </c>
      <c r="T37" s="380">
        <v>0</v>
      </c>
      <c r="U37" s="380">
        <v>0</v>
      </c>
      <c r="V37" s="380">
        <v>0</v>
      </c>
      <c r="W37" s="380">
        <v>0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0">
        <v>0</v>
      </c>
      <c r="AD37" s="380">
        <v>0</v>
      </c>
      <c r="AE37" s="380">
        <v>0</v>
      </c>
      <c r="AF37" s="380">
        <v>0</v>
      </c>
      <c r="AG37" s="380">
        <v>0</v>
      </c>
      <c r="AL37">
        <f t="shared" si="74"/>
        <v>0</v>
      </c>
      <c r="AM37">
        <f t="shared" si="46"/>
        <v>0</v>
      </c>
      <c r="AN37">
        <f t="shared" si="47"/>
        <v>0</v>
      </c>
      <c r="AO37">
        <f t="shared" si="48"/>
        <v>0</v>
      </c>
      <c r="AP37">
        <f t="shared" si="49"/>
        <v>0</v>
      </c>
      <c r="AQ37">
        <f t="shared" si="50"/>
        <v>0</v>
      </c>
      <c r="AR37">
        <f t="shared" si="51"/>
        <v>0</v>
      </c>
      <c r="AS37">
        <f t="shared" si="52"/>
        <v>0</v>
      </c>
      <c r="AT37">
        <f t="shared" si="53"/>
        <v>0</v>
      </c>
      <c r="AU37">
        <f t="shared" si="54"/>
        <v>0</v>
      </c>
      <c r="AV37">
        <f t="shared" si="55"/>
        <v>0</v>
      </c>
      <c r="AW37">
        <f t="shared" si="56"/>
        <v>0</v>
      </c>
      <c r="AX37">
        <f t="shared" si="57"/>
        <v>0</v>
      </c>
      <c r="AY37">
        <f t="shared" si="58"/>
        <v>0</v>
      </c>
      <c r="AZ37">
        <f t="shared" si="59"/>
        <v>0</v>
      </c>
      <c r="BA37">
        <f t="shared" si="60"/>
        <v>0</v>
      </c>
      <c r="BB37">
        <f t="shared" si="61"/>
        <v>0</v>
      </c>
      <c r="BC37">
        <f t="shared" si="62"/>
        <v>0</v>
      </c>
      <c r="BG37">
        <f t="shared" si="68"/>
        <v>9</v>
      </c>
      <c r="BH37" s="130">
        <f>IFERROR(VLOOKUP($O37,'Table 3 ID Wind_2030'!$B$10:$K$37,10,FALSE),0)</f>
        <v>0</v>
      </c>
      <c r="BI37" s="130">
        <f>IFERROR(VLOOKUP($O37,'Table 3 UT CP Wind_2023'!$B$10:$K$37,10,FALSE),0)</f>
        <v>0</v>
      </c>
      <c r="BJ37" s="130">
        <f>IFERROR(VLOOKUP($O37,'Table 3 WYAE Wind_2024'!$B$10:$L$37,11,FALSE),0)</f>
        <v>0</v>
      </c>
      <c r="BK37" s="130">
        <f>IFERROR(VLOOKUP($O37,'Table 3 YK Wind wS_2029'!$B$10:$K$37,10,FALSE),0)</f>
        <v>0</v>
      </c>
      <c r="BL37" s="368"/>
      <c r="BM37" s="130">
        <f>IFERROR(VLOOKUP($O37,'Table 3 ID Wind wS_2032'!$B$10:$K$38,10,FALSE),0)</f>
        <v>0</v>
      </c>
      <c r="BN37" s="130">
        <f>IFERROR(VLOOKUP($O37,'Table 3 PV wS YK_2024'!$B$10:$K$40,10,FALSE),0)</f>
        <v>0</v>
      </c>
      <c r="BO37" s="368"/>
      <c r="BP37" s="130">
        <f>IFERROR(VLOOKUP($O37,'Table 3 PV wS SO_2024'!$B$10:$K$40,10,FALSE),0)</f>
        <v>0</v>
      </c>
      <c r="BQ37" s="368"/>
      <c r="BR37" s="130">
        <f>IFERROR(VLOOKUP($O37,'Table 3 PV wS UTN_2024'!$B$10:$K$43,10,FALSE),0)</f>
        <v>0</v>
      </c>
      <c r="BS37" s="130">
        <f>IFERROR(VLOOKUP($O37,'Table 3 PV wS JB_2024'!$B$10:$K$40,10,FALSE),0)</f>
        <v>0</v>
      </c>
      <c r="BT37" s="130">
        <f>IFERROR(VLOOKUP($O37,'Table 3 PV wS JB_2029'!$B$10:$K$40,10,FALSE),0)</f>
        <v>0</v>
      </c>
      <c r="BU37" s="368"/>
      <c r="BV37" s="130">
        <f>IFERROR(VLOOKUP($O37,'Table 3 PV wS UTS_2024'!$B$10:$K$38,10,FALSE),0)</f>
        <v>0</v>
      </c>
      <c r="BW37" s="130">
        <f>IFERROR(VLOOKUP($O37,'Table 3 PV wS UTS_2030'!$B$10:$K$38,10,FALSE),0)</f>
        <v>0</v>
      </c>
      <c r="BX37" s="367"/>
      <c r="BY37" s="130">
        <f>IFERROR(VLOOKUP($O37,'Table 3 185 MW (NTN) 2026)'!$B$13:$L$40,11,FALSE),0)</f>
        <v>0</v>
      </c>
      <c r="CD37" t="e">
        <f>SUM(AL$13:AL37)*BH37/1000</f>
        <v>#N/A</v>
      </c>
      <c r="CE37" t="e">
        <f>SUM(AM$13:AM37)*BI37/1000</f>
        <v>#N/A</v>
      </c>
      <c r="CF37" t="e">
        <f>SUM(AN$13:AN37)*BJ37/1000</f>
        <v>#N/A</v>
      </c>
      <c r="CG37" t="e">
        <f>SUM(AO$13:AO37)*BK37/1000</f>
        <v>#N/A</v>
      </c>
      <c r="CH37" t="e">
        <f>SUM(AP$13:AP37)*BL37/1000</f>
        <v>#N/A</v>
      </c>
      <c r="CI37" t="e">
        <f>SUM(AQ$13:AQ37)*BM37/1000</f>
        <v>#N/A</v>
      </c>
      <c r="CJ37" t="e">
        <f>SUM(AR$13:AR37)*BN37/1000</f>
        <v>#N/A</v>
      </c>
      <c r="CK37" t="e">
        <f>SUM(AS$13:AS37)*BO37/1000</f>
        <v>#N/A</v>
      </c>
      <c r="CL37" t="e">
        <f>SUM(AT$13:AT37)*BP37/1000</f>
        <v>#N/A</v>
      </c>
      <c r="CM37" t="e">
        <f>SUM(AU$13:AU37)*BQ37/1000</f>
        <v>#N/A</v>
      </c>
      <c r="CN37" t="e">
        <f>SUM(AV$13:AV37)*BR37/1000</f>
        <v>#N/A</v>
      </c>
      <c r="CO37" t="e">
        <f>SUM(AW$13:AW37)*BS37/1000</f>
        <v>#N/A</v>
      </c>
      <c r="CP37" t="e">
        <f>SUM(AX$13:AX37)*BT37/1000</f>
        <v>#N/A</v>
      </c>
      <c r="CQ37" t="e">
        <f>SUM(AY$13:AY37)*BU37/1000</f>
        <v>#N/A</v>
      </c>
      <c r="CR37" t="e">
        <f>SUM(AZ$13:AZ37)*BV37/1000</f>
        <v>#N/A</v>
      </c>
      <c r="CS37" t="e">
        <f>SUM(BA$13:BA37)*BW37/1000</f>
        <v>#N/A</v>
      </c>
      <c r="CT37" t="e">
        <f>SUM(BB$13:BB37)*BX37/1000</f>
        <v>#N/A</v>
      </c>
      <c r="CU37" t="e">
        <f>SUM(BC$13:BC37)*BY37/1000</f>
        <v>#N/A</v>
      </c>
      <c r="CV37">
        <f>SUM(BD$13:BD37)*BZ37/1000</f>
        <v>0</v>
      </c>
      <c r="CW37">
        <f>SUM(BE$13:BE37)*CA37/1000</f>
        <v>0</v>
      </c>
      <c r="CX37">
        <f>SUM(BF$13:BF37)*CB37/1000</f>
        <v>0</v>
      </c>
      <c r="CY37" t="e">
        <f t="shared" si="69"/>
        <v>#N/A</v>
      </c>
      <c r="DA37">
        <f t="shared" si="70"/>
        <v>9</v>
      </c>
      <c r="DB37" s="89">
        <f>IFERROR(VLOOKUP($DA37,'Table 3 TransCost'!$B$10:$E$40,4,FALSE),0)</f>
        <v>0</v>
      </c>
      <c r="DC37" s="174">
        <f t="shared" si="71"/>
        <v>0</v>
      </c>
    </row>
    <row r="38" spans="1:107" hidden="1">
      <c r="B38" s="15">
        <f t="shared" si="38"/>
        <v>10</v>
      </c>
      <c r="C38" s="9" t="e">
        <f t="shared" si="17"/>
        <v>#N/A</v>
      </c>
      <c r="D38" s="45"/>
      <c r="E38" s="9" t="e">
        <f t="shared" ca="1" si="75"/>
        <v>#DIV/0!</v>
      </c>
      <c r="F38" s="37"/>
      <c r="G38" s="14" t="e">
        <f t="shared" ca="1" si="40"/>
        <v>#DIV/0!</v>
      </c>
      <c r="H38" s="36" t="e">
        <f t="shared" ca="1" si="41"/>
        <v>#DIV/0!</v>
      </c>
      <c r="I38" s="174"/>
      <c r="J38" s="174"/>
      <c r="M38" s="112"/>
      <c r="O38">
        <f t="shared" si="76"/>
        <v>10</v>
      </c>
      <c r="P38" s="380">
        <v>0</v>
      </c>
      <c r="Q38" s="380">
        <v>0</v>
      </c>
      <c r="R38" s="380">
        <v>0</v>
      </c>
      <c r="S38" s="380">
        <v>0</v>
      </c>
      <c r="T38" s="380">
        <v>0</v>
      </c>
      <c r="U38" s="380">
        <v>0</v>
      </c>
      <c r="V38" s="380">
        <v>0</v>
      </c>
      <c r="W38" s="380">
        <v>0</v>
      </c>
      <c r="X38" s="380">
        <v>0</v>
      </c>
      <c r="Y38" s="380">
        <v>0</v>
      </c>
      <c r="Z38" s="380">
        <v>0</v>
      </c>
      <c r="AA38" s="380">
        <v>0</v>
      </c>
      <c r="AB38" s="380">
        <v>0</v>
      </c>
      <c r="AC38" s="380">
        <v>0</v>
      </c>
      <c r="AD38" s="380">
        <v>0</v>
      </c>
      <c r="AE38" s="380">
        <v>0</v>
      </c>
      <c r="AF38" s="380">
        <v>0</v>
      </c>
      <c r="AG38" s="380">
        <v>0</v>
      </c>
      <c r="AL38">
        <f t="shared" si="74"/>
        <v>0</v>
      </c>
      <c r="AM38">
        <f t="shared" si="46"/>
        <v>0</v>
      </c>
      <c r="AN38">
        <f t="shared" si="47"/>
        <v>0</v>
      </c>
      <c r="AO38">
        <f t="shared" si="48"/>
        <v>0</v>
      </c>
      <c r="AP38">
        <f t="shared" si="49"/>
        <v>0</v>
      </c>
      <c r="AQ38">
        <f t="shared" si="50"/>
        <v>0</v>
      </c>
      <c r="AR38">
        <f t="shared" si="51"/>
        <v>0</v>
      </c>
      <c r="AS38">
        <f t="shared" si="52"/>
        <v>0</v>
      </c>
      <c r="AT38">
        <f t="shared" si="53"/>
        <v>0</v>
      </c>
      <c r="AU38">
        <f t="shared" si="54"/>
        <v>0</v>
      </c>
      <c r="AV38">
        <f t="shared" si="55"/>
        <v>0</v>
      </c>
      <c r="AW38">
        <f t="shared" si="56"/>
        <v>0</v>
      </c>
      <c r="AX38">
        <f t="shared" si="57"/>
        <v>0</v>
      </c>
      <c r="AY38">
        <f t="shared" si="58"/>
        <v>0</v>
      </c>
      <c r="AZ38">
        <f t="shared" si="59"/>
        <v>0</v>
      </c>
      <c r="BA38">
        <f t="shared" si="60"/>
        <v>0</v>
      </c>
      <c r="BB38">
        <f t="shared" si="61"/>
        <v>0</v>
      </c>
      <c r="BC38">
        <f t="shared" si="62"/>
        <v>0</v>
      </c>
      <c r="BG38">
        <f t="shared" si="68"/>
        <v>10</v>
      </c>
      <c r="BH38" s="130">
        <f>IFERROR(VLOOKUP($O38,'Table 3 ID Wind_2030'!$B$10:$K$37,10,FALSE),0)</f>
        <v>0</v>
      </c>
      <c r="BI38" s="130">
        <f>IFERROR(VLOOKUP($O38,'Table 3 UT CP Wind_2023'!$B$10:$K$37,10,FALSE),0)</f>
        <v>0</v>
      </c>
      <c r="BJ38" s="130">
        <f>IFERROR(VLOOKUP($O38,'Table 3 WYAE Wind_2024'!$B$10:$L$37,11,FALSE),0)</f>
        <v>0</v>
      </c>
      <c r="BK38" s="130">
        <f>IFERROR(VLOOKUP($O38,'Table 3 YK Wind wS_2029'!$B$10:$K$37,10,FALSE),0)</f>
        <v>0</v>
      </c>
      <c r="BL38" s="368"/>
      <c r="BM38" s="130">
        <f>IFERROR(VLOOKUP($O38,'Table 3 ID Wind wS_2032'!$B$10:$K$38,10,FALSE),0)</f>
        <v>0</v>
      </c>
      <c r="BN38" s="130">
        <f>IFERROR(VLOOKUP($O38,'Table 3 PV wS YK_2024'!$B$10:$K$40,10,FALSE),0)</f>
        <v>0</v>
      </c>
      <c r="BO38" s="368"/>
      <c r="BP38" s="130">
        <f>IFERROR(VLOOKUP($O38,'Table 3 PV wS SO_2024'!$B$10:$K$40,10,FALSE),0)</f>
        <v>0</v>
      </c>
      <c r="BQ38" s="368"/>
      <c r="BR38" s="130">
        <f>IFERROR(VLOOKUP($O38,'Table 3 PV wS UTN_2024'!$B$10:$K$43,10,FALSE),0)</f>
        <v>0</v>
      </c>
      <c r="BS38" s="130">
        <f>IFERROR(VLOOKUP($O38,'Table 3 PV wS JB_2024'!$B$10:$K$40,10,FALSE),0)</f>
        <v>0</v>
      </c>
      <c r="BT38" s="130">
        <f>IFERROR(VLOOKUP($O38,'Table 3 PV wS JB_2029'!$B$10:$K$40,10,FALSE),0)</f>
        <v>0</v>
      </c>
      <c r="BU38" s="368"/>
      <c r="BV38" s="130">
        <f>IFERROR(VLOOKUP($O38,'Table 3 PV wS UTS_2024'!$B$10:$K$38,10,FALSE),0)</f>
        <v>0</v>
      </c>
      <c r="BW38" s="130">
        <f>IFERROR(VLOOKUP($O38,'Table 3 PV wS UTS_2030'!$B$10:$K$38,10,FALSE),0)</f>
        <v>0</v>
      </c>
      <c r="BX38" s="367"/>
      <c r="BY38" s="130">
        <f>IFERROR(VLOOKUP($O38,'Table 3 185 MW (NTN) 2026)'!$B$13:$L$40,11,FALSE),0)</f>
        <v>0</v>
      </c>
      <c r="CD38" t="e">
        <f>SUM(AL$13:AL38)*BH38/1000</f>
        <v>#N/A</v>
      </c>
      <c r="CE38" t="e">
        <f>SUM(AM$13:AM38)*BI38/1000</f>
        <v>#N/A</v>
      </c>
      <c r="CF38" t="e">
        <f>SUM(AN$13:AN38)*BJ38/1000</f>
        <v>#N/A</v>
      </c>
      <c r="CG38" t="e">
        <f>SUM(AO$13:AO38)*BK38/1000</f>
        <v>#N/A</v>
      </c>
      <c r="CH38" t="e">
        <f>SUM(AP$13:AP38)*BL38/1000</f>
        <v>#N/A</v>
      </c>
      <c r="CI38" t="e">
        <f>SUM(AQ$13:AQ38)*BM38/1000</f>
        <v>#N/A</v>
      </c>
      <c r="CJ38" t="e">
        <f>SUM(AR$13:AR38)*BN38/1000</f>
        <v>#N/A</v>
      </c>
      <c r="CK38" t="e">
        <f>SUM(AS$13:AS38)*BO38/1000</f>
        <v>#N/A</v>
      </c>
      <c r="CL38" t="e">
        <f>SUM(AT$13:AT38)*BP38/1000</f>
        <v>#N/A</v>
      </c>
      <c r="CM38" t="e">
        <f>SUM(AU$13:AU38)*BQ38/1000</f>
        <v>#N/A</v>
      </c>
      <c r="CN38" t="e">
        <f>SUM(AV$13:AV38)*BR38/1000</f>
        <v>#N/A</v>
      </c>
      <c r="CO38" t="e">
        <f>SUM(AW$13:AW38)*BS38/1000</f>
        <v>#N/A</v>
      </c>
      <c r="CP38" t="e">
        <f>SUM(AX$13:AX38)*BT38/1000</f>
        <v>#N/A</v>
      </c>
      <c r="CQ38" t="e">
        <f>SUM(AY$13:AY38)*BU38/1000</f>
        <v>#N/A</v>
      </c>
      <c r="CR38" t="e">
        <f>SUM(AZ$13:AZ38)*BV38/1000</f>
        <v>#N/A</v>
      </c>
      <c r="CS38" t="e">
        <f>SUM(BA$13:BA38)*BW38/1000</f>
        <v>#N/A</v>
      </c>
      <c r="CT38" t="e">
        <f>SUM(BB$13:BB38)*BX38/1000</f>
        <v>#N/A</v>
      </c>
      <c r="CU38" t="e">
        <f>SUM(BC$13:BC38)*BY38/1000</f>
        <v>#N/A</v>
      </c>
      <c r="CV38">
        <f>SUM(BD$13:BD38)*BZ38/1000</f>
        <v>0</v>
      </c>
      <c r="CW38">
        <f>SUM(BE$13:BE38)*CA38/1000</f>
        <v>0</v>
      </c>
      <c r="CX38">
        <f>SUM(BF$13:BF38)*CB38/1000</f>
        <v>0</v>
      </c>
      <c r="CY38" t="e">
        <f t="shared" si="69"/>
        <v>#N/A</v>
      </c>
      <c r="DA38">
        <f t="shared" si="70"/>
        <v>10</v>
      </c>
      <c r="DB38" s="89">
        <f>IFERROR(VLOOKUP($DA38,'Table 3 TransCost'!$B$10:$E$40,4,FALSE),0)</f>
        <v>0</v>
      </c>
      <c r="DC38" s="174">
        <f t="shared" si="71"/>
        <v>0</v>
      </c>
    </row>
    <row r="39" spans="1:107">
      <c r="B39" s="167"/>
      <c r="C39" s="9"/>
      <c r="D39" s="45"/>
      <c r="E39" s="9"/>
      <c r="F39" s="37"/>
      <c r="G39" s="9"/>
      <c r="H39" s="36"/>
      <c r="I39" s="49"/>
      <c r="M39" s="112"/>
      <c r="BL39" t="s">
        <v>224</v>
      </c>
      <c r="BO39" t="s">
        <v>224</v>
      </c>
      <c r="BU39" t="s">
        <v>224</v>
      </c>
      <c r="BX39" t="s">
        <v>224</v>
      </c>
      <c r="DB39" s="89"/>
      <c r="DC39" s="174"/>
    </row>
    <row r="40" spans="1:107" ht="12" customHeight="1">
      <c r="B40" s="167"/>
      <c r="C40" s="9"/>
      <c r="D40" s="45"/>
      <c r="E40" s="9"/>
      <c r="F40" s="37"/>
      <c r="G40" s="9"/>
      <c r="H40" s="36"/>
      <c r="I40" s="49"/>
      <c r="M40" s="112"/>
      <c r="N40" t="s">
        <v>92</v>
      </c>
      <c r="P40">
        <v>2030</v>
      </c>
      <c r="R40">
        <v>2024</v>
      </c>
      <c r="S40">
        <v>2029</v>
      </c>
      <c r="T40">
        <v>2037</v>
      </c>
      <c r="U40">
        <v>2032</v>
      </c>
      <c r="V40">
        <v>2024</v>
      </c>
      <c r="W40">
        <v>2036</v>
      </c>
      <c r="X40">
        <v>2024</v>
      </c>
      <c r="Y40">
        <v>2033</v>
      </c>
      <c r="Z40">
        <v>2024</v>
      </c>
      <c r="AA40">
        <v>2024</v>
      </c>
      <c r="AB40">
        <v>2029</v>
      </c>
      <c r="AC40">
        <v>2038</v>
      </c>
      <c r="AD40">
        <v>2024</v>
      </c>
      <c r="AE40">
        <v>2030</v>
      </c>
      <c r="AF40">
        <v>2037</v>
      </c>
      <c r="AG40">
        <v>2026</v>
      </c>
    </row>
    <row r="41" spans="1:107">
      <c r="A41" s="402"/>
      <c r="B41" s="402"/>
      <c r="D41" s="9"/>
      <c r="F41" s="37"/>
      <c r="H41" s="36"/>
      <c r="I41"/>
      <c r="N41" t="s">
        <v>225</v>
      </c>
      <c r="P41" s="210">
        <v>0</v>
      </c>
      <c r="Q41" s="210"/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1</v>
      </c>
      <c r="AH41" s="210"/>
      <c r="AI41" s="210"/>
      <c r="AJ41" s="210"/>
    </row>
    <row r="42" spans="1:107">
      <c r="A42" s="192"/>
      <c r="B42" s="55"/>
      <c r="E42" s="5"/>
      <c r="I42" s="49" t="s">
        <v>159</v>
      </c>
      <c r="P42" s="169"/>
      <c r="Q42" s="169"/>
      <c r="R42" s="169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</row>
    <row r="43" spans="1:107">
      <c r="B43" s="47"/>
      <c r="C43" s="9"/>
      <c r="D43" s="9"/>
      <c r="H43" s="36"/>
      <c r="I43" s="109">
        <v>6.9199999999999998E-2</v>
      </c>
    </row>
    <row r="44" spans="1:107">
      <c r="B44" s="48"/>
      <c r="E44" s="9"/>
      <c r="G44" s="194"/>
      <c r="H44" s="36"/>
    </row>
    <row r="45" spans="1:107">
      <c r="A45" s="403"/>
      <c r="B45" s="403"/>
      <c r="E45" s="9"/>
      <c r="G45" s="194"/>
      <c r="H45" s="36"/>
      <c r="P45" t="s">
        <v>111</v>
      </c>
    </row>
    <row r="46" spans="1:107" ht="13.7" customHeight="1">
      <c r="A46" s="55"/>
      <c r="B46" s="55"/>
      <c r="E46" s="5"/>
      <c r="H46" s="36"/>
      <c r="P46" t="s">
        <v>110</v>
      </c>
      <c r="R46" s="281">
        <v>2.2799999999999997E-2</v>
      </c>
    </row>
    <row r="47" spans="1:107" ht="21" customHeight="1">
      <c r="A47" s="403" t="str">
        <f>'Table 5'!A9</f>
        <v>15 Year</v>
      </c>
      <c r="B47" s="403"/>
      <c r="E47" s="9"/>
      <c r="G47" s="108"/>
      <c r="H47" s="36"/>
    </row>
    <row r="48" spans="1:107">
      <c r="B48" s="55" t="str">
        <f>" Levelized Prices (Nominal) @ "&amp;TEXT($I$43,"0.00%")&amp;" Discount Rate (1) (3) "</f>
        <v xml:space="preserve"> Levelized Prices (Nominal) @ 6.92% Discount Rate (1) (3) </v>
      </c>
      <c r="E48" s="5"/>
      <c r="H48" s="36"/>
      <c r="I48"/>
      <c r="M48" s="112"/>
    </row>
    <row r="49" spans="1:19">
      <c r="B49" s="47" t="s">
        <v>8</v>
      </c>
      <c r="C49" s="9">
        <f ca="1">'Table 5'!$D$9*(Study_CF*8.76)/'Table 5'!$F$9</f>
        <v>0</v>
      </c>
      <c r="D49" s="9"/>
      <c r="H49" s="36"/>
      <c r="I49"/>
    </row>
    <row r="50" spans="1:19">
      <c r="B50" s="48" t="s">
        <v>31</v>
      </c>
      <c r="E50" s="9">
        <f ca="1">'Table 5'!$C$9/'Table 5'!$F$9</f>
        <v>25.022770040502326</v>
      </c>
      <c r="G50" s="194">
        <f ca="1">'Table 5'!$G$9</f>
        <v>25.022770040502326</v>
      </c>
      <c r="H50" s="36"/>
      <c r="I50" s="216"/>
      <c r="S50" s="174"/>
    </row>
    <row r="51" spans="1:19" ht="8.25" customHeight="1">
      <c r="A51" s="403"/>
      <c r="B51" s="403"/>
      <c r="E51" s="9"/>
      <c r="G51" s="108"/>
      <c r="H51" s="36"/>
    </row>
    <row r="52" spans="1:19">
      <c r="A52" s="403"/>
      <c r="B52" s="403"/>
      <c r="E52" s="9"/>
      <c r="G52" s="108"/>
      <c r="H52" s="36"/>
      <c r="I52"/>
      <c r="M52" s="112"/>
    </row>
    <row r="53" spans="1:19">
      <c r="B53" s="55"/>
      <c r="E53" s="5"/>
      <c r="H53" s="36"/>
      <c r="I53"/>
    </row>
    <row r="54" spans="1:19">
      <c r="B54" s="47"/>
      <c r="C54" s="9"/>
      <c r="D54" s="9"/>
      <c r="H54" s="36"/>
      <c r="I54"/>
      <c r="S54" s="174"/>
    </row>
    <row r="55" spans="1:19">
      <c r="B55" s="48"/>
      <c r="E55" s="9"/>
      <c r="G55" s="194"/>
      <c r="H55" s="36"/>
    </row>
    <row r="56" spans="1:19">
      <c r="B56" s="47"/>
      <c r="C56" s="9"/>
      <c r="D56" s="9"/>
      <c r="H56" s="36"/>
    </row>
    <row r="57" spans="1:19">
      <c r="B57" s="48"/>
      <c r="E57" s="9"/>
      <c r="G57" s="108"/>
      <c r="H57" s="36"/>
    </row>
    <row r="58" spans="1:19">
      <c r="B58" s="47"/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03"/>
      <c r="B61" s="403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4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B72" s="94"/>
    </row>
    <row r="73" spans="1:13">
      <c r="B73" s="10"/>
      <c r="C73" s="7"/>
      <c r="D73" s="7"/>
      <c r="E73" s="7"/>
      <c r="G73" s="7"/>
    </row>
    <row r="74" spans="1:13">
      <c r="A74"/>
      <c r="I74"/>
    </row>
    <row r="75" spans="1:13" s="53" customFormat="1">
      <c r="A75" s="54"/>
      <c r="B75" s="10"/>
      <c r="C75" s="54"/>
      <c r="D75" s="54"/>
      <c r="E75" s="54"/>
      <c r="F75" s="54"/>
      <c r="G75" s="54"/>
      <c r="I75"/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/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6">
    <mergeCell ref="A41:B41"/>
    <mergeCell ref="A51:B51"/>
    <mergeCell ref="A61:B61"/>
    <mergeCell ref="A47:B47"/>
    <mergeCell ref="A45:B45"/>
    <mergeCell ref="A52:B52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80" zoomScaleNormal="8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0" ht="15.75">
      <c r="B2" s="115" t="s">
        <v>105</v>
      </c>
      <c r="C2" s="116"/>
      <c r="D2" s="116"/>
      <c r="E2" s="116"/>
      <c r="F2" s="116"/>
      <c r="G2" s="116"/>
      <c r="H2" s="116"/>
      <c r="I2" s="116"/>
      <c r="J2" s="116"/>
    </row>
    <row r="3" spans="2:30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2:30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2:30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13</v>
      </c>
      <c r="I5" s="121" t="s">
        <v>72</v>
      </c>
      <c r="J5" s="17" t="s">
        <v>52</v>
      </c>
      <c r="K5" s="121" t="s">
        <v>223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  <c r="AB5" s="119"/>
      <c r="AC5" s="119"/>
      <c r="AD5" s="119"/>
    </row>
    <row r="6" spans="2:30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2:30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2:30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2:30">
      <c r="B10" s="126"/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2:30">
      <c r="B11" s="126"/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2:30">
      <c r="B12" s="135"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  <c r="AB12" s="119"/>
      <c r="AC12" s="119"/>
      <c r="AD12" s="119"/>
    </row>
    <row r="13" spans="2:30">
      <c r="B13" s="135">
        <f t="shared" ref="B13:B37" si="0">B12+1</f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  <c r="AB13" s="119"/>
      <c r="AC13" s="119"/>
      <c r="AD13" s="119"/>
    </row>
    <row r="14" spans="2:30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  <c r="AB14" s="119"/>
      <c r="AC14" s="119"/>
      <c r="AD14" s="119"/>
    </row>
    <row r="15" spans="2:30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  <c r="AB15" s="119"/>
      <c r="AC15" s="119"/>
      <c r="AD15" s="119"/>
    </row>
    <row r="16" spans="2:30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  <c r="AB16" s="119"/>
      <c r="AC16" s="119"/>
      <c r="AD16" s="119"/>
    </row>
    <row r="17" spans="2:30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  <c r="AB17" s="119"/>
      <c r="AC17" s="119"/>
      <c r="AD17" s="119"/>
    </row>
    <row r="18" spans="2:30">
      <c r="B18" s="135">
        <f t="shared" si="0"/>
        <v>2024</v>
      </c>
      <c r="C18" s="136"/>
      <c r="D18" s="128"/>
      <c r="E18" s="128">
        <f t="shared" si="1"/>
        <v>27.85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27.85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6"/>
      <c r="AB18" s="386"/>
      <c r="AC18" s="119"/>
      <c r="AD18" s="119"/>
    </row>
    <row r="19" spans="2:30">
      <c r="B19" s="135">
        <f t="shared" si="0"/>
        <v>2025</v>
      </c>
      <c r="C19" s="136"/>
      <c r="D19" s="128"/>
      <c r="E19" s="128">
        <f t="shared" si="1"/>
        <v>28.49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28.49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  <c r="AB19" s="119"/>
      <c r="AC19" s="119"/>
      <c r="AD19" s="119"/>
    </row>
    <row r="20" spans="2:30">
      <c r="B20" s="135">
        <f t="shared" si="0"/>
        <v>2026</v>
      </c>
      <c r="C20" s="136"/>
      <c r="D20" s="128"/>
      <c r="E20" s="128">
        <f t="shared" si="1"/>
        <v>29.15</v>
      </c>
      <c r="F20" s="128"/>
      <c r="G20" s="130"/>
      <c r="H20" s="128">
        <f t="shared" si="2"/>
        <v>0</v>
      </c>
      <c r="I20" s="130"/>
      <c r="J20" s="130"/>
      <c r="K20" s="128">
        <f t="shared" si="3"/>
        <v>29.15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  <c r="AB20" s="119"/>
      <c r="AC20" s="119"/>
      <c r="AD20" s="119"/>
    </row>
    <row r="21" spans="2:30">
      <c r="B21" s="135">
        <f t="shared" si="0"/>
        <v>2027</v>
      </c>
      <c r="C21" s="136"/>
      <c r="D21" s="128"/>
      <c r="E21" s="128">
        <f t="shared" si="1"/>
        <v>29.82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29.82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  <c r="AB21" s="119"/>
      <c r="AC21" s="119"/>
      <c r="AD21" s="119"/>
    </row>
    <row r="22" spans="2:30">
      <c r="B22" s="135">
        <f t="shared" si="0"/>
        <v>2028</v>
      </c>
      <c r="C22" s="136"/>
      <c r="D22" s="128"/>
      <c r="E22" s="128">
        <f t="shared" si="1"/>
        <v>30.51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30.51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  <c r="AB22" s="119"/>
      <c r="AC22" s="119"/>
      <c r="AD22" s="119"/>
    </row>
    <row r="23" spans="2:30">
      <c r="B23" s="135">
        <f t="shared" si="0"/>
        <v>2029</v>
      </c>
      <c r="C23" s="136"/>
      <c r="D23" s="128"/>
      <c r="E23" s="128">
        <f t="shared" si="1"/>
        <v>31.24</v>
      </c>
      <c r="F23" s="128"/>
      <c r="G23" s="130"/>
      <c r="H23" s="128">
        <f t="shared" si="2"/>
        <v>0</v>
      </c>
      <c r="I23" s="130"/>
      <c r="J23" s="130"/>
      <c r="K23" s="128">
        <f t="shared" si="3"/>
        <v>31.24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  <c r="AB23" s="119"/>
      <c r="AC23" s="119"/>
      <c r="AD23" s="119"/>
    </row>
    <row r="24" spans="2:30">
      <c r="B24" s="135">
        <f t="shared" si="0"/>
        <v>2030</v>
      </c>
      <c r="C24" s="347">
        <v>1208.8</v>
      </c>
      <c r="D24" s="128">
        <f>C24*$C$62</f>
        <v>81.594000000000008</v>
      </c>
      <c r="E24" s="128">
        <f t="shared" si="1"/>
        <v>31.96</v>
      </c>
      <c r="F24" s="128">
        <f>C60</f>
        <v>21.577297145999619</v>
      </c>
      <c r="G24" s="130">
        <f>(D24+E24+F24)/(8.76*$C$63)</f>
        <v>47.464452808570286</v>
      </c>
      <c r="H24" s="128">
        <f t="shared" si="2"/>
        <v>0</v>
      </c>
      <c r="I24" s="130">
        <f>(G24+H24)</f>
        <v>47.464452808570286</v>
      </c>
      <c r="J24" s="130">
        <f t="shared" ref="J24:J32" si="4">ROUND(I24*$C$63*8.76,2)</f>
        <v>135.13</v>
      </c>
      <c r="K24" s="128">
        <f t="shared" si="3"/>
        <v>135.13129714599961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  <c r="AB24" s="119"/>
      <c r="AC24" s="119"/>
      <c r="AD24" s="119"/>
    </row>
    <row r="25" spans="2:30">
      <c r="B25" s="135">
        <f t="shared" si="0"/>
        <v>2031</v>
      </c>
      <c r="C25" s="136"/>
      <c r="D25" s="128">
        <f t="shared" ref="D25:F37" si="5">ROUND(D24*(1+(IFERROR(INDEX($D$66:$D$74,MATCH($B25,$C$66:$C$74,0),1),0)+IFERROR(INDEX($G$66:$G$74,MATCH($B25,$F$66:$F$74,0),1),0)+IFERROR(INDEX($J$66:$J$74,MATCH($B25,$I$66:$I$74,0),1),0))),2)</f>
        <v>83.47</v>
      </c>
      <c r="E25" s="128">
        <f t="shared" si="1"/>
        <v>32.700000000000003</v>
      </c>
      <c r="F25" s="128">
        <f t="shared" si="5"/>
        <v>22.07</v>
      </c>
      <c r="G25" s="130">
        <f t="shared" ref="G25:G37" si="6">(D25+E25+F25)/(8.76*$C$63)</f>
        <v>48.556375131717601</v>
      </c>
      <c r="H25" s="128">
        <f t="shared" si="2"/>
        <v>0</v>
      </c>
      <c r="I25" s="130">
        <f t="shared" ref="I25:I37" si="7">(G25+H25)</f>
        <v>48.556375131717601</v>
      </c>
      <c r="J25" s="130">
        <f t="shared" si="4"/>
        <v>138.24</v>
      </c>
      <c r="K25" s="128">
        <f t="shared" si="3"/>
        <v>138.24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  <c r="AB25" s="119"/>
      <c r="AC25" s="119"/>
      <c r="AD25" s="119"/>
    </row>
    <row r="26" spans="2:30">
      <c r="B26" s="135">
        <f t="shared" si="0"/>
        <v>2032</v>
      </c>
      <c r="C26" s="136"/>
      <c r="D26" s="128">
        <f t="shared" si="5"/>
        <v>85.39</v>
      </c>
      <c r="E26" s="128">
        <f t="shared" si="1"/>
        <v>33.450000000000003</v>
      </c>
      <c r="F26" s="128">
        <f t="shared" si="5"/>
        <v>22.58</v>
      </c>
      <c r="G26" s="130">
        <f t="shared" si="6"/>
        <v>49.673340358271872</v>
      </c>
      <c r="H26" s="128">
        <f t="shared" si="2"/>
        <v>0</v>
      </c>
      <c r="I26" s="130">
        <f t="shared" si="7"/>
        <v>49.673340358271872</v>
      </c>
      <c r="J26" s="130">
        <f t="shared" si="4"/>
        <v>141.41999999999999</v>
      </c>
      <c r="K26" s="128">
        <f t="shared" si="3"/>
        <v>141.42000000000002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  <c r="AB26" s="119"/>
      <c r="AC26" s="119"/>
      <c r="AD26" s="119"/>
    </row>
    <row r="27" spans="2:30">
      <c r="B27" s="135">
        <f t="shared" si="0"/>
        <v>2033</v>
      </c>
      <c r="C27" s="136"/>
      <c r="D27" s="128">
        <f t="shared" si="5"/>
        <v>87.35</v>
      </c>
      <c r="E27" s="128">
        <f t="shared" si="1"/>
        <v>34.22</v>
      </c>
      <c r="F27" s="128">
        <f t="shared" si="5"/>
        <v>23.1</v>
      </c>
      <c r="G27" s="130">
        <f t="shared" si="6"/>
        <v>50.814892869687384</v>
      </c>
      <c r="H27" s="128">
        <f t="shared" si="2"/>
        <v>0</v>
      </c>
      <c r="I27" s="130">
        <f t="shared" si="7"/>
        <v>50.814892869687384</v>
      </c>
      <c r="J27" s="130">
        <f t="shared" si="4"/>
        <v>144.66999999999999</v>
      </c>
      <c r="K27" s="128">
        <f t="shared" si="3"/>
        <v>144.66999999999999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  <c r="AB27" s="119"/>
      <c r="AC27" s="119"/>
      <c r="AD27" s="119"/>
    </row>
    <row r="28" spans="2:30">
      <c r="B28" s="135">
        <f t="shared" si="0"/>
        <v>2034</v>
      </c>
      <c r="C28" s="136"/>
      <c r="D28" s="128">
        <f t="shared" si="5"/>
        <v>89.36</v>
      </c>
      <c r="E28" s="128">
        <f t="shared" si="1"/>
        <v>35.01</v>
      </c>
      <c r="F28" s="128">
        <f t="shared" si="5"/>
        <v>23.63</v>
      </c>
      <c r="G28" s="130">
        <f t="shared" si="6"/>
        <v>51.984545135230064</v>
      </c>
      <c r="H28" s="128">
        <f t="shared" si="2"/>
        <v>0</v>
      </c>
      <c r="I28" s="130">
        <f t="shared" si="7"/>
        <v>51.984545135230064</v>
      </c>
      <c r="J28" s="130">
        <f t="shared" si="4"/>
        <v>148</v>
      </c>
      <c r="K28" s="128">
        <f t="shared" si="3"/>
        <v>148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  <c r="AB28" s="119"/>
      <c r="AC28" s="119"/>
      <c r="AD28" s="119"/>
    </row>
    <row r="29" spans="2:30">
      <c r="B29" s="135">
        <f t="shared" si="0"/>
        <v>2035</v>
      </c>
      <c r="C29" s="136"/>
      <c r="D29" s="128">
        <f t="shared" si="5"/>
        <v>91.42</v>
      </c>
      <c r="E29" s="128">
        <f t="shared" si="1"/>
        <v>35.82</v>
      </c>
      <c r="F29" s="128">
        <f t="shared" si="5"/>
        <v>24.17</v>
      </c>
      <c r="G29" s="130">
        <f t="shared" si="6"/>
        <v>53.182297154899906</v>
      </c>
      <c r="H29" s="128">
        <f t="shared" si="2"/>
        <v>0</v>
      </c>
      <c r="I29" s="130">
        <f t="shared" si="7"/>
        <v>53.182297154899906</v>
      </c>
      <c r="J29" s="130">
        <f t="shared" si="4"/>
        <v>151.41</v>
      </c>
      <c r="K29" s="128">
        <f t="shared" si="3"/>
        <v>151.41000000000003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  <c r="AB29" s="119"/>
      <c r="AC29" s="119"/>
      <c r="AD29" s="119"/>
    </row>
    <row r="30" spans="2:30">
      <c r="B30" s="135">
        <f t="shared" si="0"/>
        <v>2036</v>
      </c>
      <c r="C30" s="136"/>
      <c r="D30" s="128">
        <f t="shared" si="5"/>
        <v>93.52</v>
      </c>
      <c r="E30" s="128">
        <f t="shared" si="1"/>
        <v>36.64</v>
      </c>
      <c r="F30" s="128">
        <f t="shared" si="5"/>
        <v>24.73</v>
      </c>
      <c r="G30" s="130">
        <f t="shared" si="6"/>
        <v>54.404636459430975</v>
      </c>
      <c r="H30" s="128">
        <f t="shared" si="2"/>
        <v>0</v>
      </c>
      <c r="I30" s="130">
        <f t="shared" si="7"/>
        <v>54.404636459430975</v>
      </c>
      <c r="J30" s="130">
        <f t="shared" si="4"/>
        <v>154.88999999999999</v>
      </c>
      <c r="K30" s="128">
        <f t="shared" si="3"/>
        <v>154.88999999999999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  <c r="AB30" s="119"/>
      <c r="AC30" s="119"/>
      <c r="AD30" s="119"/>
    </row>
    <row r="31" spans="2:30">
      <c r="B31" s="135">
        <f t="shared" si="0"/>
        <v>2037</v>
      </c>
      <c r="C31" s="136"/>
      <c r="D31" s="128">
        <f t="shared" si="5"/>
        <v>95.67</v>
      </c>
      <c r="E31" s="128">
        <f t="shared" si="1"/>
        <v>37.479999999999997</v>
      </c>
      <c r="F31" s="128">
        <f t="shared" si="5"/>
        <v>25.3</v>
      </c>
      <c r="G31" s="130">
        <f t="shared" si="6"/>
        <v>55.655075518089227</v>
      </c>
      <c r="H31" s="128">
        <f t="shared" si="2"/>
        <v>0</v>
      </c>
      <c r="I31" s="130">
        <f t="shared" si="7"/>
        <v>55.655075518089227</v>
      </c>
      <c r="J31" s="130">
        <f t="shared" si="4"/>
        <v>158.44999999999999</v>
      </c>
      <c r="K31" s="128">
        <f t="shared" si="3"/>
        <v>158.45000000000002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  <c r="AB31" s="119"/>
      <c r="AC31" s="119"/>
      <c r="AD31" s="119"/>
    </row>
    <row r="32" spans="2:30">
      <c r="B32" s="135">
        <f t="shared" si="0"/>
        <v>2038</v>
      </c>
      <c r="C32" s="136"/>
      <c r="D32" s="128">
        <f t="shared" si="5"/>
        <v>97.87</v>
      </c>
      <c r="E32" s="128">
        <f t="shared" si="1"/>
        <v>38.340000000000003</v>
      </c>
      <c r="F32" s="128">
        <f t="shared" si="5"/>
        <v>25.88</v>
      </c>
      <c r="G32" s="130">
        <f t="shared" si="6"/>
        <v>56.933614330874605</v>
      </c>
      <c r="H32" s="128">
        <f t="shared" si="2"/>
        <v>0</v>
      </c>
      <c r="I32" s="130">
        <f t="shared" si="7"/>
        <v>56.933614330874605</v>
      </c>
      <c r="J32" s="130">
        <f t="shared" si="4"/>
        <v>162.09</v>
      </c>
      <c r="K32" s="128">
        <f t="shared" si="3"/>
        <v>162.09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  <c r="AB32" s="119"/>
      <c r="AC32" s="119"/>
      <c r="AD32" s="119"/>
    </row>
    <row r="33" spans="2:30">
      <c r="B33" s="135">
        <f t="shared" si="0"/>
        <v>2039</v>
      </c>
      <c r="C33" s="136"/>
      <c r="D33" s="128">
        <f t="shared" si="5"/>
        <v>100.12</v>
      </c>
      <c r="E33" s="128">
        <f t="shared" si="1"/>
        <v>39.22</v>
      </c>
      <c r="F33" s="128">
        <f t="shared" si="5"/>
        <v>26.48</v>
      </c>
      <c r="G33" s="130">
        <f t="shared" si="6"/>
        <v>58.243765367053037</v>
      </c>
      <c r="H33" s="128">
        <f t="shared" si="2"/>
        <v>0</v>
      </c>
      <c r="I33" s="130">
        <f t="shared" si="7"/>
        <v>58.243765367053037</v>
      </c>
      <c r="J33" s="130">
        <f t="shared" ref="J33:J37" si="8">ROUND(I33*$C$63*8.76,2)</f>
        <v>165.82</v>
      </c>
      <c r="K33" s="128">
        <f t="shared" si="3"/>
        <v>165.82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2:30">
      <c r="B34" s="135">
        <f t="shared" si="0"/>
        <v>2040</v>
      </c>
      <c r="C34" s="136"/>
      <c r="D34" s="128">
        <f t="shared" si="5"/>
        <v>102.42</v>
      </c>
      <c r="E34" s="128">
        <f t="shared" si="1"/>
        <v>40.119999999999997</v>
      </c>
      <c r="F34" s="128">
        <f t="shared" si="5"/>
        <v>27.09</v>
      </c>
      <c r="G34" s="130">
        <f t="shared" si="6"/>
        <v>59.582016157358623</v>
      </c>
      <c r="H34" s="128">
        <f t="shared" si="2"/>
        <v>0</v>
      </c>
      <c r="I34" s="130">
        <f t="shared" si="7"/>
        <v>59.582016157358623</v>
      </c>
      <c r="J34" s="130">
        <f t="shared" si="8"/>
        <v>169.63</v>
      </c>
      <c r="K34" s="128">
        <f t="shared" si="3"/>
        <v>169.63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2:30">
      <c r="B35" s="135">
        <f t="shared" si="0"/>
        <v>2041</v>
      </c>
      <c r="C35" s="136"/>
      <c r="D35" s="128">
        <f t="shared" si="5"/>
        <v>104.67</v>
      </c>
      <c r="E35" s="128">
        <f t="shared" si="1"/>
        <v>41</v>
      </c>
      <c r="F35" s="128">
        <f t="shared" si="5"/>
        <v>27.69</v>
      </c>
      <c r="G35" s="130">
        <f t="shared" si="6"/>
        <v>60.892167193537063</v>
      </c>
      <c r="H35" s="128">
        <f t="shared" si="2"/>
        <v>0</v>
      </c>
      <c r="I35" s="130">
        <f t="shared" si="7"/>
        <v>60.892167193537063</v>
      </c>
      <c r="J35" s="130">
        <f t="shared" si="8"/>
        <v>173.36</v>
      </c>
      <c r="K35" s="128">
        <f t="shared" si="3"/>
        <v>173.36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2:30">
      <c r="B36" s="135">
        <f t="shared" si="0"/>
        <v>2042</v>
      </c>
      <c r="C36" s="136"/>
      <c r="D36" s="128">
        <f t="shared" si="5"/>
        <v>106.97</v>
      </c>
      <c r="E36" s="128">
        <f t="shared" si="1"/>
        <v>41.9</v>
      </c>
      <c r="F36" s="128">
        <f t="shared" si="5"/>
        <v>28.3</v>
      </c>
      <c r="G36" s="130">
        <f t="shared" si="6"/>
        <v>62.230417983842649</v>
      </c>
      <c r="H36" s="128">
        <f t="shared" si="2"/>
        <v>0</v>
      </c>
      <c r="I36" s="130">
        <f t="shared" si="7"/>
        <v>62.230417983842649</v>
      </c>
      <c r="J36" s="130">
        <f t="shared" si="8"/>
        <v>177.17</v>
      </c>
      <c r="K36" s="128">
        <f t="shared" si="3"/>
        <v>177.17000000000002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2:30">
      <c r="B37" s="135">
        <f t="shared" si="0"/>
        <v>2043</v>
      </c>
      <c r="C37" s="131"/>
      <c r="D37" s="128">
        <f t="shared" si="5"/>
        <v>109.43</v>
      </c>
      <c r="E37" s="128">
        <f t="shared" si="1"/>
        <v>42.86</v>
      </c>
      <c r="F37" s="128">
        <f t="shared" si="5"/>
        <v>28.95</v>
      </c>
      <c r="G37" s="130">
        <f t="shared" si="6"/>
        <v>63.659992975061471</v>
      </c>
      <c r="H37" s="128">
        <f t="shared" si="2"/>
        <v>0</v>
      </c>
      <c r="I37" s="130">
        <f t="shared" si="7"/>
        <v>63.659992975061471</v>
      </c>
      <c r="J37" s="130">
        <f t="shared" si="8"/>
        <v>181.24</v>
      </c>
      <c r="K37" s="128">
        <f t="shared" si="3"/>
        <v>181.24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</row>
    <row r="38" spans="2:30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2:30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</row>
    <row r="40" spans="2:30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2:30"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2:30"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>
      <c r="B44" s="117" t="s">
        <v>62</v>
      </c>
      <c r="C44" s="140" t="s">
        <v>63</v>
      </c>
      <c r="D44" s="141" t="s">
        <v>101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0">
      <c r="C45" s="140" t="str">
        <f>C7</f>
        <v>(a)</v>
      </c>
      <c r="D45" s="117" t="s">
        <v>64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2:30">
      <c r="C46" s="140" t="str">
        <f>D7</f>
        <v>(b)</v>
      </c>
      <c r="D46" s="130" t="str">
        <f>"= "&amp;C7&amp;" x "&amp;C62</f>
        <v>= (a) x 0.0675</v>
      </c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</row>
    <row r="47" spans="2:30">
      <c r="C47" s="140" t="str">
        <f>G7</f>
        <v>(e)</v>
      </c>
      <c r="D47" s="130" t="str">
        <f>"= ("&amp;$D$7&amp;" + "&amp;$E$7&amp;") /  (8.76 x "&amp;TEXT(C63,"0.0%")&amp;")"</f>
        <v>= ((b) + (c)) /  (8.76 x 32.5%)</v>
      </c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</row>
    <row r="48" spans="2:30">
      <c r="C48" s="140" t="str">
        <f>I7</f>
        <v>(g)</v>
      </c>
      <c r="D48" s="130" t="str">
        <f>"= "&amp;$G$7&amp;" + "&amp;$H$7</f>
        <v>= (e) + (f)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65</v>
      </c>
      <c r="D53" s="146" t="s">
        <v>66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102</v>
      </c>
      <c r="Q54" s="274">
        <v>2030</v>
      </c>
    </row>
    <row r="55" spans="2:25">
      <c r="B55" s="85" t="s">
        <v>100</v>
      </c>
      <c r="C55" s="170">
        <v>1611.5125096665929</v>
      </c>
      <c r="D55" s="117" t="s">
        <v>64</v>
      </c>
      <c r="O55" s="278">
        <v>500</v>
      </c>
      <c r="P55" s="117" t="s">
        <v>32</v>
      </c>
      <c r="Q55" s="274" t="s">
        <v>173</v>
      </c>
      <c r="R55" s="274" t="s">
        <v>174</v>
      </c>
      <c r="T55" s="274" t="str">
        <f>$Q$55&amp;"Proposed Station Capital Costs"</f>
        <v>L_.US4_PVSProposed Station Capital Costs</v>
      </c>
    </row>
    <row r="56" spans="2:25">
      <c r="B56" s="85" t="s">
        <v>100</v>
      </c>
      <c r="C56" s="268">
        <v>24.570618817436728</v>
      </c>
      <c r="D56" s="117" t="s">
        <v>67</v>
      </c>
      <c r="R56" s="119"/>
      <c r="T56" s="274" t="str">
        <f>$Q$55&amp;"Proposed Station Fixed Costs"</f>
        <v>L_.US4_PVSProposed Station Fixed Costs</v>
      </c>
    </row>
    <row r="57" spans="2:25" ht="24" customHeight="1">
      <c r="B57" s="85"/>
      <c r="C57" s="270"/>
      <c r="D57" s="117" t="s">
        <v>104</v>
      </c>
      <c r="Q57" s="213" t="str">
        <f>Q55&amp;Q54</f>
        <v>L_.US4_PVS2030</v>
      </c>
      <c r="T57" s="274" t="str">
        <f>$Q$55&amp;"Proposed Station Variable O&amp;M Costs"</f>
        <v>L_.US4_PVSProposed Station Variable O&amp;M Costs</v>
      </c>
    </row>
    <row r="58" spans="2:25">
      <c r="B58" s="85" t="s">
        <v>100</v>
      </c>
      <c r="C58" s="268">
        <v>0</v>
      </c>
      <c r="D58" s="117" t="s">
        <v>68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69</v>
      </c>
      <c r="I59" s="196" t="s">
        <v>90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21.577297145999619</v>
      </c>
      <c r="D60" s="117" t="s">
        <v>217</v>
      </c>
      <c r="F60" s="274" t="s">
        <v>221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6.7500000000000004E-2</v>
      </c>
      <c r="D62" s="117" t="s">
        <v>36</v>
      </c>
      <c r="E62" s="117" t="s">
        <v>108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S31" sqref="S31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0.6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146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13</v>
      </c>
      <c r="I5" s="121" t="s">
        <v>72</v>
      </c>
      <c r="J5" s="17" t="s">
        <v>52</v>
      </c>
      <c r="K5" s="121" t="s">
        <v>223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347">
        <v>1227.9632768361582</v>
      </c>
      <c r="D18" s="128">
        <f>C18*$C$62</f>
        <v>62.441932627118646</v>
      </c>
      <c r="E18" s="128">
        <f t="shared" si="1"/>
        <v>27.85</v>
      </c>
      <c r="F18" s="128">
        <f>C60</f>
        <v>0</v>
      </c>
      <c r="G18" s="130">
        <f>(D18+E18+F18)/(8.76*$C$63)</f>
        <v>34.243515764468007</v>
      </c>
      <c r="H18" s="128">
        <f t="shared" si="2"/>
        <v>0</v>
      </c>
      <c r="I18" s="130">
        <f>(G18+H18)</f>
        <v>34.243515764468007</v>
      </c>
      <c r="J18" s="130">
        <f t="shared" ref="J18:J32" si="4">ROUND(I18*$C$63*8.76,2)</f>
        <v>90.29</v>
      </c>
      <c r="K18" s="128">
        <f t="shared" si="3"/>
        <v>90.291932627118655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63.88</v>
      </c>
      <c r="E19" s="128">
        <f t="shared" si="1"/>
        <v>28.49</v>
      </c>
      <c r="F19" s="128">
        <f t="shared" si="5"/>
        <v>0</v>
      </c>
      <c r="G19" s="130">
        <f t="shared" ref="G19:G37" si="6">(D19+E19+F19)/(8.76*$C$63)</f>
        <v>35.031629727392712</v>
      </c>
      <c r="H19" s="128">
        <f t="shared" si="2"/>
        <v>0</v>
      </c>
      <c r="I19" s="130">
        <f t="shared" ref="I19:I37" si="7">(G19+H19)</f>
        <v>35.031629727392712</v>
      </c>
      <c r="J19" s="130">
        <f t="shared" si="4"/>
        <v>92.37</v>
      </c>
      <c r="K19" s="128">
        <f t="shared" si="3"/>
        <v>92.37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65.349999999999994</v>
      </c>
      <c r="E20" s="128">
        <f t="shared" si="1"/>
        <v>29.15</v>
      </c>
      <c r="F20" s="128">
        <f t="shared" si="5"/>
        <v>0</v>
      </c>
      <c r="G20" s="130">
        <f t="shared" si="6"/>
        <v>35.839439311882771</v>
      </c>
      <c r="H20" s="128">
        <f t="shared" si="2"/>
        <v>0</v>
      </c>
      <c r="I20" s="130">
        <f t="shared" si="7"/>
        <v>35.839439311882771</v>
      </c>
      <c r="J20" s="130">
        <f t="shared" si="4"/>
        <v>94.5</v>
      </c>
      <c r="K20" s="128">
        <f t="shared" si="3"/>
        <v>94.5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66.849999999999994</v>
      </c>
      <c r="E21" s="128">
        <f t="shared" si="1"/>
        <v>29.82</v>
      </c>
      <c r="F21" s="128">
        <f t="shared" si="5"/>
        <v>0</v>
      </c>
      <c r="G21" s="130">
        <f t="shared" si="6"/>
        <v>36.662419029414885</v>
      </c>
      <c r="H21" s="128">
        <f t="shared" si="2"/>
        <v>0</v>
      </c>
      <c r="I21" s="130">
        <f t="shared" si="7"/>
        <v>36.662419029414885</v>
      </c>
      <c r="J21" s="130">
        <f t="shared" si="4"/>
        <v>96.67</v>
      </c>
      <c r="K21" s="128">
        <f t="shared" si="3"/>
        <v>96.669999999999987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68.39</v>
      </c>
      <c r="E22" s="128">
        <f t="shared" si="1"/>
        <v>30.51</v>
      </c>
      <c r="F22" s="128">
        <f t="shared" si="5"/>
        <v>0</v>
      </c>
      <c r="G22" s="130">
        <f t="shared" si="6"/>
        <v>37.508153946510113</v>
      </c>
      <c r="H22" s="128">
        <f t="shared" si="2"/>
        <v>0</v>
      </c>
      <c r="I22" s="130">
        <f t="shared" si="7"/>
        <v>37.508153946510113</v>
      </c>
      <c r="J22" s="130">
        <f t="shared" si="4"/>
        <v>98.9</v>
      </c>
      <c r="K22" s="128">
        <f t="shared" si="3"/>
        <v>98.9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70.03</v>
      </c>
      <c r="E23" s="128">
        <f t="shared" si="1"/>
        <v>31.24</v>
      </c>
      <c r="F23" s="128">
        <f t="shared" si="5"/>
        <v>0</v>
      </c>
      <c r="G23" s="130">
        <f t="shared" si="6"/>
        <v>38.406984329252566</v>
      </c>
      <c r="H23" s="128">
        <f t="shared" si="2"/>
        <v>0</v>
      </c>
      <c r="I23" s="130">
        <f t="shared" si="7"/>
        <v>38.406984329252566</v>
      </c>
      <c r="J23" s="130">
        <f t="shared" si="4"/>
        <v>101.27</v>
      </c>
      <c r="K23" s="128">
        <f t="shared" si="3"/>
        <v>101.27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71.64</v>
      </c>
      <c r="E24" s="128">
        <f t="shared" si="1"/>
        <v>31.96</v>
      </c>
      <c r="F24" s="128">
        <f t="shared" si="5"/>
        <v>0</v>
      </c>
      <c r="G24" s="130">
        <f t="shared" si="6"/>
        <v>39.290644578952957</v>
      </c>
      <c r="H24" s="128">
        <f t="shared" si="2"/>
        <v>0</v>
      </c>
      <c r="I24" s="130">
        <f t="shared" si="7"/>
        <v>39.290644578952957</v>
      </c>
      <c r="J24" s="130">
        <f t="shared" si="4"/>
        <v>103.6</v>
      </c>
      <c r="K24" s="128">
        <f t="shared" si="3"/>
        <v>103.6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73.290000000000006</v>
      </c>
      <c r="E25" s="128">
        <f t="shared" si="1"/>
        <v>32.700000000000003</v>
      </c>
      <c r="F25" s="128">
        <f t="shared" si="5"/>
        <v>0</v>
      </c>
      <c r="G25" s="130">
        <f t="shared" si="6"/>
        <v>40.197060028216455</v>
      </c>
      <c r="H25" s="128">
        <f t="shared" si="2"/>
        <v>0</v>
      </c>
      <c r="I25" s="130">
        <f t="shared" si="7"/>
        <v>40.197060028216455</v>
      </c>
      <c r="J25" s="130">
        <f t="shared" si="4"/>
        <v>105.99</v>
      </c>
      <c r="K25" s="128">
        <f t="shared" si="3"/>
        <v>105.99000000000001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74.98</v>
      </c>
      <c r="E26" s="128">
        <f t="shared" si="1"/>
        <v>33.450000000000003</v>
      </c>
      <c r="F26" s="128">
        <f t="shared" si="5"/>
        <v>0</v>
      </c>
      <c r="G26" s="130">
        <f t="shared" si="6"/>
        <v>41.122438143782524</v>
      </c>
      <c r="H26" s="128">
        <f t="shared" si="2"/>
        <v>0</v>
      </c>
      <c r="I26" s="130">
        <f t="shared" si="7"/>
        <v>41.122438143782524</v>
      </c>
      <c r="J26" s="130">
        <f t="shared" si="4"/>
        <v>108.43</v>
      </c>
      <c r="K26" s="128">
        <f t="shared" si="3"/>
        <v>108.43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76.7</v>
      </c>
      <c r="E27" s="128">
        <f t="shared" si="1"/>
        <v>34.22</v>
      </c>
      <c r="F27" s="128">
        <f t="shared" si="5"/>
        <v>0</v>
      </c>
      <c r="G27" s="130">
        <f t="shared" si="6"/>
        <v>42.066778925651185</v>
      </c>
      <c r="H27" s="128">
        <f t="shared" si="2"/>
        <v>0</v>
      </c>
      <c r="I27" s="130">
        <f t="shared" si="7"/>
        <v>42.066778925651185</v>
      </c>
      <c r="J27" s="130">
        <f t="shared" si="4"/>
        <v>110.92</v>
      </c>
      <c r="K27" s="128">
        <f t="shared" si="3"/>
        <v>110.92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78.459999999999994</v>
      </c>
      <c r="E28" s="128">
        <f t="shared" si="1"/>
        <v>35.01</v>
      </c>
      <c r="F28" s="128">
        <f t="shared" si="5"/>
        <v>0</v>
      </c>
      <c r="G28" s="130">
        <f t="shared" si="6"/>
        <v>43.033874907082939</v>
      </c>
      <c r="H28" s="128">
        <f t="shared" si="2"/>
        <v>0</v>
      </c>
      <c r="I28" s="130">
        <f t="shared" si="7"/>
        <v>43.033874907082939</v>
      </c>
      <c r="J28" s="130">
        <f t="shared" si="4"/>
        <v>113.47</v>
      </c>
      <c r="K28" s="128">
        <f t="shared" si="3"/>
        <v>113.47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80.260000000000005</v>
      </c>
      <c r="E29" s="128">
        <f t="shared" si="1"/>
        <v>35.82</v>
      </c>
      <c r="F29" s="128">
        <f t="shared" si="5"/>
        <v>0</v>
      </c>
      <c r="G29" s="130">
        <f t="shared" si="6"/>
        <v>44.023726088077801</v>
      </c>
      <c r="H29" s="128">
        <f t="shared" si="2"/>
        <v>0</v>
      </c>
      <c r="I29" s="130">
        <f t="shared" si="7"/>
        <v>44.023726088077801</v>
      </c>
      <c r="J29" s="130">
        <f t="shared" si="4"/>
        <v>116.08</v>
      </c>
      <c r="K29" s="128">
        <f t="shared" si="3"/>
        <v>116.08000000000001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82.11</v>
      </c>
      <c r="E30" s="128">
        <f t="shared" si="1"/>
        <v>36.64</v>
      </c>
      <c r="F30" s="128">
        <f t="shared" si="5"/>
        <v>0</v>
      </c>
      <c r="G30" s="130">
        <f t="shared" si="6"/>
        <v>45.036332468635756</v>
      </c>
      <c r="H30" s="128">
        <f t="shared" si="2"/>
        <v>0</v>
      </c>
      <c r="I30" s="130">
        <f t="shared" si="7"/>
        <v>45.036332468635756</v>
      </c>
      <c r="J30" s="130">
        <f t="shared" si="4"/>
        <v>118.75</v>
      </c>
      <c r="K30" s="128">
        <f t="shared" si="3"/>
        <v>118.75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84</v>
      </c>
      <c r="E31" s="128">
        <f t="shared" si="1"/>
        <v>37.479999999999997</v>
      </c>
      <c r="F31" s="128">
        <f t="shared" si="5"/>
        <v>0</v>
      </c>
      <c r="G31" s="130">
        <f t="shared" si="6"/>
        <v>46.071694048756811</v>
      </c>
      <c r="H31" s="128">
        <f t="shared" si="2"/>
        <v>0</v>
      </c>
      <c r="I31" s="130">
        <f t="shared" si="7"/>
        <v>46.071694048756811</v>
      </c>
      <c r="J31" s="130">
        <f t="shared" si="4"/>
        <v>121.48</v>
      </c>
      <c r="K31" s="128">
        <f t="shared" si="3"/>
        <v>121.47999999999999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85.93</v>
      </c>
      <c r="E32" s="128">
        <f t="shared" si="1"/>
        <v>38.340000000000003</v>
      </c>
      <c r="F32" s="128">
        <f t="shared" si="5"/>
        <v>0</v>
      </c>
      <c r="G32" s="130">
        <f t="shared" si="6"/>
        <v>47.129810828440974</v>
      </c>
      <c r="H32" s="128">
        <f t="shared" si="2"/>
        <v>0</v>
      </c>
      <c r="I32" s="130">
        <f t="shared" si="7"/>
        <v>47.129810828440974</v>
      </c>
      <c r="J32" s="130">
        <f t="shared" si="4"/>
        <v>124.27</v>
      </c>
      <c r="K32" s="128">
        <f t="shared" si="3"/>
        <v>124.27000000000001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87.91</v>
      </c>
      <c r="E33" s="128">
        <f t="shared" si="1"/>
        <v>39.22</v>
      </c>
      <c r="F33" s="128">
        <f t="shared" si="5"/>
        <v>0</v>
      </c>
      <c r="G33" s="130">
        <f t="shared" si="6"/>
        <v>48.214475340948745</v>
      </c>
      <c r="H33" s="128">
        <f t="shared" si="2"/>
        <v>0</v>
      </c>
      <c r="I33" s="130">
        <f t="shared" si="7"/>
        <v>48.214475340948745</v>
      </c>
      <c r="J33" s="130">
        <f t="shared" ref="J33:J37" si="8">ROUND(I33*$C$63*8.76,2)</f>
        <v>127.13</v>
      </c>
      <c r="K33" s="128">
        <f t="shared" si="3"/>
        <v>127.13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89.93</v>
      </c>
      <c r="E34" s="128">
        <f t="shared" si="1"/>
        <v>40.119999999999997</v>
      </c>
      <c r="F34" s="128">
        <f t="shared" si="5"/>
        <v>0</v>
      </c>
      <c r="G34" s="130">
        <f t="shared" si="6"/>
        <v>49.321895053019624</v>
      </c>
      <c r="H34" s="128">
        <f t="shared" si="2"/>
        <v>0</v>
      </c>
      <c r="I34" s="130">
        <f t="shared" si="7"/>
        <v>49.321895053019624</v>
      </c>
      <c r="J34" s="130">
        <f t="shared" si="8"/>
        <v>130.05000000000001</v>
      </c>
      <c r="K34" s="128">
        <f t="shared" si="3"/>
        <v>130.05000000000001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91.91</v>
      </c>
      <c r="E35" s="128">
        <f t="shared" si="1"/>
        <v>41</v>
      </c>
      <c r="F35" s="128">
        <f t="shared" si="5"/>
        <v>0</v>
      </c>
      <c r="G35" s="130">
        <f t="shared" si="6"/>
        <v>50.406559565527395</v>
      </c>
      <c r="H35" s="128">
        <f t="shared" si="2"/>
        <v>0</v>
      </c>
      <c r="I35" s="130">
        <f t="shared" si="7"/>
        <v>50.406559565527395</v>
      </c>
      <c r="J35" s="130">
        <f t="shared" si="8"/>
        <v>132.91</v>
      </c>
      <c r="K35" s="128">
        <f t="shared" si="3"/>
        <v>132.91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93.93</v>
      </c>
      <c r="E36" s="128">
        <f t="shared" si="1"/>
        <v>41.9</v>
      </c>
      <c r="F36" s="128">
        <f t="shared" si="5"/>
        <v>0</v>
      </c>
      <c r="G36" s="130">
        <f t="shared" si="6"/>
        <v>51.513979277598274</v>
      </c>
      <c r="H36" s="128">
        <f t="shared" si="2"/>
        <v>0</v>
      </c>
      <c r="I36" s="130">
        <f t="shared" si="7"/>
        <v>51.513979277598274</v>
      </c>
      <c r="J36" s="130">
        <f t="shared" si="8"/>
        <v>135.83000000000001</v>
      </c>
      <c r="K36" s="128">
        <f t="shared" si="3"/>
        <v>135.83000000000001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96.09</v>
      </c>
      <c r="E37" s="128">
        <f t="shared" si="1"/>
        <v>42.86</v>
      </c>
      <c r="F37" s="128">
        <f t="shared" si="5"/>
        <v>0</v>
      </c>
      <c r="G37" s="130">
        <f t="shared" si="6"/>
        <v>52.697249654879471</v>
      </c>
      <c r="H37" s="128">
        <f t="shared" si="2"/>
        <v>0</v>
      </c>
      <c r="I37" s="130">
        <f t="shared" si="7"/>
        <v>52.697249654879471</v>
      </c>
      <c r="J37" s="130">
        <f t="shared" si="8"/>
        <v>138.94999999999999</v>
      </c>
      <c r="K37" s="128">
        <f t="shared" si="3"/>
        <v>138.94999999999999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62</v>
      </c>
      <c r="C44" s="140" t="s">
        <v>63</v>
      </c>
      <c r="D44" s="141" t="s">
        <v>101</v>
      </c>
    </row>
    <row r="45" spans="2:32">
      <c r="C45" s="140" t="str">
        <f>C7</f>
        <v>(a)</v>
      </c>
      <c r="D45" s="117" t="s">
        <v>64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65</v>
      </c>
      <c r="D53" s="146" t="s">
        <v>66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102</v>
      </c>
      <c r="Q54" s="274">
        <v>2024</v>
      </c>
    </row>
    <row r="55" spans="2:25">
      <c r="B55" s="85" t="s">
        <v>100</v>
      </c>
      <c r="C55" s="170">
        <v>1608.8221683005897</v>
      </c>
      <c r="D55" s="117" t="s">
        <v>64</v>
      </c>
      <c r="O55" s="282">
        <v>354</v>
      </c>
      <c r="P55" s="117" t="s">
        <v>32</v>
      </c>
      <c r="Q55" s="274" t="s">
        <v>143</v>
      </c>
      <c r="R55" s="274" t="s">
        <v>107</v>
      </c>
      <c r="T55" s="274" t="str">
        <f>$Q$55&amp;"Proposed Station Capital Costs"</f>
        <v>L1.JBB_PVSProposed Station Capital Costs</v>
      </c>
    </row>
    <row r="56" spans="2:25">
      <c r="B56" s="85" t="s">
        <v>100</v>
      </c>
      <c r="C56" s="268">
        <v>24.570618817436728</v>
      </c>
      <c r="D56" s="117" t="s">
        <v>67</v>
      </c>
      <c r="R56" s="119"/>
      <c r="T56" s="274" t="str">
        <f>$Q$55&amp;"Proposed Station Fixed Costs"</f>
        <v>L1.JBB_PVSProposed Station Fixed Costs</v>
      </c>
    </row>
    <row r="57" spans="2:25" ht="24" customHeight="1">
      <c r="B57" s="85"/>
      <c r="C57" s="270"/>
      <c r="D57" s="117" t="s">
        <v>104</v>
      </c>
      <c r="Q57" s="346" t="str">
        <f>Q55&amp;Q54</f>
        <v>L1.JBB_PVS2024</v>
      </c>
      <c r="T57" s="274" t="str">
        <f>$Q$55&amp;"Proposed Station Variable O&amp;M Costs"</f>
        <v>L1.JBB_PVSProposed Station Variable O&amp;M Costs</v>
      </c>
    </row>
    <row r="58" spans="2:25">
      <c r="B58" s="85" t="s">
        <v>100</v>
      </c>
      <c r="C58" s="268">
        <v>0</v>
      </c>
      <c r="D58" s="117" t="s">
        <v>68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69</v>
      </c>
      <c r="I59" s="196" t="s">
        <v>90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</v>
      </c>
      <c r="D60" s="117" t="s">
        <v>217</v>
      </c>
      <c r="F60" s="274" t="s">
        <v>219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108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146</v>
      </c>
      <c r="C2" s="116"/>
      <c r="D2" s="116"/>
      <c r="E2" s="116"/>
      <c r="F2" s="116"/>
      <c r="G2" s="116"/>
      <c r="H2" s="116"/>
      <c r="I2" s="116"/>
      <c r="J2" s="116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13</v>
      </c>
      <c r="I5" s="121" t="s">
        <v>72</v>
      </c>
      <c r="J5" s="17" t="s">
        <v>52</v>
      </c>
      <c r="K5" s="121" t="s">
        <v>223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  <c r="Y5" s="381"/>
      <c r="Z5" s="381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119"/>
      <c r="R6" s="276"/>
      <c r="S6" s="119"/>
      <c r="T6" s="119"/>
      <c r="U6" s="119"/>
      <c r="V6" s="119"/>
      <c r="W6" s="119"/>
      <c r="X6" s="119"/>
      <c r="Y6" s="119"/>
      <c r="Z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2:32" ht="6" customHeight="1">
      <c r="K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Q12" s="119"/>
      <c r="R12" s="119"/>
      <c r="S12" s="119"/>
      <c r="T12" s="164"/>
      <c r="U12" s="160"/>
      <c r="V12" s="160"/>
      <c r="W12" s="119"/>
      <c r="X12" s="119"/>
      <c r="Y12" s="160"/>
      <c r="Z12" s="160"/>
      <c r="AF12" s="153"/>
    </row>
    <row r="13" spans="2:32">
      <c r="B13" s="135">
        <f t="shared" si="0"/>
        <v>2019</v>
      </c>
      <c r="C13" s="136"/>
      <c r="D13" s="128"/>
      <c r="E13" s="128">
        <f t="shared" ref="E13:E22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136"/>
      <c r="D18" s="128"/>
      <c r="E18" s="128">
        <f t="shared" si="1"/>
        <v>27.85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27.85</v>
      </c>
      <c r="L18" s="119"/>
      <c r="N18" s="117"/>
      <c r="O18" s="349"/>
      <c r="Q18" s="153"/>
      <c r="R18" s="119"/>
      <c r="T18" s="161"/>
      <c r="U18" s="153"/>
      <c r="V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/>
      <c r="E19" s="128">
        <f t="shared" si="1"/>
        <v>28.49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28.49</v>
      </c>
      <c r="L19" s="119"/>
      <c r="N19" s="117"/>
      <c r="R19" s="119"/>
      <c r="T19" s="161"/>
      <c r="U19" s="153"/>
      <c r="V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/>
      <c r="E20" s="128">
        <f t="shared" si="1"/>
        <v>29.15</v>
      </c>
      <c r="F20" s="128"/>
      <c r="G20" s="130"/>
      <c r="H20" s="128">
        <f t="shared" si="2"/>
        <v>0</v>
      </c>
      <c r="I20" s="130"/>
      <c r="J20" s="130"/>
      <c r="K20" s="128">
        <f t="shared" si="3"/>
        <v>29.15</v>
      </c>
      <c r="L20" s="119"/>
      <c r="N20" s="117"/>
      <c r="R20" s="160"/>
      <c r="T20" s="161"/>
      <c r="U20" s="153"/>
      <c r="V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/>
      <c r="E21" s="128">
        <f t="shared" si="1"/>
        <v>29.82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29.82</v>
      </c>
      <c r="L21" s="119"/>
      <c r="N21" s="117"/>
      <c r="R21" s="160"/>
      <c r="T21" s="161"/>
      <c r="U21" s="153"/>
      <c r="V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/>
      <c r="E22" s="128">
        <f t="shared" si="1"/>
        <v>30.51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30.51</v>
      </c>
      <c r="L22" s="119"/>
      <c r="N22" s="117"/>
      <c r="R22" s="160"/>
      <c r="T22" s="161"/>
      <c r="U22" s="153"/>
      <c r="V22" s="153"/>
      <c r="X22" s="153"/>
      <c r="Y22" s="153"/>
      <c r="Z22" s="153"/>
      <c r="AF22" s="153"/>
    </row>
    <row r="23" spans="2:32">
      <c r="B23" s="135">
        <f t="shared" si="0"/>
        <v>2029</v>
      </c>
      <c r="C23" s="347">
        <v>1210.0083472454089</v>
      </c>
      <c r="D23" s="128">
        <f>C23*$C$62</f>
        <v>61.528924457429042</v>
      </c>
      <c r="E23" s="128">
        <f t="shared" ref="E23:E37" si="4">ROUND(E22*(1+(IFERROR(INDEX($D$66:$D$74,MATCH($B23,$C$66:$C$74,0),1),0)+IFERROR(INDEX($G$66:$G$74,MATCH($B23,$F$66:$F$74,0),1),0)+IFERROR(INDEX($J$66:$J$74,MATCH($B23,$I$66:$I$74,0),1),0))),2)</f>
        <v>31.24</v>
      </c>
      <c r="F23" s="128">
        <f>C60</f>
        <v>0</v>
      </c>
      <c r="G23" s="130">
        <f>(D23+E23+F23)/(8.76*$C$63)</f>
        <v>35.182923154716029</v>
      </c>
      <c r="H23" s="128">
        <f t="shared" si="2"/>
        <v>0</v>
      </c>
      <c r="I23" s="130">
        <f>(G23+H23)</f>
        <v>35.182923154716029</v>
      </c>
      <c r="J23" s="130">
        <f t="shared" ref="J23" si="5">ROUND(I23*$C$63*8.76,2)</f>
        <v>92.77</v>
      </c>
      <c r="K23" s="128">
        <f t="shared" si="3"/>
        <v>92.768924457429037</v>
      </c>
      <c r="L23" s="119"/>
      <c r="N23" s="117"/>
      <c r="R23" s="160"/>
      <c r="T23" s="161"/>
      <c r="U23" s="153"/>
      <c r="V23" s="153"/>
      <c r="X23" s="153"/>
      <c r="Y23" s="153"/>
      <c r="Z23" s="153"/>
      <c r="AF23" s="153"/>
    </row>
    <row r="24" spans="2:32">
      <c r="B24" s="135">
        <f t="shared" si="0"/>
        <v>2030</v>
      </c>
      <c r="C24" s="347"/>
      <c r="D24" s="128">
        <f t="shared" ref="D24:F37" si="6">ROUND(D23*(1+(IFERROR(INDEX($D$66:$D$74,MATCH($B24,$C$66:$C$74,0),1),0)+IFERROR(INDEX($G$66:$G$74,MATCH($B24,$F$66:$F$74,0),1),0)+IFERROR(INDEX($J$66:$J$74,MATCH($B24,$I$66:$I$74,0),1),0))),2)</f>
        <v>62.94</v>
      </c>
      <c r="E24" s="128">
        <f t="shared" si="4"/>
        <v>31.96</v>
      </c>
      <c r="F24" s="128">
        <f t="shared" si="6"/>
        <v>0</v>
      </c>
      <c r="G24" s="130">
        <f t="shared" ref="G24:G37" si="7">(D24+E24+F24)/(8.76*$C$63)</f>
        <v>35.991140642303435</v>
      </c>
      <c r="H24" s="128">
        <f t="shared" si="2"/>
        <v>0</v>
      </c>
      <c r="I24" s="130">
        <f t="shared" ref="I24:I37" si="8">(G24+H24)</f>
        <v>35.991140642303435</v>
      </c>
      <c r="J24" s="130">
        <f t="shared" ref="J24:J32" si="9">ROUND(I24*$C$63*8.76,2)</f>
        <v>94.9</v>
      </c>
      <c r="K24" s="128">
        <f t="shared" si="3"/>
        <v>94.9</v>
      </c>
      <c r="L24" s="119"/>
      <c r="N24" s="117"/>
      <c r="R24" s="160"/>
      <c r="T24" s="161"/>
      <c r="U24" s="153"/>
      <c r="V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6"/>
        <v>64.39</v>
      </c>
      <c r="E25" s="128">
        <f t="shared" si="4"/>
        <v>32.700000000000003</v>
      </c>
      <c r="F25" s="128">
        <f t="shared" si="6"/>
        <v>0</v>
      </c>
      <c r="G25" s="130">
        <f t="shared" si="7"/>
        <v>36.821705426356594</v>
      </c>
      <c r="H25" s="128">
        <f t="shared" si="2"/>
        <v>0</v>
      </c>
      <c r="I25" s="130">
        <f t="shared" si="8"/>
        <v>36.821705426356594</v>
      </c>
      <c r="J25" s="130">
        <f t="shared" si="9"/>
        <v>97.09</v>
      </c>
      <c r="K25" s="128">
        <f t="shared" si="3"/>
        <v>97.09</v>
      </c>
      <c r="L25" s="119"/>
      <c r="N25" s="117"/>
      <c r="R25" s="160"/>
      <c r="T25" s="161"/>
      <c r="U25" s="153"/>
      <c r="V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6"/>
        <v>65.87</v>
      </c>
      <c r="E26" s="128">
        <f t="shared" si="4"/>
        <v>33.450000000000003</v>
      </c>
      <c r="F26" s="128">
        <f t="shared" si="6"/>
        <v>0</v>
      </c>
      <c r="G26" s="130">
        <f t="shared" si="7"/>
        <v>37.667440343451815</v>
      </c>
      <c r="H26" s="128">
        <f t="shared" si="2"/>
        <v>0</v>
      </c>
      <c r="I26" s="130">
        <f t="shared" si="8"/>
        <v>37.667440343451815</v>
      </c>
      <c r="J26" s="130">
        <f t="shared" si="9"/>
        <v>99.32</v>
      </c>
      <c r="K26" s="128">
        <f t="shared" si="3"/>
        <v>99.320000000000007</v>
      </c>
      <c r="L26" s="119"/>
      <c r="N26" s="117"/>
      <c r="R26" s="160"/>
      <c r="T26" s="161"/>
      <c r="U26" s="153"/>
      <c r="V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6"/>
        <v>67.39</v>
      </c>
      <c r="E27" s="128">
        <f t="shared" si="4"/>
        <v>34.22</v>
      </c>
      <c r="F27" s="128">
        <f t="shared" si="6"/>
        <v>0</v>
      </c>
      <c r="G27" s="130">
        <f t="shared" si="7"/>
        <v>38.535930460110137</v>
      </c>
      <c r="H27" s="128">
        <f t="shared" si="2"/>
        <v>0</v>
      </c>
      <c r="I27" s="130">
        <f t="shared" si="8"/>
        <v>38.535930460110137</v>
      </c>
      <c r="J27" s="130">
        <f t="shared" si="9"/>
        <v>101.61</v>
      </c>
      <c r="K27" s="128">
        <f t="shared" si="3"/>
        <v>101.61</v>
      </c>
      <c r="L27" s="119"/>
      <c r="N27" s="117"/>
      <c r="R27" s="160"/>
      <c r="T27" s="161"/>
      <c r="U27" s="153"/>
      <c r="V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6"/>
        <v>68.94</v>
      </c>
      <c r="E28" s="128">
        <f t="shared" si="4"/>
        <v>35.01</v>
      </c>
      <c r="F28" s="128">
        <f t="shared" si="6"/>
        <v>0</v>
      </c>
      <c r="G28" s="130">
        <f t="shared" si="7"/>
        <v>39.423383243071044</v>
      </c>
      <c r="H28" s="128">
        <f t="shared" si="2"/>
        <v>0</v>
      </c>
      <c r="I28" s="130">
        <f t="shared" si="8"/>
        <v>39.423383243071044</v>
      </c>
      <c r="J28" s="130">
        <f t="shared" si="9"/>
        <v>103.95</v>
      </c>
      <c r="K28" s="128">
        <f t="shared" si="3"/>
        <v>103.94999999999999</v>
      </c>
      <c r="L28" s="119"/>
      <c r="N28" s="117"/>
      <c r="R28" s="160"/>
      <c r="T28" s="161"/>
      <c r="U28" s="153"/>
      <c r="V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6"/>
        <v>70.53</v>
      </c>
      <c r="E29" s="128">
        <f t="shared" si="4"/>
        <v>35.82</v>
      </c>
      <c r="F29" s="128">
        <f t="shared" si="6"/>
        <v>0</v>
      </c>
      <c r="G29" s="130">
        <f t="shared" si="7"/>
        <v>40.33359122559505</v>
      </c>
      <c r="H29" s="128">
        <f t="shared" si="2"/>
        <v>0</v>
      </c>
      <c r="I29" s="130">
        <f t="shared" si="8"/>
        <v>40.33359122559505</v>
      </c>
      <c r="J29" s="130">
        <f t="shared" si="9"/>
        <v>106.35</v>
      </c>
      <c r="K29" s="128">
        <f t="shared" si="3"/>
        <v>106.35</v>
      </c>
      <c r="L29" s="119"/>
      <c r="N29" s="117"/>
      <c r="R29" s="160"/>
      <c r="T29" s="161"/>
      <c r="U29" s="153"/>
      <c r="V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6"/>
        <v>72.150000000000006</v>
      </c>
      <c r="E30" s="128">
        <f t="shared" si="4"/>
        <v>36.64</v>
      </c>
      <c r="F30" s="128">
        <f t="shared" si="6"/>
        <v>0</v>
      </c>
      <c r="G30" s="130">
        <f t="shared" si="7"/>
        <v>41.258969341161126</v>
      </c>
      <c r="H30" s="128">
        <f t="shared" si="2"/>
        <v>0</v>
      </c>
      <c r="I30" s="130">
        <f t="shared" si="8"/>
        <v>41.258969341161126</v>
      </c>
      <c r="J30" s="130">
        <f t="shared" si="9"/>
        <v>108.79</v>
      </c>
      <c r="K30" s="128">
        <f t="shared" si="3"/>
        <v>108.79</v>
      </c>
      <c r="L30" s="119"/>
      <c r="N30" s="117"/>
      <c r="R30" s="160"/>
      <c r="T30" s="161"/>
      <c r="U30" s="153"/>
      <c r="V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6"/>
        <v>73.81</v>
      </c>
      <c r="E31" s="128">
        <f t="shared" si="4"/>
        <v>37.479999999999997</v>
      </c>
      <c r="F31" s="128">
        <f t="shared" si="6"/>
        <v>0</v>
      </c>
      <c r="G31" s="130">
        <f t="shared" si="7"/>
        <v>42.207102656290296</v>
      </c>
      <c r="H31" s="128">
        <f t="shared" si="2"/>
        <v>0</v>
      </c>
      <c r="I31" s="130">
        <f t="shared" si="8"/>
        <v>42.207102656290296</v>
      </c>
      <c r="J31" s="130">
        <f t="shared" si="9"/>
        <v>111.29</v>
      </c>
      <c r="K31" s="128">
        <f t="shared" si="3"/>
        <v>111.28999999999999</v>
      </c>
      <c r="L31" s="119"/>
      <c r="N31" s="117"/>
      <c r="R31" s="160"/>
      <c r="T31" s="161"/>
      <c r="U31" s="153"/>
      <c r="V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6"/>
        <v>75.510000000000005</v>
      </c>
      <c r="E32" s="128">
        <f t="shared" si="4"/>
        <v>38.340000000000003</v>
      </c>
      <c r="F32" s="128">
        <f t="shared" si="6"/>
        <v>0</v>
      </c>
      <c r="G32" s="130">
        <f t="shared" si="7"/>
        <v>43.17799117098258</v>
      </c>
      <c r="H32" s="128">
        <f t="shared" si="2"/>
        <v>0</v>
      </c>
      <c r="I32" s="130">
        <f t="shared" si="8"/>
        <v>43.17799117098258</v>
      </c>
      <c r="J32" s="130">
        <f t="shared" si="9"/>
        <v>113.85</v>
      </c>
      <c r="K32" s="128">
        <f t="shared" si="3"/>
        <v>113.85000000000001</v>
      </c>
      <c r="L32" s="119"/>
      <c r="N32" s="117"/>
      <c r="R32" s="160"/>
      <c r="T32" s="161"/>
      <c r="U32" s="153"/>
      <c r="V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6"/>
        <v>77.25</v>
      </c>
      <c r="E33" s="128">
        <f t="shared" si="4"/>
        <v>39.22</v>
      </c>
      <c r="F33" s="128">
        <f t="shared" si="6"/>
        <v>0</v>
      </c>
      <c r="G33" s="130">
        <f t="shared" si="7"/>
        <v>44.17163488523795</v>
      </c>
      <c r="H33" s="128">
        <f t="shared" si="2"/>
        <v>0</v>
      </c>
      <c r="I33" s="130">
        <f t="shared" si="8"/>
        <v>44.17163488523795</v>
      </c>
      <c r="J33" s="130">
        <f t="shared" ref="J33:J37" si="10">ROUND(I33*$C$63*8.76,2)</f>
        <v>116.47</v>
      </c>
      <c r="K33" s="128">
        <f t="shared" si="3"/>
        <v>116.47</v>
      </c>
      <c r="L33" s="119"/>
      <c r="N33" s="117"/>
      <c r="R33" s="160"/>
      <c r="T33" s="161"/>
      <c r="U33" s="153"/>
      <c r="V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6"/>
        <v>79.03</v>
      </c>
      <c r="E34" s="128">
        <f t="shared" si="4"/>
        <v>40.119999999999997</v>
      </c>
      <c r="F34" s="128">
        <f t="shared" si="6"/>
        <v>0</v>
      </c>
      <c r="G34" s="130">
        <f t="shared" si="7"/>
        <v>45.188033799056427</v>
      </c>
      <c r="H34" s="128">
        <f t="shared" si="2"/>
        <v>0</v>
      </c>
      <c r="I34" s="130">
        <f t="shared" si="8"/>
        <v>45.188033799056427</v>
      </c>
      <c r="J34" s="130">
        <f t="shared" si="10"/>
        <v>119.15</v>
      </c>
      <c r="K34" s="128">
        <f t="shared" si="3"/>
        <v>119.15</v>
      </c>
      <c r="L34" s="119"/>
      <c r="N34" s="117"/>
      <c r="R34" s="160"/>
      <c r="T34" s="161"/>
      <c r="U34" s="153"/>
      <c r="V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6"/>
        <v>80.77</v>
      </c>
      <c r="E35" s="128">
        <f t="shared" si="4"/>
        <v>41</v>
      </c>
      <c r="F35" s="128">
        <f t="shared" si="6"/>
        <v>0</v>
      </c>
      <c r="G35" s="130">
        <f t="shared" si="7"/>
        <v>46.181677513311797</v>
      </c>
      <c r="H35" s="128">
        <f t="shared" si="2"/>
        <v>0</v>
      </c>
      <c r="I35" s="130">
        <f t="shared" si="8"/>
        <v>46.181677513311797</v>
      </c>
      <c r="J35" s="130">
        <f t="shared" si="10"/>
        <v>121.77</v>
      </c>
      <c r="K35" s="128">
        <f t="shared" si="3"/>
        <v>121.77</v>
      </c>
      <c r="L35" s="119"/>
      <c r="N35" s="117"/>
      <c r="R35" s="160"/>
      <c r="T35" s="161"/>
      <c r="U35" s="153"/>
      <c r="V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6"/>
        <v>82.55</v>
      </c>
      <c r="E36" s="128">
        <f t="shared" si="4"/>
        <v>41.9</v>
      </c>
      <c r="F36" s="128">
        <f t="shared" si="6"/>
        <v>0</v>
      </c>
      <c r="G36" s="130">
        <f t="shared" si="7"/>
        <v>47.198076427130268</v>
      </c>
      <c r="H36" s="128">
        <f t="shared" si="2"/>
        <v>0</v>
      </c>
      <c r="I36" s="130">
        <f t="shared" si="8"/>
        <v>47.198076427130268</v>
      </c>
      <c r="J36" s="130">
        <f t="shared" si="10"/>
        <v>124.45</v>
      </c>
      <c r="K36" s="128">
        <f t="shared" si="3"/>
        <v>124.44999999999999</v>
      </c>
      <c r="L36" s="119"/>
      <c r="N36" s="117"/>
      <c r="R36" s="160"/>
      <c r="T36" s="161"/>
      <c r="U36" s="153"/>
      <c r="V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6"/>
        <v>84.45</v>
      </c>
      <c r="E37" s="128">
        <f t="shared" si="4"/>
        <v>42.86</v>
      </c>
      <c r="F37" s="128">
        <f t="shared" si="6"/>
        <v>0</v>
      </c>
      <c r="G37" s="130">
        <f t="shared" si="7"/>
        <v>48.282740939638046</v>
      </c>
      <c r="H37" s="128">
        <f t="shared" si="2"/>
        <v>0</v>
      </c>
      <c r="I37" s="130">
        <f t="shared" si="8"/>
        <v>48.282740939638046</v>
      </c>
      <c r="J37" s="130">
        <f t="shared" si="10"/>
        <v>127.31</v>
      </c>
      <c r="K37" s="128">
        <f t="shared" si="3"/>
        <v>127.31</v>
      </c>
      <c r="L37" s="119"/>
      <c r="N37" s="117"/>
      <c r="R37" s="160"/>
      <c r="T37" s="161"/>
      <c r="U37" s="153"/>
      <c r="V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62</v>
      </c>
      <c r="C44" s="140" t="s">
        <v>63</v>
      </c>
      <c r="D44" s="141" t="s">
        <v>101</v>
      </c>
      <c r="AC44" s="277"/>
    </row>
    <row r="45" spans="2:32">
      <c r="C45" s="140" t="str">
        <f>C7</f>
        <v>(a)</v>
      </c>
      <c r="D45" s="117" t="s">
        <v>64</v>
      </c>
      <c r="AC45" s="277"/>
    </row>
    <row r="46" spans="2:32">
      <c r="C46" s="140" t="str">
        <f>D7</f>
        <v>(b)</v>
      </c>
      <c r="D46" s="130" t="str">
        <f>"= "&amp;C7&amp;" x "&amp;C62</f>
        <v>= (a) x 0.05085</v>
      </c>
      <c r="AC46" s="277"/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  <c r="AC47" s="277"/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65</v>
      </c>
      <c r="D53" s="146" t="s">
        <v>66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102</v>
      </c>
      <c r="Q54" s="274">
        <v>2029</v>
      </c>
    </row>
    <row r="55" spans="2:25">
      <c r="B55" s="85" t="s">
        <v>100</v>
      </c>
      <c r="C55" s="170">
        <v>1608.8221683005897</v>
      </c>
      <c r="D55" s="117" t="s">
        <v>64</v>
      </c>
      <c r="O55" s="282">
        <v>359.4</v>
      </c>
      <c r="P55" s="117" t="s">
        <v>32</v>
      </c>
      <c r="Q55" s="274" t="s">
        <v>169</v>
      </c>
      <c r="R55" s="274" t="s">
        <v>107</v>
      </c>
      <c r="T55" s="274" t="str">
        <f>$Q$55&amp;"Proposed Station Capital Costs"</f>
        <v>L_.JBB_PVSProposed Station Capital Costs</v>
      </c>
    </row>
    <row r="56" spans="2:25">
      <c r="B56" s="85" t="s">
        <v>100</v>
      </c>
      <c r="C56" s="268">
        <v>24.570618817436728</v>
      </c>
      <c r="D56" s="117" t="s">
        <v>67</v>
      </c>
      <c r="R56" s="119"/>
      <c r="T56" s="274" t="str">
        <f>$Q$55&amp;"Proposed Station Fixed Costs"</f>
        <v>L_.JBB_PVSProposed Station Fixed Costs</v>
      </c>
    </row>
    <row r="57" spans="2:25" ht="24" customHeight="1">
      <c r="B57" s="85"/>
      <c r="C57" s="270"/>
      <c r="D57" s="117" t="s">
        <v>104</v>
      </c>
      <c r="Q57" s="346" t="str">
        <f>Q55&amp;Q54</f>
        <v>L_.JBB_PVS2029</v>
      </c>
      <c r="T57" s="274" t="str">
        <f>$Q$55&amp;"Proposed Station Variable O&amp;M Costs"</f>
        <v>L_.JBB_PVSProposed Station Variable O&amp;M Costs</v>
      </c>
    </row>
    <row r="58" spans="2:25">
      <c r="B58" s="85" t="s">
        <v>100</v>
      </c>
      <c r="C58" s="268">
        <v>0</v>
      </c>
      <c r="D58" s="117" t="s">
        <v>68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69</v>
      </c>
      <c r="I59" s="196" t="s">
        <v>90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2029$</v>
      </c>
      <c r="C60" s="270">
        <f>INDEX('Table 3 TransCost'!$39:$39,1,MATCH(F60,'Table 3 TransCost'!$4:$4,0)+2)</f>
        <v>0</v>
      </c>
      <c r="D60" s="117" t="s">
        <v>217</v>
      </c>
      <c r="F60" s="274" t="s">
        <v>218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108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3.2000000000000001E-2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2.1999999999999999E-2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2.1999999999999999E-2</v>
      </c>
      <c r="N72" s="164"/>
    </row>
    <row r="73" spans="3:14" s="119" customFormat="1">
      <c r="C73" s="87">
        <f t="shared" si="11"/>
        <v>2024</v>
      </c>
      <c r="D73" s="41">
        <v>2.1999999999999999E-2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2.1999999999999999E-2</v>
      </c>
      <c r="N73" s="164"/>
    </row>
    <row r="74" spans="3:14" s="119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2.3E-2</v>
      </c>
      <c r="H74" s="41"/>
      <c r="I74" s="87">
        <f t="shared" si="1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1.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148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13</v>
      </c>
      <c r="I5" s="121" t="s">
        <v>72</v>
      </c>
      <c r="J5" s="17" t="s">
        <v>52</v>
      </c>
      <c r="K5" s="121" t="s">
        <v>223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32" ht="15.75">
      <c r="B9" s="43" t="str">
        <f>C52</f>
        <v>2019 IRP Southen Oregon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7">
        <v>1296.5513342379013</v>
      </c>
      <c r="D18" s="128">
        <f>C18*$C$62</f>
        <v>65.929635345997283</v>
      </c>
      <c r="E18" s="128">
        <f t="shared" si="1"/>
        <v>27.85</v>
      </c>
      <c r="F18" s="198">
        <f>C60</f>
        <v>0</v>
      </c>
      <c r="G18" s="130">
        <f>(D18+E18+F18)/(8.76*$C$63)</f>
        <v>36.045245201634806</v>
      </c>
      <c r="H18" s="128">
        <f t="shared" si="2"/>
        <v>0</v>
      </c>
      <c r="I18" s="130">
        <f>(G18+H18)</f>
        <v>36.045245201634806</v>
      </c>
      <c r="J18" s="130">
        <f t="shared" ref="J18:J32" si="4">ROUND(I18*$C$63*8.76,2)</f>
        <v>93.78</v>
      </c>
      <c r="K18" s="128">
        <f t="shared" si="3"/>
        <v>93.779635345997292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67.45</v>
      </c>
      <c r="E19" s="128">
        <f t="shared" si="1"/>
        <v>28.49</v>
      </c>
      <c r="F19" s="128">
        <f t="shared" si="5"/>
        <v>0</v>
      </c>
      <c r="G19" s="130">
        <f t="shared" ref="G19:G37" si="6">(D19+E19+F19)/(8.76*$C$63)</f>
        <v>36.875605368756055</v>
      </c>
      <c r="H19" s="128">
        <f t="shared" si="2"/>
        <v>0</v>
      </c>
      <c r="I19" s="130">
        <f t="shared" ref="I19:I37" si="7">(G19+H19)</f>
        <v>36.875605368756055</v>
      </c>
      <c r="J19" s="130">
        <f t="shared" si="4"/>
        <v>95.94</v>
      </c>
      <c r="K19" s="128">
        <f t="shared" si="3"/>
        <v>95.94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69</v>
      </c>
      <c r="E20" s="128">
        <f t="shared" si="1"/>
        <v>29.15</v>
      </c>
      <c r="F20" s="128">
        <f t="shared" si="5"/>
        <v>0</v>
      </c>
      <c r="G20" s="130">
        <f t="shared" si="6"/>
        <v>37.725043432805997</v>
      </c>
      <c r="H20" s="128">
        <f t="shared" si="2"/>
        <v>0</v>
      </c>
      <c r="I20" s="130">
        <f t="shared" si="7"/>
        <v>37.725043432805997</v>
      </c>
      <c r="J20" s="130">
        <f t="shared" si="4"/>
        <v>98.15</v>
      </c>
      <c r="K20" s="128">
        <f t="shared" si="3"/>
        <v>98.15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70.59</v>
      </c>
      <c r="E21" s="128">
        <f t="shared" si="1"/>
        <v>29.82</v>
      </c>
      <c r="F21" s="128">
        <f t="shared" si="5"/>
        <v>0</v>
      </c>
      <c r="G21" s="130">
        <f t="shared" si="6"/>
        <v>38.593699552603667</v>
      </c>
      <c r="H21" s="128">
        <f t="shared" si="2"/>
        <v>0</v>
      </c>
      <c r="I21" s="130">
        <f t="shared" si="7"/>
        <v>38.593699552603667</v>
      </c>
      <c r="J21" s="130">
        <f t="shared" si="4"/>
        <v>100.41</v>
      </c>
      <c r="K21" s="128">
        <f t="shared" si="3"/>
        <v>100.41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72.209999999999994</v>
      </c>
      <c r="E22" s="128">
        <f t="shared" si="1"/>
        <v>30.51</v>
      </c>
      <c r="F22" s="128">
        <f t="shared" si="5"/>
        <v>0</v>
      </c>
      <c r="G22" s="130">
        <f t="shared" si="6"/>
        <v>39.481573728149073</v>
      </c>
      <c r="H22" s="128">
        <f t="shared" si="2"/>
        <v>0</v>
      </c>
      <c r="I22" s="130">
        <f t="shared" si="7"/>
        <v>39.481573728149073</v>
      </c>
      <c r="J22" s="130">
        <f t="shared" si="4"/>
        <v>102.72</v>
      </c>
      <c r="K22" s="128">
        <f t="shared" si="3"/>
        <v>102.72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73.94</v>
      </c>
      <c r="E23" s="128">
        <f t="shared" si="1"/>
        <v>31.24</v>
      </c>
      <c r="F23" s="128">
        <f t="shared" si="5"/>
        <v>0</v>
      </c>
      <c r="G23" s="130">
        <f t="shared" si="6"/>
        <v>40.427102070937686</v>
      </c>
      <c r="H23" s="128">
        <f t="shared" si="2"/>
        <v>0</v>
      </c>
      <c r="I23" s="130">
        <f t="shared" si="7"/>
        <v>40.427102070937686</v>
      </c>
      <c r="J23" s="130">
        <f t="shared" si="4"/>
        <v>105.18</v>
      </c>
      <c r="K23" s="128">
        <f t="shared" si="3"/>
        <v>105.17999999999999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75.64</v>
      </c>
      <c r="E24" s="128">
        <f t="shared" si="1"/>
        <v>31.96</v>
      </c>
      <c r="F24" s="128">
        <f t="shared" si="5"/>
        <v>0</v>
      </c>
      <c r="G24" s="130">
        <f t="shared" si="6"/>
        <v>41.357255969128119</v>
      </c>
      <c r="H24" s="128">
        <f t="shared" si="2"/>
        <v>0</v>
      </c>
      <c r="I24" s="130">
        <f t="shared" si="7"/>
        <v>41.357255969128119</v>
      </c>
      <c r="J24" s="130">
        <f t="shared" si="4"/>
        <v>107.6</v>
      </c>
      <c r="K24" s="128">
        <f t="shared" si="3"/>
        <v>107.6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77.38</v>
      </c>
      <c r="E25" s="128">
        <f t="shared" si="1"/>
        <v>32.700000000000003</v>
      </c>
      <c r="F25" s="128">
        <f t="shared" si="5"/>
        <v>0</v>
      </c>
      <c r="G25" s="130">
        <f t="shared" si="6"/>
        <v>42.310471534215829</v>
      </c>
      <c r="H25" s="128">
        <f t="shared" si="2"/>
        <v>0</v>
      </c>
      <c r="I25" s="130">
        <f t="shared" si="7"/>
        <v>42.310471534215829</v>
      </c>
      <c r="J25" s="130">
        <f t="shared" si="4"/>
        <v>110.08</v>
      </c>
      <c r="K25" s="128">
        <f t="shared" si="3"/>
        <v>110.08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79.16</v>
      </c>
      <c r="E26" s="128">
        <f t="shared" si="1"/>
        <v>33.450000000000003</v>
      </c>
      <c r="F26" s="128">
        <f t="shared" si="5"/>
        <v>0</v>
      </c>
      <c r="G26" s="130">
        <f t="shared" si="6"/>
        <v>43.282905155051274</v>
      </c>
      <c r="H26" s="128">
        <f t="shared" si="2"/>
        <v>0</v>
      </c>
      <c r="I26" s="130">
        <f t="shared" si="7"/>
        <v>43.282905155051274</v>
      </c>
      <c r="J26" s="130">
        <f t="shared" si="4"/>
        <v>112.61</v>
      </c>
      <c r="K26" s="128">
        <f t="shared" si="3"/>
        <v>112.61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80.98</v>
      </c>
      <c r="E27" s="128">
        <f t="shared" si="1"/>
        <v>34.22</v>
      </c>
      <c r="F27" s="128">
        <f t="shared" si="5"/>
        <v>0</v>
      </c>
      <c r="G27" s="130">
        <f t="shared" si="6"/>
        <v>44.278400442784012</v>
      </c>
      <c r="H27" s="128">
        <f t="shared" si="2"/>
        <v>0</v>
      </c>
      <c r="I27" s="130">
        <f t="shared" si="7"/>
        <v>44.278400442784012</v>
      </c>
      <c r="J27" s="130">
        <f t="shared" si="4"/>
        <v>115.2</v>
      </c>
      <c r="K27" s="128">
        <f t="shared" si="3"/>
        <v>115.2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82.84</v>
      </c>
      <c r="E28" s="128">
        <f t="shared" si="1"/>
        <v>35.01</v>
      </c>
      <c r="F28" s="128">
        <f t="shared" si="5"/>
        <v>0</v>
      </c>
      <c r="G28" s="130">
        <f t="shared" si="6"/>
        <v>45.296957397414019</v>
      </c>
      <c r="H28" s="128">
        <f t="shared" si="2"/>
        <v>0</v>
      </c>
      <c r="I28" s="130">
        <f t="shared" si="7"/>
        <v>45.296957397414019</v>
      </c>
      <c r="J28" s="130">
        <f t="shared" si="4"/>
        <v>117.85</v>
      </c>
      <c r="K28" s="128">
        <f t="shared" si="3"/>
        <v>117.85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84.75</v>
      </c>
      <c r="E29" s="128">
        <f t="shared" si="1"/>
        <v>35.82</v>
      </c>
      <c r="F29" s="128">
        <f t="shared" si="5"/>
        <v>0</v>
      </c>
      <c r="G29" s="130">
        <f t="shared" si="6"/>
        <v>46.342419630090866</v>
      </c>
      <c r="H29" s="128">
        <f t="shared" si="2"/>
        <v>0</v>
      </c>
      <c r="I29" s="130">
        <f t="shared" si="7"/>
        <v>46.342419630090866</v>
      </c>
      <c r="J29" s="130">
        <f t="shared" si="4"/>
        <v>120.57</v>
      </c>
      <c r="K29" s="128">
        <f t="shared" si="3"/>
        <v>120.57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86.7</v>
      </c>
      <c r="E30" s="128">
        <f t="shared" si="1"/>
        <v>36.64</v>
      </c>
      <c r="F30" s="128">
        <f t="shared" si="5"/>
        <v>0</v>
      </c>
      <c r="G30" s="130">
        <f t="shared" si="6"/>
        <v>47.407099918515449</v>
      </c>
      <c r="H30" s="128">
        <f t="shared" si="2"/>
        <v>0</v>
      </c>
      <c r="I30" s="130">
        <f t="shared" si="7"/>
        <v>47.407099918515449</v>
      </c>
      <c r="J30" s="130">
        <f t="shared" si="4"/>
        <v>123.34</v>
      </c>
      <c r="K30" s="128">
        <f t="shared" si="3"/>
        <v>123.34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88.69</v>
      </c>
      <c r="E31" s="128">
        <f t="shared" si="1"/>
        <v>37.479999999999997</v>
      </c>
      <c r="F31" s="128">
        <f t="shared" si="5"/>
        <v>0</v>
      </c>
      <c r="G31" s="130">
        <f t="shared" si="6"/>
        <v>48.494841873837309</v>
      </c>
      <c r="H31" s="128">
        <f t="shared" si="2"/>
        <v>0</v>
      </c>
      <c r="I31" s="130">
        <f t="shared" si="7"/>
        <v>48.494841873837309</v>
      </c>
      <c r="J31" s="130">
        <f t="shared" si="4"/>
        <v>126.17</v>
      </c>
      <c r="K31" s="128">
        <f t="shared" si="3"/>
        <v>126.16999999999999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90.73</v>
      </c>
      <c r="E32" s="128">
        <f t="shared" si="1"/>
        <v>38.340000000000003</v>
      </c>
      <c r="F32" s="128">
        <f t="shared" si="5"/>
        <v>0</v>
      </c>
      <c r="G32" s="130">
        <f t="shared" si="6"/>
        <v>49.609489107206002</v>
      </c>
      <c r="H32" s="128">
        <f t="shared" si="2"/>
        <v>0</v>
      </c>
      <c r="I32" s="130">
        <f t="shared" si="7"/>
        <v>49.609489107206002</v>
      </c>
      <c r="J32" s="130">
        <f t="shared" si="4"/>
        <v>129.07</v>
      </c>
      <c r="K32" s="128">
        <f t="shared" si="3"/>
        <v>129.07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92.82</v>
      </c>
      <c r="E33" s="128">
        <f t="shared" si="1"/>
        <v>39.22</v>
      </c>
      <c r="F33" s="128">
        <f t="shared" si="5"/>
        <v>0</v>
      </c>
      <c r="G33" s="130">
        <f t="shared" si="6"/>
        <v>50.751041618621528</v>
      </c>
      <c r="H33" s="128">
        <f t="shared" si="2"/>
        <v>0</v>
      </c>
      <c r="I33" s="130">
        <f t="shared" si="7"/>
        <v>50.751041618621528</v>
      </c>
      <c r="J33" s="130">
        <f t="shared" ref="J33:J37" si="8">ROUND(I33*$C$63*8.76,2)</f>
        <v>132.04</v>
      </c>
      <c r="K33" s="128">
        <f t="shared" si="3"/>
        <v>132.04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94.95</v>
      </c>
      <c r="E34" s="128">
        <f t="shared" si="1"/>
        <v>40.119999999999997</v>
      </c>
      <c r="F34" s="128">
        <f t="shared" si="5"/>
        <v>0</v>
      </c>
      <c r="G34" s="130">
        <f t="shared" si="6"/>
        <v>51.915655796934338</v>
      </c>
      <c r="H34" s="128">
        <f t="shared" si="2"/>
        <v>0</v>
      </c>
      <c r="I34" s="130">
        <f t="shared" si="7"/>
        <v>51.915655796934338</v>
      </c>
      <c r="J34" s="130">
        <f t="shared" si="8"/>
        <v>135.07</v>
      </c>
      <c r="K34" s="128">
        <f t="shared" si="3"/>
        <v>135.07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97.04</v>
      </c>
      <c r="E35" s="128">
        <f t="shared" si="1"/>
        <v>41</v>
      </c>
      <c r="F35" s="128">
        <f t="shared" si="5"/>
        <v>0</v>
      </c>
      <c r="G35" s="130">
        <f t="shared" si="6"/>
        <v>53.057208308349871</v>
      </c>
      <c r="H35" s="128">
        <f t="shared" si="2"/>
        <v>0</v>
      </c>
      <c r="I35" s="130">
        <f t="shared" si="7"/>
        <v>53.057208308349871</v>
      </c>
      <c r="J35" s="130">
        <f t="shared" si="8"/>
        <v>138.04</v>
      </c>
      <c r="K35" s="128">
        <f t="shared" si="3"/>
        <v>138.04000000000002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99.17</v>
      </c>
      <c r="E36" s="128">
        <f t="shared" si="1"/>
        <v>41.9</v>
      </c>
      <c r="F36" s="128">
        <f t="shared" si="5"/>
        <v>0</v>
      </c>
      <c r="G36" s="130">
        <f t="shared" si="6"/>
        <v>54.221822486662674</v>
      </c>
      <c r="H36" s="128">
        <f t="shared" si="2"/>
        <v>0</v>
      </c>
      <c r="I36" s="130">
        <f t="shared" si="7"/>
        <v>54.221822486662674</v>
      </c>
      <c r="J36" s="130">
        <f t="shared" si="8"/>
        <v>141.07</v>
      </c>
      <c r="K36" s="128">
        <f t="shared" si="3"/>
        <v>141.07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101.45</v>
      </c>
      <c r="E37" s="128">
        <f t="shared" si="1"/>
        <v>42.86</v>
      </c>
      <c r="F37" s="128">
        <f t="shared" si="5"/>
        <v>0</v>
      </c>
      <c r="G37" s="130">
        <f t="shared" si="6"/>
        <v>55.467152499115976</v>
      </c>
      <c r="H37" s="128">
        <f t="shared" si="2"/>
        <v>0</v>
      </c>
      <c r="I37" s="130">
        <f t="shared" si="7"/>
        <v>55.467152499115976</v>
      </c>
      <c r="J37" s="130">
        <f t="shared" si="8"/>
        <v>144.31</v>
      </c>
      <c r="K37" s="128">
        <f t="shared" si="3"/>
        <v>144.31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N39" s="117"/>
      <c r="R39" s="160"/>
      <c r="T39" s="161"/>
      <c r="U39" s="153"/>
      <c r="V39" s="153"/>
      <c r="W39" s="153"/>
      <c r="X39" s="153"/>
      <c r="Y39" s="153"/>
      <c r="Z39" s="153"/>
      <c r="AF39" s="153"/>
    </row>
    <row r="40" spans="2:32">
      <c r="B40" s="135"/>
      <c r="C40" s="136"/>
      <c r="D40" s="128"/>
      <c r="E40" s="128"/>
      <c r="F40" s="130"/>
      <c r="G40" s="128"/>
      <c r="H40" s="128"/>
      <c r="I40" s="130"/>
      <c r="J40" s="130"/>
      <c r="K40" s="128"/>
      <c r="L40" s="119"/>
      <c r="N40" s="117"/>
      <c r="R40" s="160"/>
      <c r="T40" s="161"/>
      <c r="U40" s="153"/>
      <c r="V40" s="153"/>
      <c r="W40" s="153"/>
      <c r="X40" s="153"/>
      <c r="Y40" s="153"/>
      <c r="Z40" s="153"/>
      <c r="AF40" s="153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62</v>
      </c>
      <c r="C44" s="140" t="s">
        <v>63</v>
      </c>
      <c r="D44" s="141" t="s">
        <v>101</v>
      </c>
    </row>
    <row r="45" spans="2:32">
      <c r="C45" s="140" t="str">
        <f>C7</f>
        <v>(a)</v>
      </c>
      <c r="D45" s="117" t="s">
        <v>64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29.7%)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65</v>
      </c>
      <c r="D53" s="146" t="s">
        <v>66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102</v>
      </c>
      <c r="Q54" s="274">
        <v>2024</v>
      </c>
    </row>
    <row r="55" spans="2:25">
      <c r="B55" s="85" t="s">
        <v>100</v>
      </c>
      <c r="C55" s="170">
        <v>1698.6767295711138</v>
      </c>
      <c r="D55" s="117" t="s">
        <v>64</v>
      </c>
      <c r="O55" s="350">
        <v>442.2</v>
      </c>
      <c r="P55" s="117" t="s">
        <v>32</v>
      </c>
      <c r="Q55" s="274" t="s">
        <v>144</v>
      </c>
      <c r="R55" s="274" t="s">
        <v>107</v>
      </c>
      <c r="T55" s="274" t="str">
        <f>$Q$55&amp;"Proposed Station Capital Costs"</f>
        <v>H1.SO1_PVSProposed Station Capital Costs</v>
      </c>
    </row>
    <row r="56" spans="2:25">
      <c r="B56" s="85" t="s">
        <v>100</v>
      </c>
      <c r="C56" s="268">
        <v>24.570618817436728</v>
      </c>
      <c r="D56" s="117" t="s">
        <v>67</v>
      </c>
      <c r="O56" s="350">
        <v>57.8</v>
      </c>
      <c r="P56" s="117" t="s">
        <v>32</v>
      </c>
      <c r="Q56" s="274" t="s">
        <v>145</v>
      </c>
      <c r="R56" s="119"/>
      <c r="T56" s="274" t="str">
        <f>$Q$55&amp;"Proposed Station Fixed Costs"</f>
        <v>H1.SO1_PVSProposed Station Fixed Costs</v>
      </c>
    </row>
    <row r="57" spans="2:25" ht="24" customHeight="1">
      <c r="B57" s="85"/>
      <c r="C57" s="270"/>
      <c r="D57" s="117" t="s">
        <v>104</v>
      </c>
      <c r="Q57" s="346" t="str">
        <f>Q55&amp;Q54</f>
        <v>H1.SO1_PVS2024</v>
      </c>
      <c r="T57" s="274" t="str">
        <f>$Q$55&amp;"Proposed Station Variable O&amp;M Costs"</f>
        <v>H1.SO1_PVSProposed Station Variable O&amp;M Costs</v>
      </c>
    </row>
    <row r="58" spans="2:25">
      <c r="B58" s="85" t="s">
        <v>100</v>
      </c>
      <c r="C58" s="268">
        <v>0</v>
      </c>
      <c r="D58" s="117" t="s">
        <v>68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69</v>
      </c>
      <c r="I59" s="196" t="s">
        <v>90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IFERROR(LEFT(RIGHT(INDEX('Table 3 TransCost'!$39:$39,1,MATCH(F60,'Table 3 TransCost'!$4:$4,0)),6),5),"-")</f>
        <v>-</v>
      </c>
      <c r="C60" s="270">
        <f>IFERROR(INDEX('Table 3 TransCost'!$39:$39,1,MATCH(F60,'Table 3 TransCost'!$4:$4,0)+2),0)</f>
        <v>0</v>
      </c>
      <c r="D60" s="117" t="s">
        <v>217</v>
      </c>
      <c r="F60" s="274" t="s">
        <v>222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108</v>
      </c>
      <c r="K62" s="155"/>
      <c r="L62" s="156"/>
      <c r="M62" s="156"/>
      <c r="O62" s="157"/>
    </row>
    <row r="63" spans="2:25">
      <c r="C63" s="207">
        <v>0.29699999999999999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19" sqref="K1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0.8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148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26%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13</v>
      </c>
      <c r="I5" s="121" t="s">
        <v>72</v>
      </c>
      <c r="J5" s="17" t="s">
        <v>52</v>
      </c>
      <c r="K5" s="121" t="s">
        <v>223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</row>
    <row r="8" spans="2:32" ht="6" customHeight="1">
      <c r="K8" s="119"/>
      <c r="R8" s="119"/>
    </row>
    <row r="9" spans="2:32" ht="15.75">
      <c r="B9" s="43" t="str">
        <f>C52</f>
        <v>2019 IRP Southen Oregon Solar with Storage - 26%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7">
        <v>1295.0860323886641</v>
      </c>
      <c r="D18" s="128">
        <f>C18*$C$62</f>
        <v>65.855124746963568</v>
      </c>
      <c r="E18" s="128">
        <f t="shared" si="1"/>
        <v>27.85</v>
      </c>
      <c r="F18" s="128">
        <f>C60</f>
        <v>0.39132049215213044</v>
      </c>
      <c r="G18" s="130">
        <f>(D18+E18+F18)/(8.76*$C$63)</f>
        <v>41.313858991533067</v>
      </c>
      <c r="H18" s="128">
        <f t="shared" si="2"/>
        <v>0</v>
      </c>
      <c r="I18" s="130">
        <f>(G18+H18)</f>
        <v>41.313858991533067</v>
      </c>
      <c r="J18" s="130">
        <f t="shared" ref="J18:J32" si="4">ROUND(I18*$C$63*8.76,2)</f>
        <v>94.1</v>
      </c>
      <c r="K18" s="128">
        <f t="shared" si="3"/>
        <v>94.09644523911571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67.37</v>
      </c>
      <c r="E19" s="128">
        <f t="shared" si="1"/>
        <v>28.49</v>
      </c>
      <c r="F19" s="128">
        <f t="shared" si="5"/>
        <v>0.4</v>
      </c>
      <c r="G19" s="130">
        <f t="shared" ref="G19:G37" si="6">(D19+E19+F19)/(8.76*$C$63)</f>
        <v>42.263786441868632</v>
      </c>
      <c r="H19" s="128">
        <f t="shared" si="2"/>
        <v>0</v>
      </c>
      <c r="I19" s="130">
        <f t="shared" ref="I19:I37" si="7">(G19+H19)</f>
        <v>42.263786441868632</v>
      </c>
      <c r="J19" s="130">
        <f t="shared" si="4"/>
        <v>96.26</v>
      </c>
      <c r="K19" s="128">
        <f t="shared" si="3"/>
        <v>96.26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68.92</v>
      </c>
      <c r="E20" s="128">
        <f t="shared" si="1"/>
        <v>29.15</v>
      </c>
      <c r="F20" s="128">
        <f t="shared" si="5"/>
        <v>0.41</v>
      </c>
      <c r="G20" s="130">
        <f t="shared" si="6"/>
        <v>43.238496663154194</v>
      </c>
      <c r="H20" s="128">
        <f t="shared" si="2"/>
        <v>0</v>
      </c>
      <c r="I20" s="130">
        <f t="shared" si="7"/>
        <v>43.238496663154194</v>
      </c>
      <c r="J20" s="130">
        <f t="shared" si="4"/>
        <v>98.48</v>
      </c>
      <c r="K20" s="128">
        <f t="shared" si="3"/>
        <v>98.47999999999999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70.510000000000005</v>
      </c>
      <c r="E21" s="128">
        <f t="shared" si="1"/>
        <v>29.82</v>
      </c>
      <c r="F21" s="128">
        <f t="shared" si="5"/>
        <v>0.42</v>
      </c>
      <c r="G21" s="130">
        <f t="shared" si="6"/>
        <v>44.235159817351601</v>
      </c>
      <c r="H21" s="128">
        <f t="shared" si="2"/>
        <v>0</v>
      </c>
      <c r="I21" s="130">
        <f t="shared" si="7"/>
        <v>44.235159817351601</v>
      </c>
      <c r="J21" s="130">
        <f t="shared" si="4"/>
        <v>100.75</v>
      </c>
      <c r="K21" s="128">
        <f t="shared" si="3"/>
        <v>100.75000000000001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72.13</v>
      </c>
      <c r="E22" s="128">
        <f t="shared" si="1"/>
        <v>30.51</v>
      </c>
      <c r="F22" s="128">
        <f t="shared" si="5"/>
        <v>0.43</v>
      </c>
      <c r="G22" s="130">
        <f t="shared" si="6"/>
        <v>45.253775904460838</v>
      </c>
      <c r="H22" s="128">
        <f t="shared" si="2"/>
        <v>0</v>
      </c>
      <c r="I22" s="130">
        <f t="shared" si="7"/>
        <v>45.253775904460838</v>
      </c>
      <c r="J22" s="130">
        <f t="shared" si="4"/>
        <v>103.07</v>
      </c>
      <c r="K22" s="128">
        <f t="shared" si="3"/>
        <v>103.07000000000001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73.86</v>
      </c>
      <c r="E23" s="128">
        <f t="shared" si="1"/>
        <v>31.24</v>
      </c>
      <c r="F23" s="128">
        <f t="shared" si="5"/>
        <v>0.44</v>
      </c>
      <c r="G23" s="130">
        <f t="shared" si="6"/>
        <v>46.33825079030558</v>
      </c>
      <c r="H23" s="128">
        <f t="shared" si="2"/>
        <v>0</v>
      </c>
      <c r="I23" s="130">
        <f t="shared" si="7"/>
        <v>46.33825079030558</v>
      </c>
      <c r="J23" s="130">
        <f t="shared" si="4"/>
        <v>105.54</v>
      </c>
      <c r="K23" s="128">
        <f t="shared" si="3"/>
        <v>105.53999999999999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75.56</v>
      </c>
      <c r="E24" s="128">
        <f t="shared" si="1"/>
        <v>31.96</v>
      </c>
      <c r="F24" s="128">
        <f t="shared" si="5"/>
        <v>0.45</v>
      </c>
      <c r="G24" s="130">
        <f t="shared" si="6"/>
        <v>47.405163329820866</v>
      </c>
      <c r="H24" s="128">
        <f t="shared" si="2"/>
        <v>0</v>
      </c>
      <c r="I24" s="130">
        <f t="shared" si="7"/>
        <v>47.405163329820866</v>
      </c>
      <c r="J24" s="130">
        <f t="shared" si="4"/>
        <v>107.97</v>
      </c>
      <c r="K24" s="128">
        <f t="shared" si="3"/>
        <v>107.97000000000001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77.3</v>
      </c>
      <c r="E25" s="128">
        <f t="shared" si="1"/>
        <v>32.700000000000003</v>
      </c>
      <c r="F25" s="128">
        <f t="shared" si="5"/>
        <v>0.46</v>
      </c>
      <c r="G25" s="130">
        <f t="shared" si="6"/>
        <v>48.498419388830342</v>
      </c>
      <c r="H25" s="128">
        <f t="shared" si="2"/>
        <v>0</v>
      </c>
      <c r="I25" s="130">
        <f t="shared" si="7"/>
        <v>48.498419388830342</v>
      </c>
      <c r="J25" s="130">
        <f t="shared" si="4"/>
        <v>110.46</v>
      </c>
      <c r="K25" s="128">
        <f t="shared" si="3"/>
        <v>110.46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79.08</v>
      </c>
      <c r="E26" s="128">
        <f t="shared" si="1"/>
        <v>33.450000000000003</v>
      </c>
      <c r="F26" s="128">
        <f t="shared" si="5"/>
        <v>0.47</v>
      </c>
      <c r="G26" s="130">
        <f t="shared" si="6"/>
        <v>49.613628380751663</v>
      </c>
      <c r="H26" s="128">
        <f t="shared" si="2"/>
        <v>0</v>
      </c>
      <c r="I26" s="130">
        <f t="shared" si="7"/>
        <v>49.613628380751663</v>
      </c>
      <c r="J26" s="130">
        <f t="shared" si="4"/>
        <v>113</v>
      </c>
      <c r="K26" s="128">
        <f t="shared" si="3"/>
        <v>113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80.900000000000006</v>
      </c>
      <c r="E27" s="128">
        <f t="shared" si="1"/>
        <v>34.22</v>
      </c>
      <c r="F27" s="128">
        <f t="shared" si="5"/>
        <v>0.48</v>
      </c>
      <c r="G27" s="130">
        <f t="shared" si="6"/>
        <v>50.755180892167196</v>
      </c>
      <c r="H27" s="128">
        <f t="shared" si="2"/>
        <v>0</v>
      </c>
      <c r="I27" s="130">
        <f t="shared" si="7"/>
        <v>50.755180892167196</v>
      </c>
      <c r="J27" s="130">
        <f t="shared" si="4"/>
        <v>115.6</v>
      </c>
      <c r="K27" s="128">
        <f t="shared" si="3"/>
        <v>115.60000000000001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82.76</v>
      </c>
      <c r="E28" s="128">
        <f t="shared" si="1"/>
        <v>35.01</v>
      </c>
      <c r="F28" s="128">
        <f t="shared" si="5"/>
        <v>0.49</v>
      </c>
      <c r="G28" s="130">
        <f t="shared" si="6"/>
        <v>51.923076923076927</v>
      </c>
      <c r="H28" s="128">
        <f t="shared" si="2"/>
        <v>0</v>
      </c>
      <c r="I28" s="130">
        <f t="shared" si="7"/>
        <v>51.923076923076927</v>
      </c>
      <c r="J28" s="130">
        <f t="shared" si="4"/>
        <v>118.26</v>
      </c>
      <c r="K28" s="128">
        <f t="shared" si="3"/>
        <v>118.26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84.66</v>
      </c>
      <c r="E29" s="128">
        <f t="shared" si="1"/>
        <v>35.82</v>
      </c>
      <c r="F29" s="128">
        <f t="shared" si="5"/>
        <v>0.5</v>
      </c>
      <c r="G29" s="130">
        <f t="shared" si="6"/>
        <v>53.117316473480848</v>
      </c>
      <c r="H29" s="128">
        <f t="shared" si="2"/>
        <v>0</v>
      </c>
      <c r="I29" s="130">
        <f t="shared" si="7"/>
        <v>53.117316473480848</v>
      </c>
      <c r="J29" s="130">
        <f t="shared" si="4"/>
        <v>120.98</v>
      </c>
      <c r="K29" s="128">
        <f t="shared" si="3"/>
        <v>120.97999999999999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86.61</v>
      </c>
      <c r="E30" s="128">
        <f t="shared" si="1"/>
        <v>36.64</v>
      </c>
      <c r="F30" s="128">
        <f t="shared" si="5"/>
        <v>0.51</v>
      </c>
      <c r="G30" s="130">
        <f t="shared" si="6"/>
        <v>54.337899543378995</v>
      </c>
      <c r="H30" s="128">
        <f t="shared" si="2"/>
        <v>0</v>
      </c>
      <c r="I30" s="130">
        <f t="shared" si="7"/>
        <v>54.337899543378995</v>
      </c>
      <c r="J30" s="130">
        <f t="shared" si="4"/>
        <v>123.76</v>
      </c>
      <c r="K30" s="128">
        <f t="shared" si="3"/>
        <v>123.76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88.6</v>
      </c>
      <c r="E31" s="128">
        <f t="shared" si="1"/>
        <v>37.479999999999997</v>
      </c>
      <c r="F31" s="128">
        <f t="shared" si="5"/>
        <v>0.52</v>
      </c>
      <c r="G31" s="130">
        <f t="shared" si="6"/>
        <v>55.584826132771326</v>
      </c>
      <c r="H31" s="128">
        <f t="shared" si="2"/>
        <v>0</v>
      </c>
      <c r="I31" s="130">
        <f t="shared" si="7"/>
        <v>55.584826132771326</v>
      </c>
      <c r="J31" s="130">
        <f t="shared" si="4"/>
        <v>126.6</v>
      </c>
      <c r="K31" s="128">
        <f t="shared" si="3"/>
        <v>126.59999999999998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90.64</v>
      </c>
      <c r="E32" s="128">
        <f t="shared" si="1"/>
        <v>38.340000000000003</v>
      </c>
      <c r="F32" s="128">
        <f t="shared" si="5"/>
        <v>0.53</v>
      </c>
      <c r="G32" s="130">
        <f t="shared" si="6"/>
        <v>56.862486828240257</v>
      </c>
      <c r="H32" s="128">
        <f t="shared" si="2"/>
        <v>0</v>
      </c>
      <c r="I32" s="130">
        <f t="shared" si="7"/>
        <v>56.862486828240257</v>
      </c>
      <c r="J32" s="130">
        <f t="shared" si="4"/>
        <v>129.51</v>
      </c>
      <c r="K32" s="128">
        <f t="shared" si="3"/>
        <v>129.51000000000002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92.72</v>
      </c>
      <c r="E33" s="128">
        <f t="shared" si="1"/>
        <v>39.22</v>
      </c>
      <c r="F33" s="128">
        <f t="shared" si="5"/>
        <v>0.54</v>
      </c>
      <c r="G33" s="130">
        <f t="shared" si="6"/>
        <v>58.166491043203365</v>
      </c>
      <c r="H33" s="128">
        <f t="shared" si="2"/>
        <v>0</v>
      </c>
      <c r="I33" s="130">
        <f t="shared" si="7"/>
        <v>58.166491043203365</v>
      </c>
      <c r="J33" s="130">
        <f t="shared" ref="J33:J37" si="8">ROUND(I33*$C$63*8.76,2)</f>
        <v>132.47999999999999</v>
      </c>
      <c r="K33" s="128">
        <f t="shared" si="3"/>
        <v>132.47999999999999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94.85</v>
      </c>
      <c r="E34" s="128">
        <f t="shared" si="1"/>
        <v>40.119999999999997</v>
      </c>
      <c r="F34" s="128">
        <f t="shared" si="5"/>
        <v>0.55000000000000004</v>
      </c>
      <c r="G34" s="130">
        <f t="shared" si="6"/>
        <v>59.501229364243066</v>
      </c>
      <c r="H34" s="128">
        <f t="shared" si="2"/>
        <v>0</v>
      </c>
      <c r="I34" s="130">
        <f t="shared" si="7"/>
        <v>59.501229364243066</v>
      </c>
      <c r="J34" s="130">
        <f t="shared" si="8"/>
        <v>135.52000000000001</v>
      </c>
      <c r="K34" s="128">
        <f t="shared" si="3"/>
        <v>135.52000000000001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96.94</v>
      </c>
      <c r="E35" s="128">
        <f t="shared" si="1"/>
        <v>41</v>
      </c>
      <c r="F35" s="128">
        <f t="shared" si="5"/>
        <v>0.56000000000000005</v>
      </c>
      <c r="G35" s="130">
        <f t="shared" si="6"/>
        <v>60.809624165788549</v>
      </c>
      <c r="H35" s="128">
        <f t="shared" si="2"/>
        <v>0</v>
      </c>
      <c r="I35" s="130">
        <f t="shared" si="7"/>
        <v>60.809624165788549</v>
      </c>
      <c r="J35" s="130">
        <f t="shared" si="8"/>
        <v>138.5</v>
      </c>
      <c r="K35" s="128">
        <f t="shared" si="3"/>
        <v>138.5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99.07</v>
      </c>
      <c r="E36" s="128">
        <f t="shared" si="1"/>
        <v>41.9</v>
      </c>
      <c r="F36" s="128">
        <f t="shared" si="5"/>
        <v>0.56999999999999995</v>
      </c>
      <c r="G36" s="130">
        <f t="shared" si="6"/>
        <v>62.144362486828236</v>
      </c>
      <c r="H36" s="128">
        <f t="shared" si="2"/>
        <v>0</v>
      </c>
      <c r="I36" s="130">
        <f t="shared" si="7"/>
        <v>62.144362486828236</v>
      </c>
      <c r="J36" s="130">
        <f t="shared" si="8"/>
        <v>141.54</v>
      </c>
      <c r="K36" s="128">
        <f t="shared" si="3"/>
        <v>141.54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101.35</v>
      </c>
      <c r="E37" s="128">
        <f t="shared" si="1"/>
        <v>42.86</v>
      </c>
      <c r="F37" s="128">
        <f t="shared" si="5"/>
        <v>0.57999999999999996</v>
      </c>
      <c r="G37" s="130">
        <f t="shared" si="6"/>
        <v>63.571303126097639</v>
      </c>
      <c r="H37" s="128">
        <f t="shared" si="2"/>
        <v>0</v>
      </c>
      <c r="I37" s="130">
        <f t="shared" si="7"/>
        <v>63.571303126097639</v>
      </c>
      <c r="J37" s="130">
        <f t="shared" si="8"/>
        <v>144.79</v>
      </c>
      <c r="K37" s="128">
        <f t="shared" si="3"/>
        <v>144.79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62</v>
      </c>
      <c r="C44" s="140" t="s">
        <v>63</v>
      </c>
      <c r="D44" s="141" t="s">
        <v>101</v>
      </c>
    </row>
    <row r="45" spans="2:32">
      <c r="C45" s="140" t="str">
        <f>C7</f>
        <v>(a)</v>
      </c>
      <c r="D45" s="117" t="s">
        <v>64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26.0%)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- 26%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65</v>
      </c>
      <c r="D53" s="146" t="s">
        <v>66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102</v>
      </c>
      <c r="Q54" s="274">
        <v>2024</v>
      </c>
    </row>
    <row r="55" spans="2:25">
      <c r="B55" s="85" t="s">
        <v>100</v>
      </c>
      <c r="C55" s="170">
        <v>1696.7441589156169</v>
      </c>
      <c r="D55" s="117" t="s">
        <v>64</v>
      </c>
      <c r="O55" s="350">
        <v>395.2</v>
      </c>
      <c r="P55" s="117" t="s">
        <v>32</v>
      </c>
      <c r="Q55" s="274" t="s">
        <v>149</v>
      </c>
      <c r="R55" s="274" t="s">
        <v>107</v>
      </c>
      <c r="T55" s="274" t="str">
        <f>$Q$55&amp;"Proposed Station Capital Costs"</f>
        <v>L1.YK1_PVSProposed Station Capital Costs</v>
      </c>
    </row>
    <row r="56" spans="2:25">
      <c r="B56" s="85" t="s">
        <v>100</v>
      </c>
      <c r="C56" s="268">
        <v>24.570618817436728</v>
      </c>
      <c r="D56" s="117" t="s">
        <v>67</v>
      </c>
      <c r="O56" s="350"/>
      <c r="P56" s="117" t="s">
        <v>32</v>
      </c>
      <c r="Q56" s="274"/>
      <c r="R56" s="119"/>
      <c r="T56" s="274" t="str">
        <f>$Q$55&amp;"Proposed Station Fixed Costs"</f>
        <v>L1.YK1_PVSProposed Station Fixed Costs</v>
      </c>
    </row>
    <row r="57" spans="2:25" ht="24" customHeight="1">
      <c r="B57" s="85"/>
      <c r="C57" s="270"/>
      <c r="D57" s="117" t="s">
        <v>104</v>
      </c>
      <c r="Q57" s="346" t="str">
        <f>Q55&amp;Q54</f>
        <v>L1.YK1_PVS2024</v>
      </c>
      <c r="T57" s="274" t="str">
        <f>$Q$55&amp;"Proposed Station Variable O&amp;M Costs"</f>
        <v>L1.YK1_PVSProposed Station Variable O&amp;M Costs</v>
      </c>
    </row>
    <row r="58" spans="2:25">
      <c r="B58" s="85" t="s">
        <v>100</v>
      </c>
      <c r="C58" s="268">
        <v>0</v>
      </c>
      <c r="D58" s="117" t="s">
        <v>68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69</v>
      </c>
      <c r="I59" s="196" t="s">
        <v>90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217</v>
      </c>
      <c r="F60" s="274" t="s">
        <v>182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108</v>
      </c>
      <c r="K62" s="155"/>
      <c r="L62" s="156"/>
      <c r="M62" s="156"/>
      <c r="O62" s="157"/>
    </row>
    <row r="63" spans="2:25">
      <c r="C63" s="207">
        <v>0.26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5"/>
  <sheetViews>
    <sheetView zoomScale="70" zoomScaleNormal="70" workbookViewId="0">
      <selection activeCell="G26" sqref="G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6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6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</row>
    <row r="3" spans="2:26" ht="15.75">
      <c r="B3" s="115" t="str">
        <f>TEXT($C$66,"0%")&amp;"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T3" s="119"/>
      <c r="U3" s="119"/>
      <c r="V3" s="119"/>
      <c r="W3" s="119"/>
      <c r="X3" s="119"/>
    </row>
    <row r="4" spans="2:26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T4" s="119"/>
      <c r="U4" s="119"/>
      <c r="V4" s="119"/>
      <c r="W4" s="119"/>
      <c r="X4" s="119"/>
    </row>
    <row r="5" spans="2:26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13</v>
      </c>
      <c r="I5" s="121" t="s">
        <v>72</v>
      </c>
      <c r="J5" s="17" t="s">
        <v>52</v>
      </c>
      <c r="K5" s="121" t="s">
        <v>223</v>
      </c>
      <c r="M5" s="213"/>
      <c r="N5" s="213"/>
      <c r="P5" s="213"/>
      <c r="R5" s="275"/>
      <c r="T5" s="119"/>
      <c r="U5" s="119"/>
      <c r="V5" s="119"/>
      <c r="W5" s="119"/>
      <c r="X5" s="119"/>
      <c r="Y5" s="213"/>
      <c r="Z5" s="213"/>
    </row>
    <row r="6" spans="2:26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T6" s="119"/>
      <c r="U6" s="119"/>
      <c r="V6" s="119"/>
      <c r="W6" s="119"/>
      <c r="X6" s="119"/>
    </row>
    <row r="7" spans="2:26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T7" s="119"/>
      <c r="U7" s="119"/>
      <c r="V7" s="119"/>
      <c r="W7" s="119"/>
      <c r="X7" s="119"/>
    </row>
    <row r="8" spans="2:26" ht="6" customHeight="1">
      <c r="K8" s="119"/>
      <c r="R8" s="119"/>
      <c r="T8" s="119"/>
      <c r="U8" s="119"/>
      <c r="V8" s="119"/>
      <c r="W8" s="119"/>
      <c r="X8" s="119"/>
    </row>
    <row r="9" spans="2:26" ht="15.75">
      <c r="B9" s="43" t="str">
        <f>C55</f>
        <v>2019 IRP Utah North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T9" s="119"/>
      <c r="U9" s="119"/>
      <c r="V9" s="119"/>
      <c r="W9" s="119"/>
      <c r="X9" s="119"/>
    </row>
    <row r="10" spans="2:26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26">
      <c r="B11" s="126">
        <f t="shared" ref="B11:B41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26">
      <c r="B12" s="135">
        <f t="shared" si="0"/>
        <v>2018</v>
      </c>
      <c r="C12" s="136"/>
      <c r="D12" s="128"/>
      <c r="E12" s="148">
        <f>$C$59</f>
        <v>24.570618817436728</v>
      </c>
      <c r="F12" s="148"/>
      <c r="G12" s="130"/>
      <c r="H12" s="148">
        <f>$C$61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</row>
    <row r="13" spans="2:26">
      <c r="B13" s="135">
        <f t="shared" si="0"/>
        <v>2019</v>
      </c>
      <c r="C13" s="136"/>
      <c r="D13" s="128"/>
      <c r="E13" s="128">
        <f t="shared" ref="E13:E37" si="1">ROUND(E12*(1+(IFERROR(INDEX($D$69:$D$77,MATCH($B13,$C$69:$C$77,0),1),0)+IFERROR(INDEX($G$69:$G$77,MATCH($B13,$F$69:$F$77,0),1),0)+IFERROR(INDEX($J$69:$J$77,MATCH($B13,$I$69:$I$77,0),1),0))),2)</f>
        <v>25.01</v>
      </c>
      <c r="F13" s="128"/>
      <c r="G13" s="130"/>
      <c r="H13" s="128">
        <f t="shared" ref="H13:H37" si="2">ROUND(H12*(1+(IFERROR(INDEX($D$69:$D$77,MATCH($B13,$C$69:$C$77,0),1),0)+IFERROR(INDEX($G$69:$G$77,MATCH($B13,$F$69:$F$77,0),1),0)+IFERROR(INDEX($J$69:$J$77,MATCH($B13,$I$69:$I$77,0),1),0))),2)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</row>
    <row r="14" spans="2:26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</row>
    <row r="15" spans="2:26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</row>
    <row r="16" spans="2:26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V16" s="153"/>
      <c r="Y16" s="153"/>
      <c r="Z16" s="153"/>
    </row>
    <row r="17" spans="2:28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V17" s="153"/>
      <c r="Y17" s="153"/>
      <c r="Z17" s="153"/>
    </row>
    <row r="18" spans="2:28">
      <c r="B18" s="135">
        <f t="shared" si="0"/>
        <v>2024</v>
      </c>
      <c r="C18" s="347">
        <v>1230.020455873758</v>
      </c>
      <c r="D18" s="128">
        <f>C18*$C$65</f>
        <v>62.546540181180596</v>
      </c>
      <c r="E18" s="128">
        <f t="shared" si="1"/>
        <v>27.85</v>
      </c>
      <c r="F18" s="128">
        <f>C63</f>
        <v>2.5818101631996475</v>
      </c>
      <c r="G18" s="130">
        <f t="shared" ref="G18:G37" si="4">(D18+E18+F18)/(8.76*$C$66)</f>
        <v>35.262348618903602</v>
      </c>
      <c r="H18" s="128">
        <f t="shared" si="2"/>
        <v>0</v>
      </c>
      <c r="I18" s="130">
        <f>(G18+H18)</f>
        <v>35.262348618903602</v>
      </c>
      <c r="J18" s="130">
        <f t="shared" ref="J18:J37" si="5">ROUND(I18*$C$66*8.76,2)</f>
        <v>92.98</v>
      </c>
      <c r="K18" s="128">
        <f t="shared" si="3"/>
        <v>92.978350344380246</v>
      </c>
      <c r="L18" s="119"/>
      <c r="N18" s="117"/>
      <c r="P18" s="280"/>
      <c r="Q18" s="153"/>
      <c r="R18" s="119"/>
      <c r="T18" s="161"/>
      <c r="U18" s="153"/>
      <c r="V18" s="153"/>
      <c r="X18" s="153"/>
      <c r="Y18" s="153"/>
      <c r="Z18" s="153"/>
      <c r="AA18" s="279"/>
      <c r="AB18" s="279"/>
    </row>
    <row r="19" spans="2:28">
      <c r="B19" s="135">
        <f t="shared" si="0"/>
        <v>2025</v>
      </c>
      <c r="C19" s="136"/>
      <c r="D19" s="128">
        <f t="shared" ref="D19:D37" si="6">ROUND(D18*(1+(IFERROR(INDEX($D$69:$D$77,MATCH($B19,$C$69:$C$77,0),1),0)+IFERROR(INDEX($G$69:$G$77,MATCH($B19,$F$69:$F$77,0),1),0)+IFERROR(INDEX($J$69:$J$77,MATCH($B19,$I$69:$I$77,0),1),0))),2)</f>
        <v>63.99</v>
      </c>
      <c r="E19" s="128">
        <f t="shared" si="1"/>
        <v>28.49</v>
      </c>
      <c r="F19" s="128">
        <f t="shared" ref="F19:F37" si="7">ROUND(F18*(1+(IFERROR(INDEX($D$69:$D$77,MATCH($B19,$C$69:$C$77,0),1),0)+IFERROR(INDEX($G$69:$G$77,MATCH($B19,$F$69:$F$77,0),1),0)+IFERROR(INDEX($J$69:$J$77,MATCH($B19,$I$69:$I$77,0),1),0))),2)</f>
        <v>2.64</v>
      </c>
      <c r="G19" s="130">
        <f t="shared" si="4"/>
        <v>36.074576374034805</v>
      </c>
      <c r="H19" s="128">
        <f t="shared" si="2"/>
        <v>0</v>
      </c>
      <c r="I19" s="130">
        <f t="shared" ref="I19:I37" si="8">(G19+H19)</f>
        <v>36.074576374034805</v>
      </c>
      <c r="J19" s="130">
        <f t="shared" si="5"/>
        <v>95.12</v>
      </c>
      <c r="K19" s="128">
        <f t="shared" si="3"/>
        <v>95.12</v>
      </c>
      <c r="L19" s="119"/>
      <c r="N19" s="117"/>
      <c r="R19" s="119"/>
      <c r="T19" s="161"/>
      <c r="U19" s="153"/>
      <c r="V19" s="153"/>
      <c r="X19" s="153"/>
      <c r="Y19" s="153"/>
      <c r="Z19" s="153"/>
    </row>
    <row r="20" spans="2:28">
      <c r="B20" s="135">
        <f t="shared" si="0"/>
        <v>2026</v>
      </c>
      <c r="C20" s="136"/>
      <c r="D20" s="128">
        <f t="shared" si="6"/>
        <v>65.459999999999994</v>
      </c>
      <c r="E20" s="128">
        <f t="shared" si="1"/>
        <v>29.15</v>
      </c>
      <c r="F20" s="128">
        <f t="shared" si="7"/>
        <v>2.7</v>
      </c>
      <c r="G20" s="130">
        <f t="shared" si="4"/>
        <v>36.905141158087957</v>
      </c>
      <c r="H20" s="128">
        <f t="shared" si="2"/>
        <v>0</v>
      </c>
      <c r="I20" s="130">
        <f t="shared" si="8"/>
        <v>36.905141158087957</v>
      </c>
      <c r="J20" s="130">
        <f t="shared" si="5"/>
        <v>97.31</v>
      </c>
      <c r="K20" s="128">
        <f t="shared" si="3"/>
        <v>97.309999999999988</v>
      </c>
      <c r="L20" s="119"/>
      <c r="N20" s="117"/>
      <c r="R20" s="160"/>
      <c r="T20" s="161"/>
      <c r="U20" s="153"/>
      <c r="V20" s="153"/>
      <c r="X20" s="153"/>
      <c r="Y20" s="153"/>
      <c r="Z20" s="153"/>
    </row>
    <row r="21" spans="2:28">
      <c r="B21" s="135">
        <f t="shared" si="0"/>
        <v>2027</v>
      </c>
      <c r="C21" s="136"/>
      <c r="D21" s="128">
        <f t="shared" si="6"/>
        <v>66.97</v>
      </c>
      <c r="E21" s="128">
        <f t="shared" si="1"/>
        <v>29.82</v>
      </c>
      <c r="F21" s="128">
        <f t="shared" si="7"/>
        <v>2.76</v>
      </c>
      <c r="G21" s="130">
        <f t="shared" si="4"/>
        <v>37.754668608443701</v>
      </c>
      <c r="H21" s="128">
        <f t="shared" si="2"/>
        <v>0</v>
      </c>
      <c r="I21" s="130">
        <f t="shared" si="8"/>
        <v>37.754668608443701</v>
      </c>
      <c r="J21" s="130">
        <f t="shared" si="5"/>
        <v>99.55</v>
      </c>
      <c r="K21" s="128">
        <f t="shared" si="3"/>
        <v>99.55</v>
      </c>
      <c r="L21" s="119"/>
      <c r="N21" s="117"/>
      <c r="R21" s="160"/>
      <c r="T21" s="161"/>
      <c r="U21" s="153"/>
      <c r="V21" s="153"/>
      <c r="X21" s="153"/>
      <c r="Y21" s="153"/>
      <c r="Z21" s="153"/>
    </row>
    <row r="22" spans="2:28">
      <c r="B22" s="135">
        <f t="shared" si="0"/>
        <v>2028</v>
      </c>
      <c r="C22" s="136"/>
      <c r="D22" s="128">
        <f t="shared" si="6"/>
        <v>68.510000000000005</v>
      </c>
      <c r="E22" s="128">
        <f t="shared" si="1"/>
        <v>30.51</v>
      </c>
      <c r="F22" s="128">
        <f t="shared" si="7"/>
        <v>2.82</v>
      </c>
      <c r="G22" s="130">
        <f t="shared" si="4"/>
        <v>38.623158725102023</v>
      </c>
      <c r="H22" s="128">
        <f t="shared" si="2"/>
        <v>0</v>
      </c>
      <c r="I22" s="130">
        <f t="shared" si="8"/>
        <v>38.623158725102023</v>
      </c>
      <c r="J22" s="130">
        <f t="shared" si="5"/>
        <v>101.84</v>
      </c>
      <c r="K22" s="128">
        <f t="shared" si="3"/>
        <v>101.84</v>
      </c>
      <c r="L22" s="119"/>
      <c r="N22" s="117"/>
      <c r="R22" s="160"/>
      <c r="T22" s="161"/>
      <c r="U22" s="153"/>
      <c r="V22" s="153"/>
      <c r="X22" s="153"/>
      <c r="Y22" s="153"/>
      <c r="Z22" s="153"/>
    </row>
    <row r="23" spans="2:28">
      <c r="B23" s="135">
        <f t="shared" si="0"/>
        <v>2029</v>
      </c>
      <c r="C23" s="136"/>
      <c r="D23" s="128">
        <f t="shared" si="6"/>
        <v>70.150000000000006</v>
      </c>
      <c r="E23" s="128">
        <f t="shared" si="1"/>
        <v>31.24</v>
      </c>
      <c r="F23" s="128">
        <f t="shared" si="7"/>
        <v>2.89</v>
      </c>
      <c r="G23" s="130">
        <f t="shared" si="4"/>
        <v>39.548536840668099</v>
      </c>
      <c r="H23" s="128">
        <f t="shared" si="2"/>
        <v>0</v>
      </c>
      <c r="I23" s="130">
        <f t="shared" si="8"/>
        <v>39.548536840668099</v>
      </c>
      <c r="J23" s="130">
        <f t="shared" si="5"/>
        <v>104.28</v>
      </c>
      <c r="K23" s="128">
        <f t="shared" si="3"/>
        <v>104.28</v>
      </c>
      <c r="L23" s="119"/>
      <c r="N23" s="117"/>
      <c r="R23" s="160"/>
      <c r="T23" s="161"/>
      <c r="U23" s="153"/>
      <c r="V23" s="153"/>
      <c r="X23" s="153"/>
      <c r="Y23" s="153"/>
      <c r="Z23" s="153"/>
    </row>
    <row r="24" spans="2:28">
      <c r="B24" s="135">
        <f t="shared" si="0"/>
        <v>2030</v>
      </c>
      <c r="C24" s="136"/>
      <c r="D24" s="128">
        <f t="shared" si="6"/>
        <v>71.760000000000005</v>
      </c>
      <c r="E24" s="128">
        <f t="shared" si="1"/>
        <v>31.96</v>
      </c>
      <c r="F24" s="128">
        <f t="shared" si="7"/>
        <v>2.96</v>
      </c>
      <c r="G24" s="130">
        <f t="shared" si="4"/>
        <v>40.458744823192099</v>
      </c>
      <c r="H24" s="128">
        <f t="shared" si="2"/>
        <v>0</v>
      </c>
      <c r="I24" s="130">
        <f t="shared" si="8"/>
        <v>40.458744823192099</v>
      </c>
      <c r="J24" s="130">
        <f t="shared" si="5"/>
        <v>106.68</v>
      </c>
      <c r="K24" s="128">
        <f t="shared" si="3"/>
        <v>106.67999999999999</v>
      </c>
      <c r="L24" s="119"/>
      <c r="N24" s="117"/>
      <c r="R24" s="160"/>
      <c r="T24" s="161"/>
      <c r="U24" s="153"/>
      <c r="V24" s="153"/>
      <c r="X24" s="153"/>
      <c r="Y24" s="153"/>
      <c r="Z24" s="153"/>
    </row>
    <row r="25" spans="2:28">
      <c r="B25" s="135">
        <f t="shared" si="0"/>
        <v>2031</v>
      </c>
      <c r="C25" s="136"/>
      <c r="D25" s="128">
        <f t="shared" si="6"/>
        <v>73.41</v>
      </c>
      <c r="E25" s="128">
        <f t="shared" si="1"/>
        <v>32.700000000000003</v>
      </c>
      <c r="F25" s="128">
        <f t="shared" si="7"/>
        <v>3.03</v>
      </c>
      <c r="G25" s="130">
        <f t="shared" si="4"/>
        <v>41.391708005279213</v>
      </c>
      <c r="H25" s="128">
        <f t="shared" si="2"/>
        <v>0</v>
      </c>
      <c r="I25" s="130">
        <f t="shared" si="8"/>
        <v>41.391708005279213</v>
      </c>
      <c r="J25" s="130">
        <f t="shared" si="5"/>
        <v>109.14</v>
      </c>
      <c r="K25" s="128">
        <f t="shared" si="3"/>
        <v>109.14</v>
      </c>
      <c r="L25" s="119"/>
      <c r="N25" s="117"/>
      <c r="R25" s="160"/>
      <c r="T25" s="161"/>
      <c r="U25" s="153"/>
      <c r="V25" s="153"/>
      <c r="X25" s="153"/>
      <c r="Y25" s="153"/>
      <c r="Z25" s="153"/>
    </row>
    <row r="26" spans="2:28">
      <c r="B26" s="135">
        <f t="shared" si="0"/>
        <v>2032</v>
      </c>
      <c r="C26" s="136"/>
      <c r="D26" s="128">
        <f t="shared" si="6"/>
        <v>75.099999999999994</v>
      </c>
      <c r="E26" s="128">
        <f t="shared" si="1"/>
        <v>33.450000000000003</v>
      </c>
      <c r="F26" s="128">
        <f t="shared" si="7"/>
        <v>3.1</v>
      </c>
      <c r="G26" s="130">
        <f t="shared" si="4"/>
        <v>42.343633853668898</v>
      </c>
      <c r="H26" s="128">
        <f t="shared" si="2"/>
        <v>0</v>
      </c>
      <c r="I26" s="130">
        <f t="shared" si="8"/>
        <v>42.343633853668898</v>
      </c>
      <c r="J26" s="130">
        <f t="shared" si="5"/>
        <v>111.65</v>
      </c>
      <c r="K26" s="128">
        <f t="shared" si="3"/>
        <v>111.64999999999999</v>
      </c>
      <c r="L26" s="119"/>
      <c r="N26" s="117"/>
      <c r="R26" s="160"/>
      <c r="T26" s="161"/>
      <c r="U26" s="153"/>
      <c r="V26" s="153"/>
      <c r="X26" s="153"/>
      <c r="Y26" s="153"/>
      <c r="Z26" s="153"/>
    </row>
    <row r="27" spans="2:28">
      <c r="B27" s="135">
        <f t="shared" si="0"/>
        <v>2033</v>
      </c>
      <c r="C27" s="136"/>
      <c r="D27" s="128">
        <f t="shared" si="6"/>
        <v>76.83</v>
      </c>
      <c r="E27" s="128">
        <f t="shared" si="1"/>
        <v>34.22</v>
      </c>
      <c r="F27" s="128">
        <f t="shared" si="7"/>
        <v>3.17</v>
      </c>
      <c r="G27" s="130">
        <f t="shared" si="4"/>
        <v>43.31831490162169</v>
      </c>
      <c r="H27" s="128">
        <f t="shared" si="2"/>
        <v>0</v>
      </c>
      <c r="I27" s="130">
        <f t="shared" si="8"/>
        <v>43.31831490162169</v>
      </c>
      <c r="J27" s="130">
        <f t="shared" si="5"/>
        <v>114.22</v>
      </c>
      <c r="K27" s="128">
        <f t="shared" si="3"/>
        <v>114.22</v>
      </c>
      <c r="L27" s="119"/>
      <c r="N27" s="117"/>
      <c r="R27" s="160"/>
      <c r="T27" s="161"/>
      <c r="U27" s="153"/>
      <c r="V27" s="153"/>
      <c r="X27" s="153"/>
      <c r="Y27" s="153"/>
      <c r="Z27" s="153"/>
    </row>
    <row r="28" spans="2:28">
      <c r="B28" s="135">
        <f t="shared" si="0"/>
        <v>2034</v>
      </c>
      <c r="C28" s="136"/>
      <c r="D28" s="128">
        <f t="shared" si="6"/>
        <v>78.599999999999994</v>
      </c>
      <c r="E28" s="128">
        <f t="shared" si="1"/>
        <v>35.01</v>
      </c>
      <c r="F28" s="128">
        <f t="shared" si="7"/>
        <v>3.24</v>
      </c>
      <c r="G28" s="130">
        <f t="shared" si="4"/>
        <v>44.315751149137576</v>
      </c>
      <c r="H28" s="128">
        <f t="shared" si="2"/>
        <v>0</v>
      </c>
      <c r="I28" s="130">
        <f t="shared" si="8"/>
        <v>44.315751149137576</v>
      </c>
      <c r="J28" s="130">
        <f t="shared" si="5"/>
        <v>116.85</v>
      </c>
      <c r="K28" s="128">
        <f t="shared" si="3"/>
        <v>116.84999999999998</v>
      </c>
      <c r="L28" s="119"/>
      <c r="N28" s="117"/>
      <c r="R28" s="160"/>
      <c r="T28" s="161"/>
      <c r="U28" s="153"/>
      <c r="V28" s="153"/>
      <c r="X28" s="153"/>
      <c r="Y28" s="153"/>
      <c r="Z28" s="153"/>
    </row>
    <row r="29" spans="2:28">
      <c r="B29" s="135">
        <f t="shared" si="0"/>
        <v>2035</v>
      </c>
      <c r="C29" s="136"/>
      <c r="D29" s="128">
        <f t="shared" si="6"/>
        <v>80.41</v>
      </c>
      <c r="E29" s="128">
        <f t="shared" si="1"/>
        <v>35.82</v>
      </c>
      <c r="F29" s="128">
        <f t="shared" si="7"/>
        <v>3.31</v>
      </c>
      <c r="G29" s="130">
        <f t="shared" si="4"/>
        <v>45.335942596216569</v>
      </c>
      <c r="H29" s="128">
        <f t="shared" si="2"/>
        <v>0</v>
      </c>
      <c r="I29" s="130">
        <f t="shared" si="8"/>
        <v>45.335942596216569</v>
      </c>
      <c r="J29" s="130">
        <f t="shared" si="5"/>
        <v>119.54</v>
      </c>
      <c r="K29" s="128">
        <f t="shared" si="3"/>
        <v>119.53999999999999</v>
      </c>
      <c r="L29" s="119"/>
      <c r="N29" s="117"/>
      <c r="R29" s="160"/>
      <c r="T29" s="161"/>
      <c r="U29" s="153"/>
      <c r="V29" s="153"/>
      <c r="X29" s="153"/>
      <c r="Y29" s="153"/>
      <c r="Z29" s="153"/>
    </row>
    <row r="30" spans="2:28">
      <c r="B30" s="135">
        <f t="shared" si="0"/>
        <v>2036</v>
      </c>
      <c r="C30" s="136"/>
      <c r="D30" s="128">
        <f t="shared" si="6"/>
        <v>82.26</v>
      </c>
      <c r="E30" s="128">
        <f t="shared" si="1"/>
        <v>36.64</v>
      </c>
      <c r="F30" s="128">
        <f t="shared" si="7"/>
        <v>3.39</v>
      </c>
      <c r="G30" s="130">
        <f t="shared" si="4"/>
        <v>46.378889242858669</v>
      </c>
      <c r="H30" s="128">
        <f t="shared" si="2"/>
        <v>0</v>
      </c>
      <c r="I30" s="130">
        <f t="shared" si="8"/>
        <v>46.378889242858669</v>
      </c>
      <c r="J30" s="130">
        <f t="shared" si="5"/>
        <v>122.29</v>
      </c>
      <c r="K30" s="128">
        <f t="shared" si="3"/>
        <v>122.29</v>
      </c>
      <c r="L30" s="119"/>
      <c r="N30" s="117"/>
      <c r="R30" s="160"/>
      <c r="T30" s="161"/>
      <c r="U30" s="153"/>
      <c r="V30" s="153"/>
      <c r="X30" s="153"/>
      <c r="Y30" s="153"/>
      <c r="Z30" s="153"/>
    </row>
    <row r="31" spans="2:28">
      <c r="B31" s="135">
        <f t="shared" si="0"/>
        <v>2037</v>
      </c>
      <c r="C31" s="136"/>
      <c r="D31" s="128">
        <f t="shared" si="6"/>
        <v>84.15</v>
      </c>
      <c r="E31" s="128">
        <f t="shared" si="1"/>
        <v>37.479999999999997</v>
      </c>
      <c r="F31" s="128">
        <f t="shared" si="7"/>
        <v>3.47</v>
      </c>
      <c r="G31" s="130">
        <f t="shared" si="4"/>
        <v>47.444591089063856</v>
      </c>
      <c r="H31" s="128">
        <f t="shared" si="2"/>
        <v>0</v>
      </c>
      <c r="I31" s="130">
        <f t="shared" si="8"/>
        <v>47.444591089063856</v>
      </c>
      <c r="J31" s="130">
        <f t="shared" si="5"/>
        <v>125.1</v>
      </c>
      <c r="K31" s="128">
        <f t="shared" si="3"/>
        <v>125.1</v>
      </c>
      <c r="L31" s="119"/>
      <c r="N31" s="117"/>
      <c r="R31" s="160"/>
      <c r="T31" s="161"/>
      <c r="U31" s="153"/>
      <c r="V31" s="153"/>
      <c r="X31" s="153"/>
      <c r="Y31" s="153"/>
      <c r="Z31" s="153"/>
    </row>
    <row r="32" spans="2:28">
      <c r="B32" s="135">
        <f t="shared" si="0"/>
        <v>2038</v>
      </c>
      <c r="C32" s="136"/>
      <c r="D32" s="128">
        <f t="shared" si="6"/>
        <v>86.09</v>
      </c>
      <c r="E32" s="128">
        <f t="shared" si="1"/>
        <v>38.340000000000003</v>
      </c>
      <c r="F32" s="128">
        <f t="shared" si="7"/>
        <v>3.55</v>
      </c>
      <c r="G32" s="130">
        <f t="shared" si="4"/>
        <v>48.536840668092665</v>
      </c>
      <c r="H32" s="128">
        <f t="shared" si="2"/>
        <v>0</v>
      </c>
      <c r="I32" s="130">
        <f t="shared" si="8"/>
        <v>48.536840668092665</v>
      </c>
      <c r="J32" s="130">
        <f t="shared" si="5"/>
        <v>127.98</v>
      </c>
      <c r="K32" s="128">
        <f t="shared" si="3"/>
        <v>127.98</v>
      </c>
      <c r="L32" s="119"/>
      <c r="N32" s="117"/>
      <c r="R32" s="160"/>
      <c r="T32" s="161"/>
      <c r="U32" s="153"/>
      <c r="V32" s="153"/>
      <c r="X32" s="153"/>
      <c r="Y32" s="153"/>
      <c r="Z32" s="153"/>
    </row>
    <row r="33" spans="2:26">
      <c r="B33" s="135">
        <f t="shared" si="0"/>
        <v>2039</v>
      </c>
      <c r="C33" s="136"/>
      <c r="D33" s="128">
        <f t="shared" si="6"/>
        <v>88.07</v>
      </c>
      <c r="E33" s="128">
        <f t="shared" si="1"/>
        <v>39.22</v>
      </c>
      <c r="F33" s="128">
        <f t="shared" si="7"/>
        <v>3.63</v>
      </c>
      <c r="G33" s="130">
        <f t="shared" si="4"/>
        <v>49.651845446684568</v>
      </c>
      <c r="H33" s="128">
        <f t="shared" si="2"/>
        <v>0</v>
      </c>
      <c r="I33" s="130">
        <f t="shared" si="8"/>
        <v>49.651845446684568</v>
      </c>
      <c r="J33" s="130">
        <f t="shared" si="5"/>
        <v>130.91999999999999</v>
      </c>
      <c r="K33" s="128">
        <f t="shared" si="3"/>
        <v>130.91999999999999</v>
      </c>
      <c r="L33" s="119"/>
      <c r="N33" s="117"/>
      <c r="R33" s="160"/>
      <c r="T33" s="161"/>
      <c r="U33" s="153"/>
      <c r="V33" s="153"/>
      <c r="X33" s="153"/>
      <c r="Y33" s="153"/>
      <c r="Z33" s="153"/>
    </row>
    <row r="34" spans="2:26">
      <c r="B34" s="135">
        <f t="shared" si="0"/>
        <v>2040</v>
      </c>
      <c r="C34" s="136"/>
      <c r="D34" s="128">
        <f t="shared" si="6"/>
        <v>90.1</v>
      </c>
      <c r="E34" s="128">
        <f t="shared" si="1"/>
        <v>40.119999999999997</v>
      </c>
      <c r="F34" s="128">
        <f t="shared" si="7"/>
        <v>3.71</v>
      </c>
      <c r="G34" s="130">
        <f t="shared" si="4"/>
        <v>50.793397958100101</v>
      </c>
      <c r="H34" s="128">
        <f t="shared" si="2"/>
        <v>0</v>
      </c>
      <c r="I34" s="130">
        <f t="shared" si="8"/>
        <v>50.793397958100101</v>
      </c>
      <c r="J34" s="130">
        <f t="shared" si="5"/>
        <v>133.93</v>
      </c>
      <c r="K34" s="128">
        <f t="shared" si="3"/>
        <v>133.93</v>
      </c>
      <c r="L34" s="119"/>
      <c r="N34" s="117"/>
      <c r="R34" s="160"/>
      <c r="T34" s="161"/>
      <c r="U34" s="153"/>
      <c r="V34" s="153"/>
      <c r="X34" s="153"/>
      <c r="Y34" s="153"/>
      <c r="Z34" s="153"/>
    </row>
    <row r="35" spans="2:26">
      <c r="B35" s="135">
        <f t="shared" si="0"/>
        <v>2041</v>
      </c>
      <c r="C35" s="136"/>
      <c r="D35" s="128">
        <f t="shared" si="6"/>
        <v>92.08</v>
      </c>
      <c r="E35" s="128">
        <f t="shared" si="1"/>
        <v>41</v>
      </c>
      <c r="F35" s="128">
        <f t="shared" si="7"/>
        <v>3.79</v>
      </c>
      <c r="G35" s="130">
        <f t="shared" si="4"/>
        <v>51.908402736691997</v>
      </c>
      <c r="H35" s="128">
        <f t="shared" si="2"/>
        <v>0</v>
      </c>
      <c r="I35" s="130">
        <f t="shared" si="8"/>
        <v>51.908402736691997</v>
      </c>
      <c r="J35" s="130">
        <f t="shared" si="5"/>
        <v>136.87</v>
      </c>
      <c r="K35" s="128">
        <f t="shared" si="3"/>
        <v>136.86999999999998</v>
      </c>
      <c r="L35" s="119"/>
      <c r="N35" s="117"/>
      <c r="R35" s="160"/>
      <c r="T35" s="161"/>
      <c r="U35" s="153"/>
      <c r="V35" s="153"/>
      <c r="X35" s="153"/>
      <c r="Y35" s="153"/>
      <c r="Z35" s="153"/>
    </row>
    <row r="36" spans="2:26">
      <c r="B36" s="135">
        <f t="shared" si="0"/>
        <v>2042</v>
      </c>
      <c r="C36" s="136"/>
      <c r="D36" s="128">
        <f t="shared" si="6"/>
        <v>94.11</v>
      </c>
      <c r="E36" s="128">
        <f t="shared" si="1"/>
        <v>41.9</v>
      </c>
      <c r="F36" s="128">
        <f t="shared" si="7"/>
        <v>3.87</v>
      </c>
      <c r="G36" s="130">
        <f t="shared" si="4"/>
        <v>53.04995524810753</v>
      </c>
      <c r="H36" s="128">
        <f t="shared" si="2"/>
        <v>0</v>
      </c>
      <c r="I36" s="130">
        <f t="shared" si="8"/>
        <v>53.04995524810753</v>
      </c>
      <c r="J36" s="130">
        <f t="shared" si="5"/>
        <v>139.88</v>
      </c>
      <c r="K36" s="128">
        <f t="shared" si="3"/>
        <v>139.88</v>
      </c>
      <c r="L36" s="119"/>
      <c r="N36" s="117"/>
      <c r="R36" s="160"/>
      <c r="T36" s="161"/>
      <c r="U36" s="153"/>
      <c r="V36" s="153"/>
      <c r="X36" s="153"/>
      <c r="Y36" s="153"/>
      <c r="Z36" s="153"/>
    </row>
    <row r="37" spans="2:26">
      <c r="B37" s="135">
        <f t="shared" si="0"/>
        <v>2043</v>
      </c>
      <c r="C37" s="136"/>
      <c r="D37" s="128">
        <f t="shared" si="6"/>
        <v>96.27</v>
      </c>
      <c r="E37" s="128">
        <f t="shared" si="1"/>
        <v>42.86</v>
      </c>
      <c r="F37" s="128">
        <f t="shared" si="7"/>
        <v>3.96</v>
      </c>
      <c r="G37" s="130">
        <f t="shared" si="4"/>
        <v>54.267358424733388</v>
      </c>
      <c r="H37" s="128">
        <f t="shared" si="2"/>
        <v>0</v>
      </c>
      <c r="I37" s="130">
        <f t="shared" si="8"/>
        <v>54.267358424733388</v>
      </c>
      <c r="J37" s="130">
        <f t="shared" si="5"/>
        <v>143.09</v>
      </c>
      <c r="K37" s="128">
        <f t="shared" si="3"/>
        <v>143.09</v>
      </c>
      <c r="L37" s="119"/>
      <c r="N37" s="117"/>
      <c r="R37" s="160"/>
      <c r="T37" s="161"/>
      <c r="U37" s="153"/>
      <c r="V37" s="153"/>
      <c r="X37" s="153"/>
      <c r="Y37" s="153"/>
      <c r="Z37" s="153"/>
    </row>
    <row r="38" spans="2:26">
      <c r="B38" s="135">
        <f t="shared" si="0"/>
        <v>2044</v>
      </c>
      <c r="C38" s="136"/>
      <c r="D38" s="128">
        <f t="shared" ref="D38:D40" si="9">ROUND(D37*(1+(IFERROR(INDEX($D$69:$D$77,MATCH($B38,$C$69:$C$77,0),1),0)+IFERROR(INDEX($G$69:$G$77,MATCH($B38,$F$69:$F$77,0),1),0)+IFERROR(INDEX($J$69:$J$77,MATCH($B38,$I$69:$I$77,0),1),0))),2)</f>
        <v>96.27</v>
      </c>
      <c r="E38" s="128">
        <f t="shared" ref="E38:E40" si="10">ROUND(E37*(1+(IFERROR(INDEX($D$69:$D$77,MATCH($B38,$C$69:$C$77,0),1),0)+IFERROR(INDEX($G$69:$G$77,MATCH($B38,$F$69:$F$77,0),1),0)+IFERROR(INDEX($J$69:$J$77,MATCH($B38,$I$69:$I$77,0),1),0))),2)</f>
        <v>42.86</v>
      </c>
      <c r="F38" s="128">
        <f t="shared" ref="F38:F40" si="11">ROUND(F37*(1+(IFERROR(INDEX($D$69:$D$77,MATCH($B38,$C$69:$C$77,0),1),0)+IFERROR(INDEX($G$69:$G$77,MATCH($B38,$F$69:$F$77,0),1),0)+IFERROR(INDEX($J$69:$J$77,MATCH($B38,$I$69:$I$77,0),1),0))),2)</f>
        <v>3.96</v>
      </c>
      <c r="G38" s="130">
        <f t="shared" ref="G38:G40" si="12">(D38+E38+F38)/(8.76*$C$66)</f>
        <v>54.267358424733388</v>
      </c>
      <c r="H38" s="128">
        <f t="shared" ref="H38:H40" si="13">ROUND(H37*(1+(IFERROR(INDEX($D$69:$D$77,MATCH($B38,$C$69:$C$77,0),1),0)+IFERROR(INDEX($G$69:$G$77,MATCH($B38,$F$69:$F$77,0),1),0)+IFERROR(INDEX($J$69:$J$77,MATCH($B38,$I$69:$I$77,0),1),0))),2)</f>
        <v>0</v>
      </c>
      <c r="I38" s="130">
        <f t="shared" ref="I38:I40" si="14">(G38+H38)</f>
        <v>54.267358424733388</v>
      </c>
      <c r="J38" s="130">
        <f t="shared" ref="J38:J41" si="15">ROUND(I38*$C$66*8.76,2)</f>
        <v>143.09</v>
      </c>
      <c r="K38" s="128">
        <f t="shared" ref="K38:K40" si="16">(D38+E38+F38)</f>
        <v>143.09</v>
      </c>
      <c r="L38" s="119"/>
      <c r="N38" s="117"/>
      <c r="R38" s="160"/>
      <c r="T38" s="161"/>
      <c r="U38" s="153"/>
      <c r="V38" s="153"/>
      <c r="X38" s="153"/>
      <c r="Y38" s="153"/>
      <c r="Z38" s="153"/>
    </row>
    <row r="39" spans="2:26">
      <c r="B39" s="135">
        <f t="shared" si="0"/>
        <v>2045</v>
      </c>
      <c r="C39" s="136"/>
      <c r="D39" s="128">
        <f t="shared" si="9"/>
        <v>96.27</v>
      </c>
      <c r="E39" s="128">
        <f t="shared" si="10"/>
        <v>42.86</v>
      </c>
      <c r="F39" s="128">
        <f t="shared" si="11"/>
        <v>3.96</v>
      </c>
      <c r="G39" s="130">
        <f t="shared" si="12"/>
        <v>54.267358424733388</v>
      </c>
      <c r="H39" s="128">
        <f t="shared" si="13"/>
        <v>0</v>
      </c>
      <c r="I39" s="130">
        <f t="shared" si="14"/>
        <v>54.267358424733388</v>
      </c>
      <c r="J39" s="130">
        <f t="shared" si="15"/>
        <v>143.09</v>
      </c>
      <c r="K39" s="128">
        <f t="shared" si="16"/>
        <v>143.09</v>
      </c>
      <c r="L39" s="119"/>
      <c r="N39" s="117"/>
      <c r="R39" s="160"/>
      <c r="T39" s="161"/>
      <c r="U39" s="153"/>
      <c r="V39" s="153"/>
      <c r="X39" s="153"/>
      <c r="Y39" s="153"/>
      <c r="Z39" s="153"/>
    </row>
    <row r="40" spans="2:26">
      <c r="B40" s="135">
        <f t="shared" si="0"/>
        <v>2046</v>
      </c>
      <c r="C40" s="136"/>
      <c r="D40" s="128">
        <f t="shared" si="9"/>
        <v>96.27</v>
      </c>
      <c r="E40" s="128">
        <f t="shared" si="10"/>
        <v>42.86</v>
      </c>
      <c r="F40" s="128">
        <f t="shared" si="11"/>
        <v>3.96</v>
      </c>
      <c r="G40" s="130">
        <f t="shared" si="12"/>
        <v>54.267358424733388</v>
      </c>
      <c r="H40" s="128">
        <f t="shared" si="13"/>
        <v>0</v>
      </c>
      <c r="I40" s="130">
        <f t="shared" si="14"/>
        <v>54.267358424733388</v>
      </c>
      <c r="J40" s="130">
        <f t="shared" si="15"/>
        <v>143.09</v>
      </c>
      <c r="K40" s="128">
        <f t="shared" si="16"/>
        <v>143.09</v>
      </c>
      <c r="L40" s="119"/>
      <c r="N40" s="117"/>
      <c r="R40" s="160"/>
      <c r="T40" s="161"/>
      <c r="U40" s="153"/>
      <c r="V40" s="153"/>
      <c r="X40" s="153"/>
      <c r="Y40" s="153"/>
      <c r="Z40" s="153"/>
    </row>
    <row r="41" spans="2:26">
      <c r="B41" s="135">
        <f t="shared" si="0"/>
        <v>2047</v>
      </c>
      <c r="C41" s="136"/>
      <c r="D41" s="128">
        <f t="shared" ref="D41" si="17">ROUND(D40*(1+(IFERROR(INDEX($D$69:$D$77,MATCH($B41,$C$69:$C$77,0),1),0)+IFERROR(INDEX($G$69:$G$77,MATCH($B41,$F$69:$F$77,0),1),0)+IFERROR(INDEX($J$69:$J$77,MATCH($B41,$I$69:$I$77,0),1),0))),2)</f>
        <v>96.27</v>
      </c>
      <c r="E41" s="128">
        <f t="shared" ref="E41" si="18">ROUND(E40*(1+(IFERROR(INDEX($D$69:$D$77,MATCH($B41,$C$69:$C$77,0),1),0)+IFERROR(INDEX($G$69:$G$77,MATCH($B41,$F$69:$F$77,0),1),0)+IFERROR(INDEX($J$69:$J$77,MATCH($B41,$I$69:$I$77,0),1),0))),2)</f>
        <v>42.86</v>
      </c>
      <c r="F41" s="128">
        <f t="shared" ref="F41" si="19">ROUND(F40*(1+(IFERROR(INDEX($D$69:$D$77,MATCH($B41,$C$69:$C$77,0),1),0)+IFERROR(INDEX($G$69:$G$77,MATCH($B41,$F$69:$F$77,0),1),0)+IFERROR(INDEX($J$69:$J$77,MATCH($B41,$I$69:$I$77,0),1),0))),2)</f>
        <v>3.96</v>
      </c>
      <c r="G41" s="130">
        <f t="shared" ref="G41" si="20">(D41+E41+F41)/(8.76*$C$66)</f>
        <v>54.267358424733388</v>
      </c>
      <c r="H41" s="128">
        <f t="shared" ref="H41" si="21">ROUND(H40*(1+(IFERROR(INDEX($D$69:$D$77,MATCH($B41,$C$69:$C$77,0),1),0)+IFERROR(INDEX($G$69:$G$77,MATCH($B41,$F$69:$F$77,0),1),0)+IFERROR(INDEX($J$69:$J$77,MATCH($B41,$I$69:$I$77,0),1),0))),2)</f>
        <v>0</v>
      </c>
      <c r="I41" s="130">
        <f t="shared" ref="I41" si="22">(G41+H41)</f>
        <v>54.267358424733388</v>
      </c>
      <c r="J41" s="130">
        <f t="shared" si="15"/>
        <v>143.09</v>
      </c>
      <c r="K41" s="128">
        <f t="shared" ref="K41" si="23">(D41+E41+F41)</f>
        <v>143.09</v>
      </c>
      <c r="L41" s="119"/>
      <c r="N41" s="117"/>
      <c r="R41" s="160"/>
      <c r="T41" s="161"/>
      <c r="U41" s="153"/>
      <c r="V41" s="153"/>
      <c r="X41" s="153"/>
      <c r="Y41" s="153"/>
      <c r="Z41" s="153"/>
    </row>
    <row r="42" spans="2:26">
      <c r="B42" s="126"/>
      <c r="C42" s="131"/>
      <c r="D42" s="128"/>
      <c r="E42" s="128"/>
      <c r="F42" s="129"/>
      <c r="G42" s="128"/>
      <c r="H42" s="128"/>
      <c r="I42" s="130"/>
      <c r="J42" s="130"/>
      <c r="K42" s="137"/>
      <c r="R42" s="119"/>
    </row>
    <row r="43" spans="2:26">
      <c r="B43" s="126"/>
      <c r="C43" s="131"/>
      <c r="D43" s="128"/>
      <c r="E43" s="128"/>
      <c r="F43" s="129"/>
      <c r="G43" s="128"/>
      <c r="H43" s="128"/>
      <c r="I43" s="130"/>
      <c r="J43" s="130"/>
      <c r="K43" s="137"/>
      <c r="R43" s="119"/>
    </row>
    <row r="44" spans="2:26">
      <c r="R44" s="119"/>
    </row>
    <row r="45" spans="2:26" ht="14.25">
      <c r="B45" s="138" t="s">
        <v>25</v>
      </c>
      <c r="C45" s="139"/>
      <c r="D45" s="139"/>
      <c r="E45" s="139"/>
      <c r="F45" s="139"/>
      <c r="G45" s="139"/>
      <c r="H45" s="139"/>
      <c r="R45" s="119"/>
    </row>
    <row r="47" spans="2:26">
      <c r="B47" s="117" t="s">
        <v>62</v>
      </c>
      <c r="C47" s="140" t="s">
        <v>63</v>
      </c>
      <c r="D47" s="141" t="s">
        <v>101</v>
      </c>
    </row>
    <row r="48" spans="2:26">
      <c r="C48" s="140" t="str">
        <f>C7</f>
        <v>(a)</v>
      </c>
      <c r="D48" s="117" t="s">
        <v>64</v>
      </c>
    </row>
    <row r="49" spans="2:25">
      <c r="C49" s="140" t="str">
        <f>D7</f>
        <v>(b)</v>
      </c>
      <c r="D49" s="130" t="str">
        <f>"= "&amp;C7&amp;" x "&amp;C65</f>
        <v>= (a) x 0.05085</v>
      </c>
    </row>
    <row r="50" spans="2:25">
      <c r="C50" s="140" t="str">
        <f>G7</f>
        <v>(e)</v>
      </c>
      <c r="D50" s="130" t="str">
        <f>"= ("&amp;$D$7&amp;" + "&amp;$E$7&amp;") /  (8.76 x "&amp;TEXT(C66,"0.0%")&amp;")"</f>
        <v>= ((b) + (c)) /  (8.76 x 30.1%)</v>
      </c>
    </row>
    <row r="51" spans="2:25">
      <c r="C51" s="140" t="str">
        <f>I7</f>
        <v>(g)</v>
      </c>
      <c r="D51" s="130" t="str">
        <f>"= "&amp;$G$7&amp;" + "&amp;$H$7</f>
        <v>= (e) + (f)</v>
      </c>
    </row>
    <row r="52" spans="2:25">
      <c r="C52" s="140" t="str">
        <f>K7</f>
        <v>(i)</v>
      </c>
      <c r="D52" s="85" t="str">
        <f>D47</f>
        <v>Plant Costs  - 2019 IRP Update - Table 6.1 &amp; 6.2</v>
      </c>
    </row>
    <row r="53" spans="2:25">
      <c r="C53" s="140"/>
      <c r="D53" s="130"/>
    </row>
    <row r="54" spans="2:25" ht="13.5" thickBot="1"/>
    <row r="55" spans="2:25" ht="13.5" thickBot="1">
      <c r="C55" s="42" t="str">
        <f>B2&amp;" - "&amp;B3</f>
        <v>2019 IRP Utah North Solar with Storage - 30% Capacity Factor</v>
      </c>
      <c r="D55" s="142"/>
      <c r="E55" s="142"/>
      <c r="F55" s="142"/>
      <c r="G55" s="142"/>
      <c r="H55" s="142"/>
      <c r="I55" s="143"/>
      <c r="J55" s="143"/>
      <c r="K55" s="144"/>
    </row>
    <row r="56" spans="2:25" ht="13.5" thickBot="1">
      <c r="C56" s="145" t="s">
        <v>65</v>
      </c>
      <c r="D56" s="146" t="s">
        <v>66</v>
      </c>
      <c r="E56" s="146"/>
      <c r="F56" s="146"/>
      <c r="G56" s="146"/>
      <c r="H56" s="146"/>
      <c r="I56" s="143"/>
      <c r="J56" s="143"/>
      <c r="K56" s="144"/>
    </row>
    <row r="57" spans="2:25">
      <c r="P57" s="117" t="s">
        <v>102</v>
      </c>
      <c r="Q57" s="274">
        <v>2024</v>
      </c>
    </row>
    <row r="58" spans="2:25">
      <c r="B58" s="85" t="s">
        <v>100</v>
      </c>
      <c r="C58" s="170">
        <v>1608.8221683005897</v>
      </c>
      <c r="D58" s="117" t="s">
        <v>64</v>
      </c>
      <c r="O58" s="282">
        <v>342.2</v>
      </c>
      <c r="P58" s="117" t="s">
        <v>32</v>
      </c>
      <c r="Q58" s="274" t="s">
        <v>141</v>
      </c>
      <c r="R58" s="274" t="s">
        <v>107</v>
      </c>
      <c r="T58" s="274" t="str">
        <f>$Q$58&amp;"Proposed Station Capital Costs"</f>
        <v>L1.UN1_PVSProposed Station Capital Costs</v>
      </c>
    </row>
    <row r="59" spans="2:25">
      <c r="B59" s="85" t="s">
        <v>100</v>
      </c>
      <c r="C59" s="268">
        <v>24.570618817436728</v>
      </c>
      <c r="D59" s="117" t="s">
        <v>67</v>
      </c>
      <c r="R59" s="119"/>
      <c r="T59" s="274" t="str">
        <f>$Q$58&amp;"Proposed Station Fixed Costs"</f>
        <v>L1.UN1_PVSProposed Station Fixed Costs</v>
      </c>
    </row>
    <row r="60" spans="2:25" ht="24" customHeight="1">
      <c r="B60" s="85"/>
      <c r="C60" s="270"/>
      <c r="D60" s="117" t="s">
        <v>104</v>
      </c>
      <c r="Q60" s="346" t="str">
        <f>Q58&amp;Q57</f>
        <v>L1.UN1_PVS2024</v>
      </c>
      <c r="T60" s="274" t="str">
        <f>$Q$58&amp;"Proposed Station Variable O&amp;M Costs"</f>
        <v>L1.UN1_PVSProposed Station Variable O&amp;M Costs</v>
      </c>
    </row>
    <row r="61" spans="2:25">
      <c r="B61" s="85" t="s">
        <v>100</v>
      </c>
      <c r="C61" s="268">
        <v>0</v>
      </c>
      <c r="D61" s="117" t="s">
        <v>68</v>
      </c>
      <c r="K61" s="119"/>
      <c r="L61" s="149"/>
      <c r="M61" s="52"/>
      <c r="N61" s="163"/>
      <c r="O61" s="52"/>
      <c r="P61" s="52"/>
      <c r="Q61" s="119" t="s">
        <v>234</v>
      </c>
      <c r="R61" s="119"/>
      <c r="T61" s="119"/>
      <c r="U61" s="119"/>
      <c r="V61" s="119"/>
      <c r="W61" s="119"/>
      <c r="X61" s="119"/>
      <c r="Y61" s="119"/>
    </row>
    <row r="62" spans="2:25">
      <c r="B62" s="85"/>
      <c r="C62" s="158"/>
      <c r="D62" s="117" t="s">
        <v>69</v>
      </c>
      <c r="I62" s="196" t="s">
        <v>90</v>
      </c>
      <c r="L62" s="151"/>
      <c r="M62" s="152"/>
      <c r="O62" s="150"/>
      <c r="P62" s="119"/>
      <c r="Q62" s="119"/>
      <c r="R62" s="119"/>
      <c r="T62" s="119"/>
      <c r="U62" s="119"/>
      <c r="V62" s="119"/>
      <c r="W62" s="119"/>
      <c r="X62" s="119"/>
      <c r="Y62" s="119"/>
    </row>
    <row r="63" spans="2:25">
      <c r="B63" s="369" t="str">
        <f>LEFT(RIGHT(INDEX('Table 3 TransCost'!$39:$39,1,MATCH(F63,'Table 3 TransCost'!$4:$4,0)),6),5)</f>
        <v>2024$</v>
      </c>
      <c r="C63" s="270">
        <f>INDEX('Table 3 TransCost'!$39:$39,1,MATCH(F63,'Table 3 TransCost'!$4:$4,0)+2)</f>
        <v>2.5818101631996475</v>
      </c>
      <c r="D63" s="117" t="s">
        <v>217</v>
      </c>
      <c r="F63" s="274" t="s">
        <v>181</v>
      </c>
      <c r="K63" s="151"/>
      <c r="L63" s="151"/>
      <c r="M63" s="151"/>
      <c r="N63" s="164"/>
      <c r="O63" s="150"/>
      <c r="P63" s="119"/>
      <c r="Q63" s="119"/>
      <c r="R63" s="119"/>
      <c r="T63" s="119"/>
      <c r="U63" s="119"/>
      <c r="V63" s="119"/>
      <c r="W63" s="119"/>
      <c r="X63" s="119"/>
      <c r="Y63" s="119"/>
    </row>
    <row r="64" spans="2:25">
      <c r="B64" s="85"/>
      <c r="C64" s="199"/>
      <c r="K64" s="151"/>
      <c r="L64" s="151"/>
      <c r="M64" s="151"/>
      <c r="N64" s="164"/>
      <c r="O64" s="151"/>
      <c r="R64" s="119"/>
      <c r="T64" s="119"/>
      <c r="U64" s="119"/>
      <c r="V64" s="119"/>
      <c r="W64" s="119"/>
      <c r="X64" s="119"/>
      <c r="Y64" s="119"/>
    </row>
    <row r="65" spans="3:15">
      <c r="C65" s="269">
        <v>5.0849999999999999E-2</v>
      </c>
      <c r="D65" s="117" t="s">
        <v>36</v>
      </c>
      <c r="E65" s="117" t="s">
        <v>108</v>
      </c>
      <c r="K65" s="155"/>
      <c r="L65" s="156"/>
      <c r="M65" s="156"/>
      <c r="O65" s="157"/>
    </row>
    <row r="66" spans="3:15">
      <c r="C66" s="207">
        <v>0.30099999999999999</v>
      </c>
      <c r="D66" s="117" t="s">
        <v>37</v>
      </c>
    </row>
    <row r="67" spans="3:15" ht="13.5" thickBot="1">
      <c r="D67" s="154"/>
    </row>
    <row r="68" spans="3:15" ht="13.5" thickBot="1">
      <c r="C68" s="40" t="str">
        <f>"Company Official Inflation Forecast Dated "&amp;TEXT('Table 4'!$H$5,"mmmm dd, yyyy")</f>
        <v>Company Official Inflation Forecast Dated June 30, 2021</v>
      </c>
      <c r="D68" s="142"/>
      <c r="E68" s="142"/>
      <c r="F68" s="142"/>
      <c r="G68" s="142"/>
      <c r="H68" s="142"/>
      <c r="I68" s="142"/>
      <c r="J68" s="142"/>
      <c r="K68" s="144"/>
    </row>
    <row r="69" spans="3:15">
      <c r="C69" s="87">
        <v>2017</v>
      </c>
      <c r="D69" s="41">
        <v>0.02</v>
      </c>
      <c r="E69" s="85"/>
      <c r="F69" s="87">
        <f>C77+1</f>
        <v>2026</v>
      </c>
      <c r="G69" s="41">
        <v>2.3E-2</v>
      </c>
      <c r="H69" s="41"/>
      <c r="I69" s="87">
        <f>F77+1</f>
        <v>2035</v>
      </c>
      <c r="J69" s="41">
        <v>2.3E-2</v>
      </c>
    </row>
    <row r="70" spans="3:15">
      <c r="C70" s="87">
        <f t="shared" ref="C70:C77" si="24">C69+1</f>
        <v>2018</v>
      </c>
      <c r="D70" s="41">
        <v>2.4E-2</v>
      </c>
      <c r="E70" s="85"/>
      <c r="F70" s="87">
        <f t="shared" ref="F70:F77" si="25">F69+1</f>
        <v>2027</v>
      </c>
      <c r="G70" s="41">
        <v>2.3E-2</v>
      </c>
      <c r="H70" s="41"/>
      <c r="I70" s="87">
        <f>I69+1</f>
        <v>2036</v>
      </c>
      <c r="J70" s="41">
        <v>2.3E-2</v>
      </c>
    </row>
    <row r="71" spans="3:15">
      <c r="C71" s="87">
        <f t="shared" si="24"/>
        <v>2019</v>
      </c>
      <c r="D71" s="41">
        <v>1.7999999999999999E-2</v>
      </c>
      <c r="E71" s="85"/>
      <c r="F71" s="87">
        <f t="shared" si="25"/>
        <v>2028</v>
      </c>
      <c r="G71" s="41">
        <v>2.3E-2</v>
      </c>
      <c r="H71" s="41"/>
      <c r="I71" s="87">
        <f t="shared" ref="I71:I81" si="26">I70+1</f>
        <v>2037</v>
      </c>
      <c r="J71" s="41">
        <v>2.3E-2</v>
      </c>
    </row>
    <row r="72" spans="3:15">
      <c r="C72" s="87">
        <f t="shared" si="24"/>
        <v>2020</v>
      </c>
      <c r="D72" s="41">
        <v>1.2E-2</v>
      </c>
      <c r="E72" s="85"/>
      <c r="F72" s="87">
        <f t="shared" si="25"/>
        <v>2029</v>
      </c>
      <c r="G72" s="41">
        <v>2.4E-2</v>
      </c>
      <c r="H72" s="41"/>
      <c r="I72" s="87">
        <f t="shared" si="26"/>
        <v>2038</v>
      </c>
      <c r="J72" s="41">
        <v>2.3E-2</v>
      </c>
    </row>
    <row r="73" spans="3:15">
      <c r="C73" s="87">
        <f t="shared" si="24"/>
        <v>2021</v>
      </c>
      <c r="D73" s="41">
        <v>3.2000000000000001E-2</v>
      </c>
      <c r="E73" s="85"/>
      <c r="F73" s="87">
        <f t="shared" si="25"/>
        <v>2030</v>
      </c>
      <c r="G73" s="41">
        <v>2.3E-2</v>
      </c>
      <c r="H73" s="41"/>
      <c r="I73" s="87">
        <f t="shared" si="26"/>
        <v>2039</v>
      </c>
      <c r="J73" s="41">
        <v>2.3E-2</v>
      </c>
    </row>
    <row r="74" spans="3:15">
      <c r="C74" s="87">
        <f t="shared" si="24"/>
        <v>2022</v>
      </c>
      <c r="D74" s="41">
        <v>2.1999999999999999E-2</v>
      </c>
      <c r="E74" s="85"/>
      <c r="F74" s="87">
        <f t="shared" si="25"/>
        <v>2031</v>
      </c>
      <c r="G74" s="41">
        <v>2.3E-2</v>
      </c>
      <c r="H74" s="41"/>
      <c r="I74" s="87">
        <f t="shared" si="26"/>
        <v>2040</v>
      </c>
      <c r="J74" s="41">
        <v>2.3E-2</v>
      </c>
    </row>
    <row r="75" spans="3:15" s="119" customFormat="1">
      <c r="C75" s="87">
        <f t="shared" si="24"/>
        <v>2023</v>
      </c>
      <c r="D75" s="41">
        <v>2.1000000000000001E-2</v>
      </c>
      <c r="E75" s="86"/>
      <c r="F75" s="87">
        <f t="shared" si="25"/>
        <v>2032</v>
      </c>
      <c r="G75" s="41">
        <v>2.3E-2</v>
      </c>
      <c r="H75" s="41"/>
      <c r="I75" s="87">
        <f t="shared" si="26"/>
        <v>2041</v>
      </c>
      <c r="J75" s="41">
        <v>2.1999999999999999E-2</v>
      </c>
      <c r="N75" s="164"/>
    </row>
    <row r="76" spans="3:15" s="119" customFormat="1">
      <c r="C76" s="87">
        <f t="shared" si="24"/>
        <v>2024</v>
      </c>
      <c r="D76" s="41">
        <v>2.1999999999999999E-2</v>
      </c>
      <c r="E76" s="86"/>
      <c r="F76" s="87">
        <f t="shared" si="25"/>
        <v>2033</v>
      </c>
      <c r="G76" s="41">
        <v>2.3E-2</v>
      </c>
      <c r="H76" s="41"/>
      <c r="I76" s="87">
        <f t="shared" si="26"/>
        <v>2042</v>
      </c>
      <c r="J76" s="41">
        <v>2.1999999999999999E-2</v>
      </c>
      <c r="N76" s="164"/>
    </row>
    <row r="77" spans="3:15" s="119" customFormat="1">
      <c r="C77" s="87">
        <f t="shared" si="24"/>
        <v>2025</v>
      </c>
      <c r="D77" s="41">
        <v>2.3E-2</v>
      </c>
      <c r="E77" s="86"/>
      <c r="F77" s="87">
        <f t="shared" si="25"/>
        <v>2034</v>
      </c>
      <c r="G77" s="41">
        <v>2.3E-2</v>
      </c>
      <c r="H77" s="41"/>
      <c r="I77" s="87">
        <f t="shared" si="26"/>
        <v>2043</v>
      </c>
      <c r="J77" s="41">
        <v>2.3E-2</v>
      </c>
      <c r="N77" s="164"/>
    </row>
    <row r="78" spans="3:15" s="119" customFormat="1">
      <c r="I78" s="87">
        <f t="shared" si="26"/>
        <v>2044</v>
      </c>
      <c r="J78" s="41">
        <v>2.1999999999999999E-2</v>
      </c>
      <c r="N78" s="164"/>
    </row>
    <row r="79" spans="3:15" s="119" customFormat="1">
      <c r="I79" s="87">
        <f t="shared" si="26"/>
        <v>2045</v>
      </c>
      <c r="J79" s="41">
        <v>2.3E-2</v>
      </c>
      <c r="N79" s="164"/>
    </row>
    <row r="80" spans="3:15">
      <c r="I80" s="87">
        <f t="shared" si="26"/>
        <v>2046</v>
      </c>
      <c r="J80" s="41">
        <v>2.3E-2</v>
      </c>
    </row>
    <row r="81" spans="3:10">
      <c r="I81" s="87">
        <f t="shared" si="26"/>
        <v>2047</v>
      </c>
      <c r="J81" s="41">
        <v>2.3E-2</v>
      </c>
    </row>
    <row r="82" spans="3:10">
      <c r="I82" s="87"/>
      <c r="J82" s="41"/>
    </row>
    <row r="83" spans="3:10">
      <c r="I83" s="87"/>
      <c r="J83" s="41"/>
    </row>
    <row r="84" spans="3:10">
      <c r="I84" s="87"/>
      <c r="J84" s="41"/>
    </row>
    <row r="85" spans="3:10">
      <c r="I85" s="87"/>
      <c r="J85" s="41"/>
    </row>
    <row r="96" spans="3:10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  <row r="103" spans="3:4">
      <c r="C103" s="150"/>
      <c r="D103" s="154"/>
    </row>
    <row r="104" spans="3:4">
      <c r="C104" s="150"/>
      <c r="D104" s="154"/>
    </row>
    <row r="105" spans="3:4">
      <c r="C105" s="150"/>
      <c r="D105" s="154"/>
    </row>
  </sheetData>
  <printOptions horizontalCentered="1"/>
  <pageMargins left="0.8" right="0.3" top="0.4" bottom="0.4" header="0.5" footer="0.2"/>
  <pageSetup scale="52" orientation="landscape" r:id="rId1"/>
  <headerFooter alignWithMargins="0"/>
  <rowBreaks count="1" manualBreakCount="1">
    <brk id="54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E93"/>
  <sheetViews>
    <sheetView topLeftCell="A5" zoomScale="80" zoomScaleNormal="80" workbookViewId="0">
      <selection activeCell="H38" sqref="H38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" style="85" customWidth="1"/>
    <col min="6" max="6" width="10.5" style="85" customWidth="1"/>
    <col min="7" max="7" width="10.5" style="85" bestFit="1" customWidth="1"/>
    <col min="8" max="8" width="11.6640625" style="85" bestFit="1" customWidth="1"/>
    <col min="9" max="9" width="11.1640625" style="85" customWidth="1"/>
    <col min="10" max="10" width="12" style="85" bestFit="1" customWidth="1"/>
    <col min="11" max="11" width="14.1640625" style="85" customWidth="1"/>
    <col min="12" max="12" width="14.33203125" style="85" customWidth="1"/>
    <col min="13" max="13" width="9.33203125" style="85"/>
    <col min="14" max="14" width="9.33203125" style="85" customWidth="1"/>
    <col min="15" max="20" width="11.33203125" style="85" customWidth="1"/>
    <col min="21" max="21" width="10.33203125" style="85" customWidth="1"/>
    <col min="22" max="22" width="12" style="85" customWidth="1"/>
    <col min="23" max="23" width="11.5" style="85" customWidth="1"/>
    <col min="24" max="25" width="9.33203125" style="85"/>
    <col min="26" max="26" width="13.6640625" style="85" customWidth="1"/>
    <col min="27" max="27" width="9.33203125" style="85"/>
    <col min="28" max="29" width="9.33203125" style="117"/>
    <col min="30" max="16384" width="9.33203125" style="85"/>
  </cols>
  <sheetData>
    <row r="1" spans="2:31" ht="15.75" hidden="1">
      <c r="B1" s="1" t="s">
        <v>35</v>
      </c>
      <c r="C1" s="283"/>
      <c r="D1" s="283"/>
      <c r="E1" s="283"/>
      <c r="F1" s="283"/>
      <c r="G1" s="283"/>
      <c r="H1" s="283"/>
      <c r="I1" s="283"/>
      <c r="J1" s="283"/>
      <c r="K1" s="283"/>
    </row>
    <row r="2" spans="2:31" ht="15.75">
      <c r="B2" s="1"/>
      <c r="C2" s="283"/>
      <c r="D2" s="283"/>
      <c r="E2" s="283"/>
      <c r="F2" s="283"/>
      <c r="G2" s="283"/>
      <c r="H2" s="283"/>
      <c r="I2" s="283"/>
      <c r="J2" s="283"/>
      <c r="K2" s="283"/>
    </row>
    <row r="3" spans="2:31" ht="15.75">
      <c r="B3" s="1" t="s">
        <v>56</v>
      </c>
      <c r="C3" s="283"/>
      <c r="D3" s="283"/>
      <c r="E3" s="283"/>
      <c r="F3" s="283"/>
      <c r="G3" s="283"/>
      <c r="H3" s="283"/>
      <c r="I3" s="283"/>
      <c r="J3" s="283"/>
      <c r="K3" s="283"/>
      <c r="U3" s="117"/>
      <c r="V3" s="117"/>
      <c r="W3" s="117"/>
      <c r="X3" s="117"/>
      <c r="Y3" s="117"/>
      <c r="Z3" s="117"/>
      <c r="AA3" s="117"/>
    </row>
    <row r="4" spans="2:31" ht="15.75">
      <c r="B4" s="1" t="s">
        <v>137</v>
      </c>
      <c r="C4" s="283"/>
      <c r="D4" s="283"/>
      <c r="E4" s="283"/>
      <c r="F4" s="283"/>
      <c r="G4" s="283"/>
      <c r="H4" s="283"/>
      <c r="I4" s="283"/>
      <c r="J4" s="283"/>
      <c r="K4" s="283"/>
      <c r="U4" s="117"/>
      <c r="V4" s="117"/>
      <c r="W4" s="117"/>
      <c r="X4" s="117"/>
      <c r="Y4" s="117"/>
      <c r="Z4" s="117"/>
      <c r="AA4" s="117"/>
    </row>
    <row r="5" spans="2:31" ht="15.75">
      <c r="B5" s="1" t="str">
        <f>C52</f>
        <v>Naughton - 185 MW - SCCT Frame "F" x1 - East Side Resource (6,050')</v>
      </c>
      <c r="C5" s="283"/>
      <c r="D5" s="283"/>
      <c r="E5" s="283"/>
      <c r="F5" s="283"/>
      <c r="G5" s="283"/>
      <c r="H5" s="283"/>
      <c r="I5" s="283"/>
      <c r="J5" s="283"/>
      <c r="K5" s="283"/>
    </row>
    <row r="6" spans="2:31" ht="15.75">
      <c r="B6" s="1"/>
      <c r="C6" s="283"/>
      <c r="D6" s="283"/>
      <c r="E6" s="283"/>
      <c r="F6" s="283"/>
      <c r="G6" s="283"/>
      <c r="H6" s="283"/>
      <c r="I6" s="283"/>
      <c r="K6" s="284"/>
    </row>
    <row r="7" spans="2:31">
      <c r="B7" s="285"/>
      <c r="C7" s="285"/>
      <c r="D7" s="285"/>
      <c r="E7" s="285"/>
      <c r="F7" s="285"/>
      <c r="G7" s="285"/>
      <c r="H7" s="285"/>
      <c r="I7" s="283"/>
      <c r="J7" s="86"/>
      <c r="K7" s="86"/>
      <c r="L7" s="86"/>
      <c r="M7" s="86"/>
      <c r="N7" s="86"/>
      <c r="U7" s="119"/>
      <c r="V7" s="119"/>
      <c r="W7" s="119"/>
      <c r="X7" s="119"/>
      <c r="Y7" s="119"/>
      <c r="Z7" s="119"/>
      <c r="AA7" s="119"/>
      <c r="AB7" s="119"/>
      <c r="AC7" s="119"/>
      <c r="AD7" s="86"/>
      <c r="AE7" s="86"/>
    </row>
    <row r="8" spans="2:31" ht="51.75" customHeight="1">
      <c r="B8" s="16" t="s">
        <v>0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112</v>
      </c>
      <c r="H8" s="17" t="s">
        <v>113</v>
      </c>
      <c r="I8" s="286" t="s">
        <v>21</v>
      </c>
      <c r="J8" s="286" t="s">
        <v>114</v>
      </c>
      <c r="K8" s="17" t="s">
        <v>52</v>
      </c>
      <c r="L8" s="121" t="s">
        <v>223</v>
      </c>
      <c r="U8" s="119"/>
      <c r="V8" s="119"/>
      <c r="W8" s="119"/>
      <c r="X8" s="119"/>
      <c r="Y8" s="119"/>
      <c r="Z8" s="119"/>
      <c r="AA8" s="119"/>
      <c r="AB8" s="119"/>
      <c r="AC8" s="119"/>
      <c r="AD8" s="86"/>
      <c r="AE8" s="86"/>
    </row>
    <row r="9" spans="2:31" ht="48" customHeight="1">
      <c r="B9" s="287"/>
      <c r="C9" s="18" t="s">
        <v>8</v>
      </c>
      <c r="D9" s="19" t="s">
        <v>9</v>
      </c>
      <c r="E9" s="19" t="s">
        <v>9</v>
      </c>
      <c r="F9" s="18" t="s">
        <v>31</v>
      </c>
      <c r="G9" s="19" t="s">
        <v>9</v>
      </c>
      <c r="H9" s="19" t="s">
        <v>9</v>
      </c>
      <c r="I9" s="19" t="s">
        <v>115</v>
      </c>
      <c r="J9" s="18" t="s">
        <v>31</v>
      </c>
      <c r="K9" s="18" t="s">
        <v>31</v>
      </c>
      <c r="L9" s="124" t="s">
        <v>9</v>
      </c>
      <c r="U9" s="119"/>
      <c r="V9" s="119"/>
      <c r="W9" s="119"/>
      <c r="X9" s="119"/>
      <c r="Y9" s="119"/>
      <c r="Z9" s="381"/>
      <c r="AA9" s="381"/>
      <c r="AB9" s="119"/>
      <c r="AC9" s="119"/>
      <c r="AD9" s="86"/>
      <c r="AE9" s="86"/>
    </row>
    <row r="10" spans="2:31">
      <c r="C10" s="288" t="s">
        <v>1</v>
      </c>
      <c r="D10" s="288" t="s">
        <v>2</v>
      </c>
      <c r="E10" s="288" t="s">
        <v>3</v>
      </c>
      <c r="F10" s="288" t="s">
        <v>4</v>
      </c>
      <c r="G10" s="288" t="s">
        <v>5</v>
      </c>
      <c r="H10" s="288" t="s">
        <v>7</v>
      </c>
      <c r="I10" s="288" t="s">
        <v>22</v>
      </c>
      <c r="J10" s="288" t="s">
        <v>23</v>
      </c>
      <c r="K10" s="288" t="s">
        <v>24</v>
      </c>
      <c r="L10" s="125" t="s">
        <v>24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86"/>
      <c r="AE10" s="86"/>
    </row>
    <row r="11" spans="2:31" ht="6" customHeight="1">
      <c r="L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86"/>
      <c r="AE11" s="86"/>
    </row>
    <row r="12" spans="2:31" ht="15.75">
      <c r="B12" s="43" t="str">
        <f>C52</f>
        <v>Naughton - 185 MW - SCCT Frame "F" x1 - East Side Resource (6,050')</v>
      </c>
      <c r="C12" s="86"/>
      <c r="E12" s="86"/>
      <c r="F12" s="86"/>
      <c r="G12" s="86"/>
      <c r="H12" s="86"/>
      <c r="I12" s="285"/>
      <c r="J12" s="285"/>
      <c r="K12" s="285"/>
      <c r="L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86"/>
      <c r="AE12" s="86"/>
    </row>
    <row r="13" spans="2:31" ht="18.95" customHeight="1">
      <c r="B13" s="289"/>
      <c r="C13" s="290"/>
      <c r="D13" s="291"/>
      <c r="E13" s="292"/>
      <c r="F13" s="292"/>
      <c r="G13" s="293"/>
      <c r="H13" s="293"/>
      <c r="I13" s="293"/>
      <c r="J13" s="293"/>
      <c r="K13" s="293"/>
      <c r="L13" s="128"/>
      <c r="U13" s="164"/>
      <c r="V13" s="160"/>
      <c r="W13" s="160"/>
      <c r="X13" s="160"/>
      <c r="Y13" s="119"/>
      <c r="Z13" s="160"/>
      <c r="AA13" s="160"/>
      <c r="AB13" s="119"/>
      <c r="AC13" s="119"/>
      <c r="AD13" s="86"/>
      <c r="AE13" s="86"/>
    </row>
    <row r="14" spans="2:31">
      <c r="B14" s="289">
        <v>2016</v>
      </c>
      <c r="C14" s="290"/>
      <c r="D14" s="291"/>
      <c r="E14" s="292"/>
      <c r="F14" s="292"/>
      <c r="G14" s="293"/>
      <c r="H14" s="293"/>
      <c r="I14" s="293"/>
      <c r="J14" s="293"/>
      <c r="K14" s="293"/>
      <c r="L14" s="128"/>
      <c r="U14" s="119"/>
      <c r="V14" s="119"/>
      <c r="W14" s="160"/>
      <c r="X14" s="160"/>
      <c r="Y14" s="119"/>
      <c r="Z14" s="160"/>
      <c r="AA14" s="160"/>
      <c r="AB14" s="119"/>
      <c r="AC14" s="119"/>
      <c r="AD14" s="86"/>
      <c r="AE14" s="86"/>
    </row>
    <row r="15" spans="2:31">
      <c r="B15" s="289">
        <f t="shared" ref="B15:B40" si="0">B14+1</f>
        <v>2017</v>
      </c>
      <c r="C15" s="294"/>
      <c r="D15" s="291"/>
      <c r="E15" s="291"/>
      <c r="F15" s="291"/>
      <c r="G15" s="295"/>
      <c r="H15" s="295"/>
      <c r="I15" s="293"/>
      <c r="J15" s="293"/>
      <c r="K15" s="293"/>
      <c r="L15" s="128">
        <f>(E15+F15+G15)</f>
        <v>0</v>
      </c>
      <c r="M15" s="41"/>
      <c r="U15" s="119"/>
      <c r="V15" s="119"/>
      <c r="W15" s="160"/>
      <c r="X15" s="160"/>
      <c r="Y15" s="119"/>
      <c r="Z15" s="160"/>
      <c r="AA15" s="160"/>
      <c r="AB15" s="119"/>
      <c r="AC15" s="119"/>
      <c r="AD15" s="86"/>
      <c r="AE15" s="86"/>
    </row>
    <row r="16" spans="2:31">
      <c r="B16" s="289">
        <f t="shared" si="0"/>
        <v>2018</v>
      </c>
      <c r="C16" s="290"/>
      <c r="D16" s="291"/>
      <c r="E16" s="128"/>
      <c r="F16" s="292">
        <f>$J$63</f>
        <v>7.76</v>
      </c>
      <c r="G16" s="293"/>
      <c r="H16" s="293"/>
      <c r="I16" s="293"/>
      <c r="J16" s="293"/>
      <c r="K16" s="293"/>
      <c r="L16" s="128">
        <f t="shared" ref="L16:L40" si="1">(E16+F16+G16)</f>
        <v>7.76</v>
      </c>
      <c r="M16" s="41"/>
      <c r="U16" s="164"/>
      <c r="V16" s="160"/>
      <c r="W16" s="160"/>
      <c r="X16" s="382"/>
      <c r="Y16" s="119"/>
      <c r="Z16" s="160"/>
      <c r="AA16" s="160"/>
      <c r="AB16" s="119"/>
      <c r="AC16" s="119"/>
      <c r="AD16" s="86"/>
      <c r="AE16" s="86"/>
    </row>
    <row r="17" spans="2:31">
      <c r="B17" s="289">
        <f t="shared" si="0"/>
        <v>2019</v>
      </c>
      <c r="C17" s="294"/>
      <c r="D17" s="128"/>
      <c r="E17" s="128"/>
      <c r="F17" s="128">
        <f t="shared" ref="F17:F36" si="2">ROUND(F16*(1+(IFERROR(INDEX($D$81:$D$89,MATCH($B17,$C$81:$C$89,0),1),0)+IFERROR(INDEX($G$81:$G$89,MATCH($B17,$F$81:$F$89,0),1),0)+IFERROR(INDEX($J$81:$J$89,MATCH($B17,$I$81:$I$89,0),1),0))),2)</f>
        <v>7.9</v>
      </c>
      <c r="G17" s="293"/>
      <c r="H17" s="293"/>
      <c r="I17" s="293"/>
      <c r="J17" s="293"/>
      <c r="K17" s="293"/>
      <c r="L17" s="128">
        <f t="shared" si="1"/>
        <v>7.9</v>
      </c>
      <c r="M17" s="41"/>
      <c r="U17" s="164"/>
      <c r="V17" s="119"/>
      <c r="W17" s="160"/>
      <c r="X17" s="382"/>
      <c r="Y17" s="119"/>
      <c r="Z17" s="160"/>
      <c r="AA17" s="160"/>
      <c r="AB17" s="119"/>
      <c r="AC17" s="119"/>
      <c r="AD17" s="86"/>
      <c r="AE17" s="86"/>
    </row>
    <row r="18" spans="2:31">
      <c r="B18" s="289">
        <f t="shared" si="0"/>
        <v>2020</v>
      </c>
      <c r="C18" s="294"/>
      <c r="D18" s="128"/>
      <c r="E18" s="128"/>
      <c r="F18" s="128">
        <f t="shared" si="2"/>
        <v>7.99</v>
      </c>
      <c r="G18" s="293"/>
      <c r="H18" s="293"/>
      <c r="I18" s="293"/>
      <c r="J18" s="293"/>
      <c r="K18" s="293"/>
      <c r="L18" s="128">
        <f t="shared" si="1"/>
        <v>7.99</v>
      </c>
      <c r="M18" s="41"/>
      <c r="U18" s="164"/>
      <c r="V18" s="119"/>
      <c r="W18" s="160"/>
      <c r="X18" s="382"/>
      <c r="Y18" s="119"/>
      <c r="Z18" s="160"/>
      <c r="AA18" s="160"/>
      <c r="AB18" s="119"/>
      <c r="AC18" s="119"/>
      <c r="AD18" s="86"/>
      <c r="AE18" s="86"/>
    </row>
    <row r="19" spans="2:31">
      <c r="B19" s="289">
        <f t="shared" si="0"/>
        <v>2021</v>
      </c>
      <c r="C19" s="294"/>
      <c r="D19" s="128"/>
      <c r="E19" s="128"/>
      <c r="F19" s="128">
        <f t="shared" si="2"/>
        <v>8.25</v>
      </c>
      <c r="G19" s="293"/>
      <c r="H19" s="293"/>
      <c r="I19" s="293"/>
      <c r="J19" s="293"/>
      <c r="K19" s="293"/>
      <c r="L19" s="128">
        <f t="shared" si="1"/>
        <v>8.25</v>
      </c>
      <c r="M19" s="41"/>
      <c r="U19" s="164"/>
      <c r="V19" s="160"/>
      <c r="W19" s="160"/>
      <c r="X19" s="382"/>
      <c r="Y19" s="160"/>
      <c r="Z19" s="160"/>
      <c r="AA19" s="160"/>
      <c r="AB19" s="119"/>
      <c r="AC19" s="119"/>
      <c r="AD19" s="86"/>
      <c r="AE19" s="86"/>
    </row>
    <row r="20" spans="2:31">
      <c r="B20" s="289">
        <f t="shared" si="0"/>
        <v>2022</v>
      </c>
      <c r="C20" s="294"/>
      <c r="D20" s="128"/>
      <c r="E20" s="128"/>
      <c r="F20" s="128">
        <f t="shared" si="2"/>
        <v>8.43</v>
      </c>
      <c r="G20" s="293"/>
      <c r="H20" s="293"/>
      <c r="I20" s="293"/>
      <c r="J20" s="293"/>
      <c r="K20" s="293"/>
      <c r="L20" s="128">
        <f t="shared" si="1"/>
        <v>8.43</v>
      </c>
      <c r="M20" s="41"/>
      <c r="U20" s="164"/>
      <c r="V20" s="160"/>
      <c r="W20" s="160"/>
      <c r="X20" s="382"/>
      <c r="Y20" s="160"/>
      <c r="Z20" s="160"/>
      <c r="AA20" s="160"/>
      <c r="AB20" s="119"/>
      <c r="AC20" s="119"/>
      <c r="AD20" s="86"/>
      <c r="AE20" s="86"/>
    </row>
    <row r="21" spans="2:31">
      <c r="B21" s="289">
        <f t="shared" si="0"/>
        <v>2023</v>
      </c>
      <c r="C21" s="294"/>
      <c r="D21" s="128"/>
      <c r="E21" s="128"/>
      <c r="F21" s="128">
        <f t="shared" si="2"/>
        <v>8.61</v>
      </c>
      <c r="G21" s="293"/>
      <c r="H21" s="293"/>
      <c r="I21" s="293"/>
      <c r="J21" s="293"/>
      <c r="K21" s="293"/>
      <c r="L21" s="128">
        <f t="shared" si="1"/>
        <v>8.61</v>
      </c>
      <c r="M21" s="41"/>
      <c r="U21" s="164"/>
      <c r="V21" s="160"/>
      <c r="W21" s="160"/>
      <c r="X21" s="382"/>
      <c r="Y21" s="160"/>
      <c r="Z21" s="160"/>
      <c r="AA21" s="160"/>
      <c r="AB21" s="119"/>
      <c r="AC21" s="119"/>
      <c r="AD21" s="86"/>
      <c r="AE21" s="86"/>
    </row>
    <row r="22" spans="2:31">
      <c r="B22" s="289">
        <f t="shared" si="0"/>
        <v>2024</v>
      </c>
      <c r="C22" s="294"/>
      <c r="D22" s="128"/>
      <c r="E22" s="128"/>
      <c r="F22" s="128">
        <f t="shared" si="2"/>
        <v>8.8000000000000007</v>
      </c>
      <c r="G22" s="293"/>
      <c r="H22" s="293"/>
      <c r="I22" s="293"/>
      <c r="J22" s="293"/>
      <c r="K22" s="293"/>
      <c r="L22" s="128">
        <f t="shared" si="1"/>
        <v>8.8000000000000007</v>
      </c>
      <c r="M22" s="41"/>
      <c r="U22" s="164"/>
      <c r="V22" s="160"/>
      <c r="W22" s="160"/>
      <c r="X22" s="382"/>
      <c r="Y22" s="160"/>
      <c r="Z22" s="160"/>
      <c r="AA22" s="160"/>
      <c r="AB22" s="119"/>
      <c r="AC22" s="119"/>
      <c r="AD22" s="86"/>
      <c r="AE22" s="86"/>
    </row>
    <row r="23" spans="2:31">
      <c r="B23" s="289">
        <f t="shared" si="0"/>
        <v>2025</v>
      </c>
      <c r="C23" s="294"/>
      <c r="D23" s="128"/>
      <c r="E23" s="128"/>
      <c r="F23" s="128">
        <f t="shared" si="2"/>
        <v>9</v>
      </c>
      <c r="G23" s="293"/>
      <c r="H23" s="293"/>
      <c r="I23" s="293"/>
      <c r="J23" s="293"/>
      <c r="K23" s="293"/>
      <c r="L23" s="128">
        <f t="shared" si="1"/>
        <v>9</v>
      </c>
      <c r="M23" s="41"/>
      <c r="U23" s="164"/>
      <c r="V23" s="160"/>
      <c r="W23" s="160"/>
      <c r="X23" s="382"/>
      <c r="Y23" s="160"/>
      <c r="Z23" s="160"/>
      <c r="AA23" s="160"/>
      <c r="AB23" s="119"/>
      <c r="AC23" s="119"/>
      <c r="AD23" s="86"/>
      <c r="AE23" s="86"/>
    </row>
    <row r="24" spans="2:31">
      <c r="B24" s="289">
        <f t="shared" si="0"/>
        <v>2026</v>
      </c>
      <c r="C24" s="347">
        <v>718.66414277988076</v>
      </c>
      <c r="D24" s="291">
        <f>ROUND(C24*$C$74,2)</f>
        <v>50.01</v>
      </c>
      <c r="E24" s="268">
        <v>38.05330989724176</v>
      </c>
      <c r="F24" s="128">
        <f t="shared" si="2"/>
        <v>9.2100000000000009</v>
      </c>
      <c r="G24" s="293">
        <f t="shared" ref="G24:G36" si="3">ROUND(F24*(8.76*$G$63)+E24,2)</f>
        <v>64.680000000000007</v>
      </c>
      <c r="H24" s="293">
        <f t="shared" ref="H24:H36" si="4">ROUND(D24+G24,2)</f>
        <v>114.69</v>
      </c>
      <c r="I24" s="293">
        <f>VLOOKUP(B24,'Table 4'!$B$13:$D$43,3,FALSE)</f>
        <v>3.43</v>
      </c>
      <c r="J24" s="293">
        <f t="shared" ref="J24:J36" si="5">ROUND($K$63*I24/1000,2)</f>
        <v>33.57</v>
      </c>
      <c r="K24" s="293">
        <f t="shared" ref="K24:K36" si="6">ROUND(H24*1000/8760/$G$63+J24,2)</f>
        <v>73.239999999999995</v>
      </c>
      <c r="L24" s="128">
        <f t="shared" si="1"/>
        <v>111.94330989724176</v>
      </c>
      <c r="M24" s="41"/>
      <c r="U24" s="164"/>
      <c r="V24" s="160"/>
      <c r="W24" s="160"/>
      <c r="X24" s="160"/>
      <c r="Y24" s="160"/>
      <c r="Z24" s="160"/>
      <c r="AA24" s="160"/>
      <c r="AB24" s="119"/>
      <c r="AC24" s="119"/>
      <c r="AD24" s="86"/>
      <c r="AE24" s="86"/>
    </row>
    <row r="25" spans="2:31">
      <c r="B25" s="289">
        <f t="shared" si="0"/>
        <v>2027</v>
      </c>
      <c r="C25" s="294"/>
      <c r="D25" s="128">
        <f t="shared" ref="D25:D36" si="7">ROUND(D24*(1+(IFERROR(INDEX($D$81:$D$89,MATCH($B25,$C$81:$C$89,0),1),0)+IFERROR(INDEX($G$81:$G$89,MATCH($B25,$F$81:$F$89,0),1),0)+IFERROR(INDEX($J$81:$J$89,MATCH($B25,$I$81:$I$89,0),1),0))),2)</f>
        <v>51.16</v>
      </c>
      <c r="E25" s="128">
        <f t="shared" ref="E25:E36" si="8">ROUND(E24*(1+(IFERROR(INDEX($D$81:$D$89,MATCH($B25,$C$81:$C$89,0),1),0)+IFERROR(INDEX($G$81:$G$89,MATCH($B25,$F$81:$F$89,0),1),0)+IFERROR(INDEX($J$81:$J$89,MATCH($B25,$I$81:$I$89,0),1),0))),2)</f>
        <v>38.93</v>
      </c>
      <c r="F25" s="128">
        <f t="shared" si="2"/>
        <v>9.42</v>
      </c>
      <c r="G25" s="293">
        <f t="shared" si="3"/>
        <v>66.16</v>
      </c>
      <c r="H25" s="293">
        <f t="shared" si="4"/>
        <v>117.32</v>
      </c>
      <c r="I25" s="293">
        <f>VLOOKUP(B25,'Table 4'!$B$13:$D$43,3,FALSE)</f>
        <v>3.53</v>
      </c>
      <c r="J25" s="293">
        <f t="shared" si="5"/>
        <v>34.54</v>
      </c>
      <c r="K25" s="293">
        <f t="shared" si="6"/>
        <v>75.12</v>
      </c>
      <c r="L25" s="128">
        <f t="shared" si="1"/>
        <v>114.50999999999999</v>
      </c>
      <c r="M25" s="41"/>
      <c r="P25" s="351"/>
      <c r="U25" s="383"/>
      <c r="V25" s="160"/>
      <c r="W25" s="160"/>
      <c r="X25" s="160"/>
      <c r="Y25" s="160"/>
      <c r="Z25" s="160"/>
      <c r="AA25" s="160"/>
      <c r="AB25" s="119"/>
      <c r="AC25" s="119"/>
      <c r="AD25" s="86"/>
      <c r="AE25" s="86"/>
    </row>
    <row r="26" spans="2:31">
      <c r="B26" s="289">
        <f t="shared" si="0"/>
        <v>2028</v>
      </c>
      <c r="C26" s="294"/>
      <c r="D26" s="128">
        <f t="shared" si="7"/>
        <v>52.34</v>
      </c>
      <c r="E26" s="128">
        <f t="shared" si="8"/>
        <v>39.83</v>
      </c>
      <c r="F26" s="128">
        <f t="shared" si="2"/>
        <v>9.64</v>
      </c>
      <c r="G26" s="293">
        <f t="shared" si="3"/>
        <v>67.7</v>
      </c>
      <c r="H26" s="293">
        <f t="shared" si="4"/>
        <v>120.04</v>
      </c>
      <c r="I26" s="293">
        <f>VLOOKUP(B26,'Table 4'!$B$13:$D$43,3,FALSE)</f>
        <v>3.77</v>
      </c>
      <c r="J26" s="293">
        <f t="shared" si="5"/>
        <v>36.89</v>
      </c>
      <c r="K26" s="293">
        <f t="shared" si="6"/>
        <v>78.41</v>
      </c>
      <c r="L26" s="128">
        <f t="shared" si="1"/>
        <v>117.17</v>
      </c>
      <c r="M26" s="41"/>
      <c r="U26" s="164"/>
      <c r="V26" s="160"/>
      <c r="W26" s="160"/>
      <c r="X26" s="160"/>
      <c r="Y26" s="160"/>
      <c r="Z26" s="160"/>
      <c r="AA26" s="160"/>
      <c r="AB26" s="119"/>
      <c r="AC26" s="119"/>
      <c r="AD26" s="86"/>
      <c r="AE26" s="86"/>
    </row>
    <row r="27" spans="2:31">
      <c r="B27" s="289">
        <f t="shared" si="0"/>
        <v>2029</v>
      </c>
      <c r="C27" s="294"/>
      <c r="D27" s="128">
        <f t="shared" si="7"/>
        <v>53.6</v>
      </c>
      <c r="E27" s="128">
        <f t="shared" si="8"/>
        <v>40.79</v>
      </c>
      <c r="F27" s="128">
        <f t="shared" si="2"/>
        <v>9.8699999999999992</v>
      </c>
      <c r="G27" s="293">
        <f t="shared" si="3"/>
        <v>69.319999999999993</v>
      </c>
      <c r="H27" s="293">
        <f t="shared" si="4"/>
        <v>122.92</v>
      </c>
      <c r="I27" s="293">
        <f>VLOOKUP(B27,'Table 4'!$B$13:$D$43,3,FALSE)</f>
        <v>4.13</v>
      </c>
      <c r="J27" s="293">
        <f t="shared" si="5"/>
        <v>40.42</v>
      </c>
      <c r="K27" s="293">
        <f t="shared" si="6"/>
        <v>82.94</v>
      </c>
      <c r="L27" s="128">
        <f t="shared" si="1"/>
        <v>119.97999999999999</v>
      </c>
      <c r="M27" s="41"/>
      <c r="U27" s="164"/>
      <c r="V27" s="160"/>
      <c r="W27" s="160"/>
      <c r="X27" s="160"/>
      <c r="Y27" s="160"/>
      <c r="Z27" s="160"/>
      <c r="AA27" s="160"/>
      <c r="AB27" s="119"/>
      <c r="AC27" s="119"/>
      <c r="AD27" s="86"/>
      <c r="AE27" s="86"/>
    </row>
    <row r="28" spans="2:31" s="298" customFormat="1">
      <c r="B28" s="296">
        <f t="shared" si="0"/>
        <v>2030</v>
      </c>
      <c r="C28" s="297"/>
      <c r="D28" s="128">
        <f t="shared" si="7"/>
        <v>54.83</v>
      </c>
      <c r="E28" s="128">
        <f t="shared" si="8"/>
        <v>41.73</v>
      </c>
      <c r="F28" s="128">
        <f t="shared" si="2"/>
        <v>10.1</v>
      </c>
      <c r="G28" s="293">
        <f t="shared" si="3"/>
        <v>70.930000000000007</v>
      </c>
      <c r="H28" s="293">
        <f t="shared" si="4"/>
        <v>125.76</v>
      </c>
      <c r="I28" s="293">
        <f>VLOOKUP(B28,'Table 4'!$B$13:$D$43,3,FALSE)</f>
        <v>4.29</v>
      </c>
      <c r="J28" s="293">
        <f t="shared" si="5"/>
        <v>41.98</v>
      </c>
      <c r="K28" s="293">
        <f t="shared" si="6"/>
        <v>85.48</v>
      </c>
      <c r="L28" s="128">
        <f t="shared" si="1"/>
        <v>122.76</v>
      </c>
      <c r="M28" s="50"/>
      <c r="N28" s="85"/>
      <c r="O28" s="85"/>
      <c r="U28" s="164"/>
      <c r="V28" s="160"/>
      <c r="W28" s="160"/>
      <c r="X28" s="160"/>
      <c r="Y28" s="160"/>
      <c r="Z28" s="160"/>
      <c r="AA28" s="160"/>
      <c r="AB28" s="119"/>
      <c r="AC28" s="119"/>
      <c r="AD28" s="384"/>
      <c r="AE28" s="384"/>
    </row>
    <row r="29" spans="2:31" s="298" customFormat="1">
      <c r="B29" s="296">
        <f t="shared" si="0"/>
        <v>2031</v>
      </c>
      <c r="C29" s="297"/>
      <c r="D29" s="128">
        <f t="shared" si="7"/>
        <v>56.09</v>
      </c>
      <c r="E29" s="128">
        <f t="shared" si="8"/>
        <v>42.69</v>
      </c>
      <c r="F29" s="128">
        <f t="shared" si="2"/>
        <v>10.33</v>
      </c>
      <c r="G29" s="293">
        <f t="shared" si="3"/>
        <v>72.55</v>
      </c>
      <c r="H29" s="293">
        <f t="shared" si="4"/>
        <v>128.63999999999999</v>
      </c>
      <c r="I29" s="293">
        <f>VLOOKUP(B29,'Table 4'!$B$13:$D$43,3,FALSE)</f>
        <v>4.41</v>
      </c>
      <c r="J29" s="293">
        <f t="shared" si="5"/>
        <v>43.16</v>
      </c>
      <c r="K29" s="293">
        <f t="shared" si="6"/>
        <v>87.66</v>
      </c>
      <c r="L29" s="128">
        <f t="shared" si="1"/>
        <v>125.57</v>
      </c>
      <c r="M29" s="50"/>
      <c r="N29" s="85"/>
      <c r="O29" s="85"/>
      <c r="U29" s="164"/>
      <c r="V29" s="160"/>
      <c r="W29" s="160"/>
      <c r="X29" s="160"/>
      <c r="Y29" s="160"/>
      <c r="Z29" s="160"/>
      <c r="AA29" s="160"/>
      <c r="AB29" s="119"/>
      <c r="AC29" s="119"/>
      <c r="AD29" s="384"/>
      <c r="AE29" s="384"/>
    </row>
    <row r="30" spans="2:31" s="298" customFormat="1">
      <c r="B30" s="296">
        <f t="shared" si="0"/>
        <v>2032</v>
      </c>
      <c r="C30" s="297"/>
      <c r="D30" s="128">
        <f t="shared" si="7"/>
        <v>57.38</v>
      </c>
      <c r="E30" s="128">
        <f t="shared" si="8"/>
        <v>43.67</v>
      </c>
      <c r="F30" s="128">
        <f t="shared" si="2"/>
        <v>10.57</v>
      </c>
      <c r="G30" s="293">
        <f t="shared" si="3"/>
        <v>74.23</v>
      </c>
      <c r="H30" s="293">
        <f t="shared" si="4"/>
        <v>131.61000000000001</v>
      </c>
      <c r="I30" s="293">
        <f>VLOOKUP(B30,'Table 4'!$B$13:$D$43,3,FALSE)</f>
        <v>4.49</v>
      </c>
      <c r="J30" s="293">
        <f t="shared" si="5"/>
        <v>43.94</v>
      </c>
      <c r="K30" s="293">
        <f t="shared" si="6"/>
        <v>89.47</v>
      </c>
      <c r="L30" s="128">
        <f t="shared" si="1"/>
        <v>128.47</v>
      </c>
      <c r="M30" s="50"/>
      <c r="N30" s="85"/>
      <c r="O30" s="85"/>
      <c r="U30" s="164"/>
      <c r="V30" s="160"/>
      <c r="W30" s="160"/>
      <c r="X30" s="160"/>
      <c r="Y30" s="160"/>
      <c r="Z30" s="160"/>
      <c r="AA30" s="160"/>
      <c r="AB30" s="119"/>
      <c r="AC30" s="119"/>
      <c r="AD30" s="384"/>
      <c r="AE30" s="384"/>
    </row>
    <row r="31" spans="2:31" s="298" customFormat="1">
      <c r="B31" s="296">
        <f t="shared" si="0"/>
        <v>2033</v>
      </c>
      <c r="C31" s="297"/>
      <c r="D31" s="128">
        <f t="shared" si="7"/>
        <v>58.7</v>
      </c>
      <c r="E31" s="128">
        <f t="shared" si="8"/>
        <v>44.67</v>
      </c>
      <c r="F31" s="128">
        <f t="shared" si="2"/>
        <v>10.81</v>
      </c>
      <c r="G31" s="293">
        <f t="shared" si="3"/>
        <v>75.92</v>
      </c>
      <c r="H31" s="293">
        <f t="shared" si="4"/>
        <v>134.62</v>
      </c>
      <c r="I31" s="293">
        <f>VLOOKUP(B31,'Table 4'!$B$13:$D$43,3,FALSE)</f>
        <v>4.74</v>
      </c>
      <c r="J31" s="293">
        <f t="shared" si="5"/>
        <v>46.39</v>
      </c>
      <c r="K31" s="293">
        <f t="shared" si="6"/>
        <v>92.96</v>
      </c>
      <c r="L31" s="128">
        <f t="shared" si="1"/>
        <v>131.4</v>
      </c>
      <c r="M31" s="50"/>
      <c r="N31" s="85"/>
      <c r="O31" s="85"/>
      <c r="U31" s="164"/>
      <c r="V31" s="160"/>
      <c r="W31" s="160"/>
      <c r="X31" s="160"/>
      <c r="Y31" s="160"/>
      <c r="Z31" s="160"/>
      <c r="AA31" s="160"/>
      <c r="AB31" s="119"/>
      <c r="AC31" s="119"/>
      <c r="AD31" s="384"/>
      <c r="AE31" s="384"/>
    </row>
    <row r="32" spans="2:31" s="298" customFormat="1">
      <c r="B32" s="296">
        <f t="shared" si="0"/>
        <v>2034</v>
      </c>
      <c r="C32" s="297"/>
      <c r="D32" s="128">
        <f t="shared" si="7"/>
        <v>60.05</v>
      </c>
      <c r="E32" s="128">
        <f t="shared" si="8"/>
        <v>45.7</v>
      </c>
      <c r="F32" s="128">
        <f t="shared" si="2"/>
        <v>11.06</v>
      </c>
      <c r="G32" s="293">
        <f t="shared" si="3"/>
        <v>77.67</v>
      </c>
      <c r="H32" s="293">
        <f t="shared" si="4"/>
        <v>137.72</v>
      </c>
      <c r="I32" s="293">
        <f>VLOOKUP(B32,'Table 4'!$B$13:$D$43,3,FALSE)</f>
        <v>4.8</v>
      </c>
      <c r="J32" s="293">
        <f t="shared" si="5"/>
        <v>46.97</v>
      </c>
      <c r="K32" s="293">
        <f t="shared" si="6"/>
        <v>94.61</v>
      </c>
      <c r="L32" s="128">
        <f t="shared" si="1"/>
        <v>134.43</v>
      </c>
      <c r="M32" s="50"/>
      <c r="N32" s="85"/>
      <c r="O32" s="85"/>
      <c r="U32" s="164"/>
      <c r="V32" s="160"/>
      <c r="W32" s="160"/>
      <c r="X32" s="160"/>
      <c r="Y32" s="160"/>
      <c r="Z32" s="160"/>
      <c r="AA32" s="160"/>
      <c r="AB32" s="119"/>
      <c r="AC32" s="119"/>
      <c r="AD32" s="384"/>
      <c r="AE32" s="384"/>
    </row>
    <row r="33" spans="2:31">
      <c r="B33" s="289">
        <f t="shared" si="0"/>
        <v>2035</v>
      </c>
      <c r="C33" s="294"/>
      <c r="D33" s="128">
        <f t="shared" si="7"/>
        <v>61.43</v>
      </c>
      <c r="E33" s="128">
        <f t="shared" si="8"/>
        <v>46.75</v>
      </c>
      <c r="F33" s="128">
        <f t="shared" si="2"/>
        <v>11.31</v>
      </c>
      <c r="G33" s="293">
        <f t="shared" si="3"/>
        <v>79.44</v>
      </c>
      <c r="H33" s="293">
        <f t="shared" si="4"/>
        <v>140.87</v>
      </c>
      <c r="I33" s="293">
        <f>VLOOKUP(B33,'Table 4'!$B$13:$D$43,3,FALSE)</f>
        <v>4.87</v>
      </c>
      <c r="J33" s="293">
        <f t="shared" si="5"/>
        <v>47.66</v>
      </c>
      <c r="K33" s="293">
        <f t="shared" si="6"/>
        <v>96.39</v>
      </c>
      <c r="L33" s="128">
        <f t="shared" si="1"/>
        <v>137.5</v>
      </c>
      <c r="M33" s="50"/>
      <c r="U33" s="164"/>
      <c r="V33" s="160"/>
      <c r="W33" s="160"/>
      <c r="X33" s="160"/>
      <c r="Y33" s="160"/>
      <c r="Z33" s="160"/>
      <c r="AA33" s="160"/>
      <c r="AB33" s="119"/>
      <c r="AC33" s="119"/>
      <c r="AD33" s="86"/>
      <c r="AE33" s="86"/>
    </row>
    <row r="34" spans="2:31">
      <c r="B34" s="289">
        <f t="shared" si="0"/>
        <v>2036</v>
      </c>
      <c r="C34" s="294"/>
      <c r="D34" s="128">
        <f t="shared" si="7"/>
        <v>62.84</v>
      </c>
      <c r="E34" s="128">
        <f t="shared" si="8"/>
        <v>47.83</v>
      </c>
      <c r="F34" s="128">
        <f t="shared" si="2"/>
        <v>11.57</v>
      </c>
      <c r="G34" s="293">
        <f t="shared" si="3"/>
        <v>81.28</v>
      </c>
      <c r="H34" s="293">
        <f t="shared" si="4"/>
        <v>144.12</v>
      </c>
      <c r="I34" s="293">
        <f>VLOOKUP(B34,'Table 4'!$B$13:$D$43,3,FALSE)</f>
        <v>4.9800000000000004</v>
      </c>
      <c r="J34" s="293">
        <f t="shared" si="5"/>
        <v>48.73</v>
      </c>
      <c r="K34" s="293">
        <f t="shared" si="6"/>
        <v>98.58</v>
      </c>
      <c r="L34" s="128">
        <f t="shared" si="1"/>
        <v>140.68</v>
      </c>
      <c r="M34" s="50"/>
      <c r="U34" s="86"/>
      <c r="V34" s="86"/>
      <c r="W34" s="86"/>
      <c r="X34" s="86"/>
      <c r="Y34" s="86"/>
      <c r="Z34" s="86"/>
      <c r="AA34" s="86"/>
      <c r="AB34" s="119"/>
      <c r="AC34" s="119"/>
      <c r="AD34" s="86"/>
      <c r="AE34" s="86"/>
    </row>
    <row r="35" spans="2:31">
      <c r="B35" s="289">
        <f t="shared" si="0"/>
        <v>2037</v>
      </c>
      <c r="C35" s="294"/>
      <c r="D35" s="128">
        <f t="shared" si="7"/>
        <v>64.290000000000006</v>
      </c>
      <c r="E35" s="128">
        <f t="shared" si="8"/>
        <v>48.93</v>
      </c>
      <c r="F35" s="128">
        <f t="shared" si="2"/>
        <v>11.84</v>
      </c>
      <c r="G35" s="293">
        <f t="shared" si="3"/>
        <v>83.16</v>
      </c>
      <c r="H35" s="293">
        <f t="shared" si="4"/>
        <v>147.44999999999999</v>
      </c>
      <c r="I35" s="293">
        <f>VLOOKUP(B35,'Table 4'!$B$13:$D$43,3,FALSE)</f>
        <v>5.08</v>
      </c>
      <c r="J35" s="293">
        <f t="shared" si="5"/>
        <v>49.71</v>
      </c>
      <c r="K35" s="293">
        <f t="shared" si="6"/>
        <v>100.72</v>
      </c>
      <c r="L35" s="128">
        <f t="shared" si="1"/>
        <v>143.93</v>
      </c>
      <c r="M35" s="50"/>
      <c r="U35" s="86"/>
      <c r="V35" s="86"/>
      <c r="W35" s="86"/>
      <c r="X35" s="86"/>
      <c r="Y35" s="86"/>
      <c r="Z35" s="86"/>
      <c r="AA35" s="86"/>
      <c r="AB35" s="119"/>
      <c r="AC35" s="119"/>
      <c r="AD35" s="86"/>
      <c r="AE35" s="86"/>
    </row>
    <row r="36" spans="2:31">
      <c r="B36" s="289">
        <f t="shared" si="0"/>
        <v>2038</v>
      </c>
      <c r="C36" s="294"/>
      <c r="D36" s="128">
        <f t="shared" si="7"/>
        <v>65.77</v>
      </c>
      <c r="E36" s="128">
        <f t="shared" si="8"/>
        <v>50.06</v>
      </c>
      <c r="F36" s="128">
        <f t="shared" si="2"/>
        <v>12.11</v>
      </c>
      <c r="G36" s="293">
        <f t="shared" si="3"/>
        <v>85.07</v>
      </c>
      <c r="H36" s="293">
        <f t="shared" si="4"/>
        <v>150.84</v>
      </c>
      <c r="I36" s="293">
        <f>VLOOKUP(B36,'Table 4'!$B$13:$D$43,3,FALSE)</f>
        <v>5.27</v>
      </c>
      <c r="J36" s="293">
        <f t="shared" si="5"/>
        <v>51.57</v>
      </c>
      <c r="K36" s="293">
        <f t="shared" si="6"/>
        <v>103.75</v>
      </c>
      <c r="L36" s="128">
        <f t="shared" si="1"/>
        <v>147.24</v>
      </c>
      <c r="M36" s="50"/>
      <c r="U36" s="86"/>
      <c r="V36" s="86"/>
      <c r="W36" s="86"/>
      <c r="X36" s="86"/>
      <c r="Y36" s="86"/>
      <c r="Z36" s="86"/>
      <c r="AA36" s="86"/>
      <c r="AB36" s="119"/>
      <c r="AC36" s="119"/>
      <c r="AD36" s="86"/>
      <c r="AE36" s="86"/>
    </row>
    <row r="37" spans="2:31">
      <c r="B37" s="289">
        <f t="shared" si="0"/>
        <v>2039</v>
      </c>
      <c r="C37" s="294"/>
      <c r="D37" s="128">
        <f t="shared" ref="D37:D40" si="9">ROUND(D36*(1+(IFERROR(INDEX($D$81:$D$89,MATCH($B37,$C$81:$C$89,0),1),0)+IFERROR(INDEX($G$81:$G$89,MATCH($B37,$F$81:$F$89,0),1),0)+IFERROR(INDEX($J$81:$J$89,MATCH($B37,$I$81:$I$89,0),1),0))),2)</f>
        <v>67.28</v>
      </c>
      <c r="E37" s="128">
        <f t="shared" ref="E37:E40" si="10">ROUND(E36*(1+(IFERROR(INDEX($D$81:$D$89,MATCH($B37,$C$81:$C$89,0),1),0)+IFERROR(INDEX($G$81:$G$89,MATCH($B37,$F$81:$F$89,0),1),0)+IFERROR(INDEX($J$81:$J$89,MATCH($B37,$I$81:$I$89,0),1),0))),2)</f>
        <v>51.21</v>
      </c>
      <c r="F37" s="128">
        <f t="shared" ref="F37:F40" si="11">ROUND(F36*(1+(IFERROR(INDEX($D$81:$D$89,MATCH($B37,$C$81:$C$89,0),1),0)+IFERROR(INDEX($G$81:$G$89,MATCH($B37,$F$81:$F$89,0),1),0)+IFERROR(INDEX($J$81:$J$89,MATCH($B37,$I$81:$I$89,0),1),0))),2)</f>
        <v>12.39</v>
      </c>
      <c r="G37" s="293">
        <f t="shared" ref="G37:G40" si="12">ROUND(F37*(8.76*$G$63)+E37,2)</f>
        <v>87.03</v>
      </c>
      <c r="H37" s="293">
        <f t="shared" ref="H37:H40" si="13">ROUND(D37+G37,2)</f>
        <v>154.31</v>
      </c>
      <c r="I37" s="293">
        <f>VLOOKUP(B37,'Table 4'!$B$13:$D$43,3,FALSE)</f>
        <v>5.57</v>
      </c>
      <c r="J37" s="293">
        <f t="shared" ref="J37:J40" si="14">ROUND($K$63*I37/1000,2)</f>
        <v>54.51</v>
      </c>
      <c r="K37" s="293">
        <f t="shared" ref="K37:K40" si="15">ROUND(H37*1000/8760/$G$63+J37,2)</f>
        <v>107.89</v>
      </c>
      <c r="L37" s="128">
        <f t="shared" si="1"/>
        <v>150.63</v>
      </c>
      <c r="U37" s="86"/>
      <c r="V37" s="86"/>
      <c r="W37" s="86"/>
      <c r="X37" s="86"/>
      <c r="Y37" s="86"/>
      <c r="Z37" s="86"/>
      <c r="AA37" s="86"/>
      <c r="AB37" s="119"/>
      <c r="AC37" s="119"/>
      <c r="AD37" s="86"/>
      <c r="AE37" s="86"/>
    </row>
    <row r="38" spans="2:31">
      <c r="B38" s="289">
        <f t="shared" si="0"/>
        <v>2040</v>
      </c>
      <c r="C38" s="294"/>
      <c r="D38" s="128">
        <f t="shared" si="9"/>
        <v>68.83</v>
      </c>
      <c r="E38" s="128">
        <f t="shared" si="10"/>
        <v>52.39</v>
      </c>
      <c r="F38" s="128">
        <f t="shared" si="11"/>
        <v>12.67</v>
      </c>
      <c r="G38" s="293">
        <f t="shared" si="12"/>
        <v>89.02</v>
      </c>
      <c r="H38" s="293">
        <f t="shared" si="13"/>
        <v>157.85</v>
      </c>
      <c r="I38" s="293">
        <f>VLOOKUP(B38,'Table 4'!$B$13:$D$43,3,FALSE)</f>
        <v>5.91</v>
      </c>
      <c r="J38" s="293">
        <f t="shared" si="14"/>
        <v>57.84</v>
      </c>
      <c r="K38" s="293">
        <f t="shared" si="15"/>
        <v>112.44</v>
      </c>
      <c r="L38" s="128">
        <f t="shared" si="1"/>
        <v>154.07999999999998</v>
      </c>
      <c r="U38" s="86"/>
      <c r="V38" s="86"/>
      <c r="W38" s="86"/>
      <c r="X38" s="86"/>
      <c r="Y38" s="86"/>
      <c r="Z38" s="86"/>
      <c r="AA38" s="86"/>
      <c r="AB38" s="119"/>
      <c r="AC38" s="119"/>
      <c r="AD38" s="86"/>
      <c r="AE38" s="86"/>
    </row>
    <row r="39" spans="2:31">
      <c r="B39" s="289">
        <f t="shared" si="0"/>
        <v>2041</v>
      </c>
      <c r="C39" s="294"/>
      <c r="D39" s="128">
        <f t="shared" si="9"/>
        <v>70.34</v>
      </c>
      <c r="E39" s="128">
        <f t="shared" si="10"/>
        <v>53.54</v>
      </c>
      <c r="F39" s="128">
        <f t="shared" si="11"/>
        <v>12.95</v>
      </c>
      <c r="G39" s="293">
        <f t="shared" si="12"/>
        <v>90.98</v>
      </c>
      <c r="H39" s="293">
        <f t="shared" si="13"/>
        <v>161.32</v>
      </c>
      <c r="I39" s="128">
        <f t="shared" ref="I39:I40" si="16">ROUND(I38*(1+(IFERROR(INDEX($D$81:$D$89,MATCH($B39,$C$81:$C$89,0),1),0)+IFERROR(INDEX($G$81:$G$89,MATCH($B39,$F$81:$F$89,0),1),0)+IFERROR(INDEX($J$81:$J$89,MATCH($B39,$I$81:$I$89,0),1),0))),2)</f>
        <v>6.04</v>
      </c>
      <c r="J39" s="293">
        <f t="shared" si="14"/>
        <v>59.11</v>
      </c>
      <c r="K39" s="293">
        <f t="shared" si="15"/>
        <v>114.91</v>
      </c>
      <c r="L39" s="128">
        <f t="shared" si="1"/>
        <v>157.47</v>
      </c>
      <c r="U39" s="86"/>
      <c r="V39" s="86"/>
      <c r="W39" s="86"/>
      <c r="X39" s="86"/>
      <c r="Y39" s="86"/>
      <c r="Z39" s="86"/>
      <c r="AA39" s="86"/>
      <c r="AB39" s="119"/>
      <c r="AC39" s="119"/>
      <c r="AD39" s="86"/>
      <c r="AE39" s="86"/>
    </row>
    <row r="40" spans="2:31">
      <c r="B40" s="289">
        <f t="shared" si="0"/>
        <v>2042</v>
      </c>
      <c r="C40" s="294"/>
      <c r="D40" s="128">
        <f t="shared" si="9"/>
        <v>71.89</v>
      </c>
      <c r="E40" s="128">
        <f t="shared" si="10"/>
        <v>54.72</v>
      </c>
      <c r="F40" s="128">
        <f t="shared" si="11"/>
        <v>13.23</v>
      </c>
      <c r="G40" s="293">
        <f t="shared" si="12"/>
        <v>92.97</v>
      </c>
      <c r="H40" s="293">
        <f t="shared" si="13"/>
        <v>164.86</v>
      </c>
      <c r="I40" s="128">
        <f t="shared" si="16"/>
        <v>6.17</v>
      </c>
      <c r="J40" s="293">
        <f t="shared" si="14"/>
        <v>60.38</v>
      </c>
      <c r="K40" s="293">
        <f t="shared" si="15"/>
        <v>117.41</v>
      </c>
      <c r="L40" s="128">
        <f t="shared" si="1"/>
        <v>160.92000000000002</v>
      </c>
      <c r="U40" s="86"/>
      <c r="V40" s="86"/>
      <c r="W40" s="86"/>
      <c r="X40" s="86"/>
      <c r="Y40" s="86"/>
      <c r="Z40" s="86"/>
      <c r="AA40" s="86"/>
      <c r="AB40" s="119"/>
      <c r="AC40" s="119"/>
      <c r="AD40" s="86"/>
      <c r="AE40" s="86"/>
    </row>
    <row r="41" spans="2:31">
      <c r="M41" s="289"/>
      <c r="O41" s="299"/>
      <c r="U41" s="86"/>
      <c r="V41" s="86"/>
      <c r="W41" s="86"/>
      <c r="X41" s="86"/>
      <c r="Y41" s="86"/>
      <c r="Z41" s="86"/>
      <c r="AA41" s="86"/>
      <c r="AB41" s="119"/>
      <c r="AC41" s="119"/>
      <c r="AD41" s="86"/>
      <c r="AE41" s="86"/>
    </row>
    <row r="42" spans="2:31" ht="14.25">
      <c r="B42" s="4" t="s">
        <v>25</v>
      </c>
      <c r="C42" s="20"/>
      <c r="D42" s="20"/>
      <c r="E42" s="20"/>
      <c r="F42" s="20"/>
      <c r="G42" s="20"/>
      <c r="H42" s="20"/>
      <c r="I42" s="20"/>
      <c r="J42" s="20"/>
      <c r="K42" s="20"/>
      <c r="M42" s="289"/>
      <c r="N42" s="299"/>
      <c r="O42" s="299"/>
      <c r="U42" s="86"/>
      <c r="V42" s="86"/>
      <c r="W42" s="86"/>
      <c r="X42" s="86"/>
      <c r="Y42" s="86"/>
      <c r="Z42" s="86"/>
      <c r="AA42" s="86"/>
      <c r="AB42" s="119"/>
      <c r="AC42" s="119"/>
      <c r="AD42" s="86"/>
      <c r="AE42" s="86"/>
    </row>
    <row r="43" spans="2:31">
      <c r="U43" s="86"/>
      <c r="V43" s="86"/>
      <c r="W43" s="86"/>
      <c r="X43" s="86"/>
      <c r="Y43" s="86"/>
      <c r="Z43" s="86"/>
      <c r="AA43" s="86"/>
      <c r="AB43" s="119"/>
      <c r="AC43" s="119"/>
      <c r="AD43" s="86"/>
      <c r="AE43" s="86"/>
    </row>
    <row r="44" spans="2:31">
      <c r="B44" s="85" t="s">
        <v>116</v>
      </c>
      <c r="D44" s="300" t="s">
        <v>138</v>
      </c>
      <c r="U44" s="86"/>
      <c r="V44" s="86"/>
      <c r="W44" s="86"/>
      <c r="X44" s="86"/>
      <c r="Y44" s="86"/>
      <c r="Z44" s="86"/>
      <c r="AA44" s="86"/>
      <c r="AB44" s="119"/>
      <c r="AC44" s="119"/>
      <c r="AD44" s="86"/>
      <c r="AE44" s="86"/>
    </row>
    <row r="45" spans="2:31">
      <c r="C45" s="301" t="str">
        <f>D10</f>
        <v>(b)</v>
      </c>
      <c r="D45" s="293" t="str">
        <f>"= "&amp;C10&amp;" x "&amp;C74</f>
        <v>= (a) x 0.0695884915153164</v>
      </c>
      <c r="U45" s="86"/>
      <c r="V45" s="86"/>
      <c r="W45" s="86"/>
      <c r="X45" s="86"/>
      <c r="Y45" s="86"/>
      <c r="Z45" s="86"/>
      <c r="AA45" s="86"/>
      <c r="AB45" s="119"/>
      <c r="AC45" s="119"/>
      <c r="AD45" s="86"/>
      <c r="AE45" s="86"/>
    </row>
    <row r="46" spans="2:31">
      <c r="C46" s="301" t="str">
        <f>G10</f>
        <v>(e)</v>
      </c>
      <c r="D46" s="293" t="str">
        <f>"= "&amp;$F$10&amp;" x  (8.76 x "&amp;TEXT(G63,"0.0%")&amp;") + "&amp;$E$10</f>
        <v>= (d) x  (8.76 x 33.0%) + (c)</v>
      </c>
      <c r="U46" s="86"/>
      <c r="V46" s="86"/>
      <c r="W46" s="86"/>
      <c r="X46" s="86"/>
      <c r="Y46" s="86"/>
      <c r="Z46" s="86"/>
      <c r="AA46" s="86"/>
      <c r="AB46" s="119"/>
      <c r="AC46" s="119"/>
      <c r="AD46" s="86"/>
      <c r="AE46" s="86"/>
    </row>
    <row r="47" spans="2:31">
      <c r="C47" s="301" t="str">
        <f>H10</f>
        <v>(f)</v>
      </c>
      <c r="D47" s="293" t="str">
        <f>"= "&amp;D10&amp;" + "&amp;G10</f>
        <v>= (b) + (e)</v>
      </c>
      <c r="U47" s="86"/>
      <c r="V47" s="86"/>
      <c r="W47" s="86"/>
      <c r="X47" s="86"/>
      <c r="Y47" s="86"/>
      <c r="Z47" s="86"/>
      <c r="AA47" s="86"/>
      <c r="AB47" s="119"/>
      <c r="AC47" s="119"/>
      <c r="AD47" s="86"/>
      <c r="AE47" s="86"/>
    </row>
    <row r="48" spans="2:31">
      <c r="C48" s="301" t="str">
        <f>I10</f>
        <v>(g)</v>
      </c>
      <c r="D48" s="302" t="str">
        <f>'Table 4'!B3&amp;" - "&amp;'Table 4'!B4</f>
        <v>Table 4 - Burnertip Natural Gas Price Forecast</v>
      </c>
      <c r="U48" s="86"/>
      <c r="V48" s="86"/>
      <c r="W48" s="86"/>
      <c r="X48" s="86"/>
      <c r="Y48" s="86"/>
      <c r="Z48" s="86"/>
      <c r="AA48" s="86"/>
      <c r="AB48" s="119"/>
      <c r="AC48" s="119"/>
      <c r="AD48" s="86"/>
      <c r="AE48" s="86"/>
    </row>
    <row r="49" spans="3:31">
      <c r="C49" s="301" t="str">
        <f>J10</f>
        <v>(h)</v>
      </c>
      <c r="D49" s="293" t="str">
        <f>"= "&amp;TEXT(K63,"?,0")&amp;" MMBtu/MWH x "&amp;I9</f>
        <v>= 9,786 MMBtu/MWH x $/MMBtu</v>
      </c>
      <c r="U49" s="86"/>
      <c r="V49" s="86"/>
      <c r="W49" s="86"/>
      <c r="X49" s="86"/>
      <c r="Y49" s="86"/>
      <c r="Z49" s="86"/>
      <c r="AA49" s="86"/>
      <c r="AB49" s="119"/>
      <c r="AC49" s="119"/>
      <c r="AD49" s="86"/>
      <c r="AE49" s="86"/>
    </row>
    <row r="50" spans="3:31">
      <c r="C50" s="301" t="str">
        <f>K10</f>
        <v>(i)</v>
      </c>
      <c r="D50" s="293" t="str">
        <f>"= "&amp;H10&amp;" / (8.76 x 'Capacity Factor' ) + "&amp;J10</f>
        <v>= (f) / (8.76 x 'Capacity Factor' ) + (h)</v>
      </c>
      <c r="U50" s="86"/>
      <c r="V50" s="86"/>
      <c r="W50" s="86"/>
      <c r="X50" s="86"/>
      <c r="Y50" s="86"/>
      <c r="Z50" s="86"/>
      <c r="AA50" s="86"/>
      <c r="AB50" s="119"/>
      <c r="AC50" s="119"/>
      <c r="AD50" s="86"/>
      <c r="AE50" s="86"/>
    </row>
    <row r="51" spans="3:31" ht="13.5" thickBot="1">
      <c r="U51" s="86"/>
      <c r="V51" s="86"/>
      <c r="W51" s="86"/>
      <c r="X51" s="86"/>
      <c r="Y51" s="86"/>
      <c r="Z51" s="86"/>
      <c r="AA51" s="86"/>
      <c r="AB51" s="119"/>
      <c r="AC51" s="119"/>
      <c r="AD51" s="86"/>
      <c r="AE51" s="86"/>
    </row>
    <row r="52" spans="3:31" ht="13.5" thickBot="1">
      <c r="C52" s="42" t="s">
        <v>142</v>
      </c>
      <c r="D52" s="303"/>
      <c r="E52" s="303"/>
      <c r="F52" s="303"/>
      <c r="G52" s="303"/>
      <c r="H52" s="303"/>
      <c r="I52" s="303"/>
      <c r="J52" s="304"/>
      <c r="K52" s="305"/>
    </row>
    <row r="53" spans="3:31" ht="5.25" customHeight="1"/>
    <row r="54" spans="3:31" ht="5.25" customHeight="1"/>
    <row r="55" spans="3:31">
      <c r="C55" s="306" t="s">
        <v>117</v>
      </c>
      <c r="D55" s="307"/>
      <c r="E55" s="306"/>
      <c r="F55" s="308" t="s">
        <v>32</v>
      </c>
      <c r="G55" s="308" t="s">
        <v>118</v>
      </c>
      <c r="H55" s="308" t="s">
        <v>119</v>
      </c>
      <c r="I55" s="308" t="s">
        <v>33</v>
      </c>
    </row>
    <row r="56" spans="3:31">
      <c r="C56" s="298" t="s">
        <v>120</v>
      </c>
      <c r="F56" s="309">
        <f>C67</f>
        <v>185</v>
      </c>
      <c r="G56" s="41">
        <f>F56/F58</f>
        <v>1</v>
      </c>
      <c r="H56" s="310">
        <f>C68</f>
        <v>745.12812495389073</v>
      </c>
      <c r="I56" s="311">
        <f>C71</f>
        <v>31.908814304665992</v>
      </c>
      <c r="P56" s="117"/>
      <c r="Q56" s="117" t="s">
        <v>102</v>
      </c>
      <c r="R56" s="274">
        <v>2026</v>
      </c>
      <c r="S56" s="117"/>
      <c r="T56" s="117"/>
      <c r="U56" s="117"/>
    </row>
    <row r="57" spans="3:31">
      <c r="C57" s="298"/>
      <c r="F57" s="312">
        <f>D67</f>
        <v>0</v>
      </c>
      <c r="G57" s="313">
        <f>1-G56</f>
        <v>0</v>
      </c>
      <c r="H57" s="314">
        <f>D68</f>
        <v>0</v>
      </c>
      <c r="I57" s="315">
        <f>D71</f>
        <v>0</v>
      </c>
      <c r="P57" s="350">
        <v>184.90000000000006</v>
      </c>
      <c r="Q57" s="117" t="s">
        <v>32</v>
      </c>
      <c r="R57" s="274" t="s">
        <v>150</v>
      </c>
      <c r="S57" s="274"/>
      <c r="T57" s="117"/>
      <c r="U57" s="274" t="str">
        <f>$R$57&amp;"Proposed Station Capital Costs"</f>
        <v>I_NTN_SC_FRMProposed Station Capital Costs</v>
      </c>
    </row>
    <row r="58" spans="3:31">
      <c r="C58" s="298" t="s">
        <v>121</v>
      </c>
      <c r="F58" s="309">
        <f>F56+F57</f>
        <v>185</v>
      </c>
      <c r="G58" s="41">
        <f>G56+G57</f>
        <v>1</v>
      </c>
      <c r="H58" s="310">
        <f>ROUND(((F56*H56)+(F57*H57))/F58,0)</f>
        <v>745</v>
      </c>
      <c r="I58" s="311">
        <f>ROUND(((F56*I56)+(F57*I57))/F58,2)</f>
        <v>31.91</v>
      </c>
      <c r="P58" s="350"/>
      <c r="Q58" s="117" t="s">
        <v>32</v>
      </c>
      <c r="R58" s="274"/>
      <c r="S58" s="119"/>
      <c r="T58" s="117"/>
      <c r="U58" s="274" t="str">
        <f>$R$57&amp;"Proposed Station Fixed Costs"</f>
        <v>I_NTN_SC_FRMProposed Station Fixed Costs</v>
      </c>
    </row>
    <row r="59" spans="3:31">
      <c r="C59" s="298"/>
      <c r="F59" s="309"/>
      <c r="G59" s="41"/>
      <c r="H59" s="316"/>
      <c r="I59" s="317"/>
      <c r="P59" s="117"/>
      <c r="Q59" s="117"/>
      <c r="R59" s="346" t="str">
        <f>R57&amp;R56</f>
        <v>I_NTN_SC_FRM2026</v>
      </c>
      <c r="S59" s="117"/>
      <c r="T59" s="117"/>
      <c r="U59" s="274" t="str">
        <f>$R$57&amp;"Proposed Station Variable O&amp;M Costs"</f>
        <v>I_NTN_SC_FRMProposed Station Variable O&amp;M Costs</v>
      </c>
    </row>
    <row r="60" spans="3:31">
      <c r="C60" s="318" t="s">
        <v>117</v>
      </c>
      <c r="D60" s="307"/>
      <c r="E60" s="306"/>
      <c r="F60" s="308" t="s">
        <v>32</v>
      </c>
      <c r="G60" s="308" t="s">
        <v>34</v>
      </c>
      <c r="H60" s="308" t="s">
        <v>122</v>
      </c>
      <c r="I60" s="308" t="s">
        <v>118</v>
      </c>
      <c r="J60" s="308" t="s">
        <v>123</v>
      </c>
      <c r="K60" s="308" t="s">
        <v>124</v>
      </c>
    </row>
    <row r="61" spans="3:31">
      <c r="C61" s="319" t="str">
        <f>C56</f>
        <v>SCCT Dry "F" - Turbine</v>
      </c>
      <c r="D61" s="320"/>
      <c r="E61" s="320"/>
      <c r="F61" s="85">
        <f>C67</f>
        <v>185</v>
      </c>
      <c r="G61" s="41">
        <f>C75</f>
        <v>0.33</v>
      </c>
      <c r="H61" s="321">
        <f>G61*F61</f>
        <v>61.050000000000004</v>
      </c>
      <c r="I61" s="41">
        <f>H61/H63</f>
        <v>1</v>
      </c>
      <c r="J61" s="317">
        <f>C72</f>
        <v>7.7612665227267676</v>
      </c>
      <c r="K61" s="322">
        <f>C73</f>
        <v>9786.4587359536672</v>
      </c>
    </row>
    <row r="62" spans="3:31">
      <c r="C62" s="319">
        <f>C57</f>
        <v>0</v>
      </c>
      <c r="D62" s="320"/>
      <c r="E62" s="320"/>
      <c r="F62" s="323">
        <f>D67</f>
        <v>0</v>
      </c>
      <c r="G62" s="313">
        <f>D75</f>
        <v>0</v>
      </c>
      <c r="H62" s="324">
        <f>G62*F62</f>
        <v>0</v>
      </c>
      <c r="I62" s="313">
        <f>1-I61</f>
        <v>0</v>
      </c>
      <c r="J62" s="325">
        <f>D72</f>
        <v>0</v>
      </c>
      <c r="K62" s="326">
        <f>D73</f>
        <v>0</v>
      </c>
    </row>
    <row r="63" spans="3:31">
      <c r="C63" s="298" t="s">
        <v>125</v>
      </c>
      <c r="F63" s="85">
        <f>F61+F62</f>
        <v>185</v>
      </c>
      <c r="G63" s="327">
        <f>ROUND(H63/F63,3)</f>
        <v>0.33</v>
      </c>
      <c r="H63" s="321">
        <f>SUM(H61:H62)</f>
        <v>61.050000000000004</v>
      </c>
      <c r="I63" s="41">
        <f>I61+I62</f>
        <v>1</v>
      </c>
      <c r="J63" s="317">
        <f>ROUND(($I61*J61)+($I62*J62),2)</f>
        <v>7.76</v>
      </c>
      <c r="K63" s="328">
        <f>ROUND(($I61*K61)+($I62*K62),0)</f>
        <v>9786</v>
      </c>
    </row>
    <row r="64" spans="3:31">
      <c r="G64" s="327"/>
      <c r="I64" s="41"/>
      <c r="J64" s="317"/>
      <c r="K64" s="329" t="s">
        <v>126</v>
      </c>
    </row>
    <row r="66" spans="2:29">
      <c r="C66" s="308" t="s">
        <v>127</v>
      </c>
      <c r="D66" s="308" t="s">
        <v>128</v>
      </c>
      <c r="E66" s="330" t="str">
        <f>D44</f>
        <v xml:space="preserve">Plant Costs  - 2019 IRP - Table 6.1 &amp; 6.2 </v>
      </c>
      <c r="F66" s="331"/>
      <c r="G66" s="331"/>
      <c r="H66" s="331"/>
      <c r="I66" s="331"/>
      <c r="J66" s="331"/>
      <c r="K66" s="332"/>
    </row>
    <row r="67" spans="2:29">
      <c r="C67" s="340">
        <v>185</v>
      </c>
      <c r="E67" s="85" t="s">
        <v>129</v>
      </c>
      <c r="H67" s="333"/>
    </row>
    <row r="68" spans="2:29">
      <c r="B68" s="85" t="s">
        <v>100</v>
      </c>
      <c r="C68" s="339">
        <v>745.12812495389073</v>
      </c>
      <c r="D68" s="316"/>
      <c r="E68" s="85" t="s">
        <v>130</v>
      </c>
      <c r="M68" s="338"/>
    </row>
    <row r="69" spans="2:29">
      <c r="B69" s="85" t="s">
        <v>100</v>
      </c>
      <c r="C69" s="342">
        <v>17.005460468665991</v>
      </c>
      <c r="D69" s="317"/>
      <c r="E69" s="85" t="s">
        <v>131</v>
      </c>
    </row>
    <row r="70" spans="2:29">
      <c r="B70" s="85" t="s">
        <v>100</v>
      </c>
      <c r="C70" s="343">
        <v>14.903353836000001</v>
      </c>
      <c r="D70" s="334"/>
      <c r="E70" s="85" t="s">
        <v>132</v>
      </c>
    </row>
    <row r="71" spans="2:29">
      <c r="B71" s="85" t="s">
        <v>100</v>
      </c>
      <c r="C71" s="317">
        <f>C69+C70</f>
        <v>31.908814304665992</v>
      </c>
      <c r="D71" s="317"/>
      <c r="E71" s="85" t="s">
        <v>133</v>
      </c>
    </row>
    <row r="72" spans="2:29">
      <c r="B72" s="85" t="s">
        <v>100</v>
      </c>
      <c r="C72" s="342">
        <v>7.7612665227267676</v>
      </c>
      <c r="D72" s="317"/>
      <c r="E72" s="85" t="s">
        <v>134</v>
      </c>
    </row>
    <row r="73" spans="2:29">
      <c r="C73" s="345">
        <v>9786.4587359536672</v>
      </c>
      <c r="D73" s="328"/>
      <c r="E73" s="85" t="s">
        <v>135</v>
      </c>
    </row>
    <row r="74" spans="2:29">
      <c r="C74" s="341">
        <v>6.9588491515316389E-2</v>
      </c>
      <c r="D74" s="335"/>
      <c r="E74" s="85" t="s">
        <v>36</v>
      </c>
      <c r="AB74" s="119"/>
      <c r="AC74" s="119"/>
    </row>
    <row r="75" spans="2:29">
      <c r="C75" s="344">
        <v>0.33</v>
      </c>
      <c r="D75" s="336"/>
      <c r="E75" s="85" t="s">
        <v>37</v>
      </c>
      <c r="AB75" s="119"/>
      <c r="AC75" s="119"/>
    </row>
    <row r="76" spans="2:29">
      <c r="D76" s="41">
        <f>ROUND(H63/F63,3)</f>
        <v>0.33</v>
      </c>
      <c r="E76" s="85" t="s">
        <v>136</v>
      </c>
      <c r="AB76" s="119"/>
      <c r="AC76" s="119"/>
    </row>
    <row r="77" spans="2:29">
      <c r="D77" s="327"/>
      <c r="E77" s="50"/>
      <c r="AB77" s="119"/>
      <c r="AC77" s="119"/>
    </row>
    <row r="78" spans="2:29">
      <c r="B78"/>
      <c r="C78"/>
      <c r="D78"/>
      <c r="E78"/>
      <c r="F78"/>
      <c r="AB78" s="119"/>
      <c r="AC78" s="119"/>
    </row>
    <row r="79" spans="2:29" ht="13.5" thickBot="1"/>
    <row r="80" spans="2:29" ht="13.5" thickBot="1">
      <c r="C80" s="40" t="str">
        <f>"Company Official Inflation Forecast Dated "&amp;TEXT('Table 4'!$H$5,"mmmm dd, yyyy")</f>
        <v>Company Official Inflation Forecast Dated June 30, 2021</v>
      </c>
      <c r="D80" s="142"/>
      <c r="E80" s="142"/>
      <c r="F80" s="142"/>
      <c r="G80" s="142"/>
      <c r="H80" s="142"/>
      <c r="I80" s="142"/>
      <c r="J80" s="142"/>
      <c r="K80" s="142"/>
      <c r="L80" s="144"/>
    </row>
    <row r="81" spans="3:29">
      <c r="C81" s="87">
        <v>2017</v>
      </c>
      <c r="D81" s="41">
        <v>0.02</v>
      </c>
      <c r="F81" s="87">
        <f>C89+1</f>
        <v>2026</v>
      </c>
      <c r="G81" s="41">
        <v>2.3E-2</v>
      </c>
      <c r="H81" s="41"/>
      <c r="I81" s="87">
        <f>F89+1</f>
        <v>2035</v>
      </c>
      <c r="J81" s="41">
        <v>2.3E-2</v>
      </c>
      <c r="K81" s="117"/>
      <c r="L81" s="117"/>
    </row>
    <row r="82" spans="3:29">
      <c r="C82" s="87">
        <f t="shared" ref="C82:C89" si="17">C81+1</f>
        <v>2018</v>
      </c>
      <c r="D82" s="41">
        <v>2.4E-2</v>
      </c>
      <c r="F82" s="87">
        <f t="shared" ref="F82:F89" si="18">F81+1</f>
        <v>2027</v>
      </c>
      <c r="G82" s="41">
        <v>2.3E-2</v>
      </c>
      <c r="H82" s="41"/>
      <c r="I82" s="87">
        <f>I81+1</f>
        <v>2036</v>
      </c>
      <c r="J82" s="41">
        <v>2.3E-2</v>
      </c>
      <c r="K82" s="117"/>
      <c r="L82" s="117"/>
    </row>
    <row r="83" spans="3:29">
      <c r="C83" s="87">
        <f t="shared" si="17"/>
        <v>2019</v>
      </c>
      <c r="D83" s="41">
        <v>1.7999999999999999E-2</v>
      </c>
      <c r="F83" s="87">
        <f t="shared" si="18"/>
        <v>2028</v>
      </c>
      <c r="G83" s="41">
        <v>2.3E-2</v>
      </c>
      <c r="H83" s="41"/>
      <c r="I83" s="87">
        <f t="shared" ref="I83:I89" si="19">I82+1</f>
        <v>2037</v>
      </c>
      <c r="J83" s="41">
        <v>2.3E-2</v>
      </c>
      <c r="K83" s="117"/>
      <c r="L83" s="117"/>
    </row>
    <row r="84" spans="3:29">
      <c r="C84" s="87">
        <f t="shared" si="17"/>
        <v>2020</v>
      </c>
      <c r="D84" s="41">
        <v>1.2E-2</v>
      </c>
      <c r="F84" s="87">
        <f t="shared" si="18"/>
        <v>2029</v>
      </c>
      <c r="G84" s="41">
        <v>2.4E-2</v>
      </c>
      <c r="H84" s="41"/>
      <c r="I84" s="87">
        <f t="shared" si="19"/>
        <v>2038</v>
      </c>
      <c r="J84" s="41">
        <v>2.3E-2</v>
      </c>
      <c r="K84" s="117"/>
      <c r="L84" s="117"/>
    </row>
    <row r="85" spans="3:29">
      <c r="C85" s="87">
        <f t="shared" si="17"/>
        <v>2021</v>
      </c>
      <c r="D85" s="41">
        <v>3.2000000000000001E-2</v>
      </c>
      <c r="F85" s="87">
        <f t="shared" si="18"/>
        <v>2030</v>
      </c>
      <c r="G85" s="41">
        <v>2.3E-2</v>
      </c>
      <c r="H85" s="41"/>
      <c r="I85" s="87">
        <f t="shared" si="19"/>
        <v>2039</v>
      </c>
      <c r="J85" s="41">
        <v>2.3E-2</v>
      </c>
      <c r="K85" s="117"/>
      <c r="L85" s="117"/>
    </row>
    <row r="86" spans="3:29">
      <c r="C86" s="87">
        <f t="shared" si="17"/>
        <v>2022</v>
      </c>
      <c r="D86" s="41">
        <v>2.1999999999999999E-2</v>
      </c>
      <c r="F86" s="87">
        <f t="shared" si="18"/>
        <v>2031</v>
      </c>
      <c r="G86" s="41">
        <v>2.3E-2</v>
      </c>
      <c r="H86" s="41"/>
      <c r="I86" s="87">
        <f t="shared" si="19"/>
        <v>2040</v>
      </c>
      <c r="J86" s="41">
        <v>2.3E-2</v>
      </c>
      <c r="K86" s="117"/>
      <c r="L86" s="117"/>
    </row>
    <row r="87" spans="3:29" s="86" customFormat="1">
      <c r="C87" s="87">
        <f t="shared" si="17"/>
        <v>2023</v>
      </c>
      <c r="D87" s="41">
        <v>2.1000000000000001E-2</v>
      </c>
      <c r="F87" s="87">
        <f t="shared" si="18"/>
        <v>2032</v>
      </c>
      <c r="G87" s="41">
        <v>2.3E-2</v>
      </c>
      <c r="H87" s="41"/>
      <c r="I87" s="87">
        <f t="shared" si="19"/>
        <v>2041</v>
      </c>
      <c r="J87" s="41">
        <v>2.1999999999999999E-2</v>
      </c>
      <c r="K87" s="119"/>
      <c r="L87" s="119"/>
      <c r="N87" s="85"/>
      <c r="O87" s="85"/>
      <c r="AB87" s="117"/>
      <c r="AC87" s="117"/>
    </row>
    <row r="88" spans="3:29" s="86" customFormat="1">
      <c r="C88" s="87">
        <f t="shared" si="17"/>
        <v>2024</v>
      </c>
      <c r="D88" s="41">
        <v>2.1999999999999999E-2</v>
      </c>
      <c r="F88" s="87">
        <f t="shared" si="18"/>
        <v>2033</v>
      </c>
      <c r="G88" s="41">
        <v>2.3E-2</v>
      </c>
      <c r="H88" s="41"/>
      <c r="I88" s="87">
        <f t="shared" si="19"/>
        <v>2042</v>
      </c>
      <c r="J88" s="41">
        <v>2.1999999999999999E-2</v>
      </c>
      <c r="K88" s="119"/>
      <c r="L88" s="119"/>
      <c r="N88" s="85"/>
      <c r="O88" s="85"/>
      <c r="AB88" s="117"/>
      <c r="AC88" s="117"/>
    </row>
    <row r="89" spans="3:29" s="86" customFormat="1">
      <c r="C89" s="87">
        <f t="shared" si="17"/>
        <v>2025</v>
      </c>
      <c r="D89" s="41">
        <v>2.3E-2</v>
      </c>
      <c r="F89" s="87">
        <f t="shared" si="18"/>
        <v>2034</v>
      </c>
      <c r="G89" s="41">
        <v>2.3E-2</v>
      </c>
      <c r="H89" s="41"/>
      <c r="I89" s="87">
        <f t="shared" si="19"/>
        <v>2043</v>
      </c>
      <c r="J89" s="41">
        <v>2.3E-2</v>
      </c>
      <c r="K89" s="119"/>
      <c r="L89" s="119"/>
      <c r="N89" s="85"/>
      <c r="O89" s="85"/>
      <c r="AB89" s="117"/>
      <c r="AC89" s="117"/>
    </row>
    <row r="90" spans="3:29" s="86" customFormat="1">
      <c r="N90" s="85"/>
      <c r="O90" s="85"/>
      <c r="AB90" s="117"/>
      <c r="AC90" s="117"/>
    </row>
    <row r="91" spans="3:29" s="86" customFormat="1">
      <c r="N91" s="85"/>
      <c r="O91" s="85"/>
      <c r="AB91" s="117"/>
      <c r="AC91" s="117"/>
    </row>
    <row r="92" spans="3:29">
      <c r="D92" s="337"/>
    </row>
    <row r="93" spans="3:29">
      <c r="D93" s="33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0" max="10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J23" sqref="J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155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13</v>
      </c>
      <c r="I5" s="121" t="s">
        <v>72</v>
      </c>
      <c r="J5" s="17" t="s">
        <v>52</v>
      </c>
      <c r="K5" s="121" t="s">
        <v>223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10</v>
      </c>
      <c r="I12" s="130"/>
      <c r="J12" s="130"/>
      <c r="K12" s="128">
        <f>(D12+E12+F12)</f>
        <v>0</v>
      </c>
      <c r="L12" s="119"/>
      <c r="N12" s="117"/>
      <c r="R12" s="387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10.18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10.3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10.63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10.86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11.09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11.33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11.59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11.86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12.13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12.41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347">
        <v>1709.591836734694</v>
      </c>
      <c r="D23" s="128">
        <f>C23*$C$62</f>
        <v>117.94474081632653</v>
      </c>
      <c r="E23" s="268">
        <v>25</v>
      </c>
      <c r="F23" s="128">
        <f>INDEX('Table 3 PV wS YK_2024'!$F$10:$F$38,MATCH(B23,'Table 3 PV wS YK_2024'!$B$10:$B$38,0),1)</f>
        <v>0.44</v>
      </c>
      <c r="G23" s="130">
        <f>(D23+E23+F23)/(8.76*$C$63)</f>
        <v>44.118924791790221</v>
      </c>
      <c r="H23" s="128">
        <f>ROUND(H22*(1+(IFERROR(INDEX($D$66:$D$74,MATCH($B23,$C$66:$C$74,0),1),0)+IFERROR(INDEX($G$66:$G$74,MATCH($B23,$F$66:$F$74,0),1),0)+IFERROR(INDEX(#REF!,MATCH($B23,$I$66:$I$74,0),1),0))),2)</f>
        <v>12.71</v>
      </c>
      <c r="I23" s="130">
        <f>(G23+H23)</f>
        <v>56.828924791790222</v>
      </c>
      <c r="J23" s="130">
        <f t="shared" ref="J23" si="2">ROUND(I23*$C$63*8.76,2)</f>
        <v>184.69</v>
      </c>
      <c r="K23" s="128">
        <f t="shared" si="1"/>
        <v>143.38474081632654</v>
      </c>
      <c r="L23" s="119"/>
      <c r="N23" s="117"/>
      <c r="P23" s="19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>
        <f t="shared" ref="D24:E37" si="3">ROUND(D23*(1+(IFERROR(INDEX($D$66:$D$74,MATCH($B24,$C$66:$C$74,0),1),0)+IFERROR(INDEX($G$66:$G$74,MATCH($B24,$F$66:$F$74,0),1),0)+IFERROR(INDEX($J$66:$J$74,MATCH($B24,$I$66:$I$74,0),1),0))),2)</f>
        <v>120.66</v>
      </c>
      <c r="E24" s="268">
        <v>25.510204081632654</v>
      </c>
      <c r="F24" s="128">
        <f>INDEX('Table 3 PV wS YK_2024'!$F$10:$F$38,MATCH(B24,'Table 3 PV wS YK_2024'!$B$10:$B$38,0),1)</f>
        <v>0.45</v>
      </c>
      <c r="G24" s="130">
        <f t="shared" ref="G24:G37" si="4">(D24+E24+F24)/(8.76*$C$63)</f>
        <v>45.114464203138702</v>
      </c>
      <c r="H24" s="128">
        <f>ROUND(H23*(1+(IFERROR(INDEX($D$66:$D$74,MATCH($B24,$C$66:$C$74,0),1),0)+IFERROR(INDEX($G$66:$G$74,MATCH($B24,$F$66:$F$74,0),1),0)+IFERROR(INDEX(#REF!,MATCH($B24,$I$66:$I$74,0),1),0))),2)</f>
        <v>13</v>
      </c>
      <c r="I24" s="130">
        <f t="shared" ref="I24:I37" si="5">(G24+H24)</f>
        <v>58.114464203138702</v>
      </c>
      <c r="J24" s="130">
        <f t="shared" ref="J24:J32" si="6">ROUND(I24*$C$63*8.76,2)</f>
        <v>188.87</v>
      </c>
      <c r="K24" s="128">
        <f t="shared" si="1"/>
        <v>146.62020408163264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>
        <f t="shared" si="3"/>
        <v>123.44</v>
      </c>
      <c r="E25" s="268">
        <v>26.122448979591837</v>
      </c>
      <c r="F25" s="128">
        <f>INDEX('Table 3 PV wS YK_2024'!$F$10:$F$38,MATCH(B25,'Table 3 PV wS YK_2024'!$B$10:$B$38,0),1)</f>
        <v>0.46</v>
      </c>
      <c r="G25" s="130">
        <f t="shared" si="4"/>
        <v>46.161321671525762</v>
      </c>
      <c r="H25" s="128">
        <f>ROUND(H24*(1+(IFERROR(INDEX($D$66:$D$74,MATCH($B25,$C$66:$C$74,0),1),0)+IFERROR(INDEX($G$66:$G$74,MATCH($B25,$F$66:$F$74,0),1),0)+IFERROR(INDEX(#REF!,MATCH($B25,$I$66:$I$74,0),1),0))),2)</f>
        <v>13.3</v>
      </c>
      <c r="I25" s="130">
        <f t="shared" si="5"/>
        <v>59.461321671525766</v>
      </c>
      <c r="J25" s="130">
        <f t="shared" si="6"/>
        <v>193.25</v>
      </c>
      <c r="K25" s="128">
        <f t="shared" si="1"/>
        <v>150.02244897959184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136"/>
      <c r="D26" s="128">
        <f t="shared" si="3"/>
        <v>126.28</v>
      </c>
      <c r="E26" s="268">
        <v>26.73469387755102</v>
      </c>
      <c r="F26" s="128">
        <f>INDEX('Table 3 PV wS YK_2024'!$F$10:$F$38,MATCH(B26,'Table 3 PV wS YK_2024'!$B$10:$B$38,0),1)</f>
        <v>0.47</v>
      </c>
      <c r="G26" s="130">
        <f t="shared" si="4"/>
        <v>47.226640905596078</v>
      </c>
      <c r="H26" s="128">
        <f>ROUND(H25*(1+(IFERROR(INDEX($D$66:$D$74,MATCH($B26,$C$66:$C$74,0),1),0)+IFERROR(INDEX($G$66:$G$74,MATCH($B26,$F$66:$F$74,0),1),0)+IFERROR(INDEX(#REF!,MATCH($B26,$I$66:$I$74,0),1),0))),2)</f>
        <v>13.61</v>
      </c>
      <c r="I26" s="130">
        <f t="shared" si="5"/>
        <v>60.836640905596077</v>
      </c>
      <c r="J26" s="130">
        <f t="shared" si="6"/>
        <v>197.72</v>
      </c>
      <c r="K26" s="128">
        <f t="shared" si="1"/>
        <v>153.48469387755102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si="3"/>
        <v>129.18</v>
      </c>
      <c r="E27" s="268">
        <v>27.346938775510203</v>
      </c>
      <c r="F27" s="128">
        <f>INDEX('Table 3 PV wS YK_2024'!$F$10:$F$38,MATCH(B27,'Table 3 PV wS YK_2024'!$B$10:$B$38,0),1)</f>
        <v>0.48</v>
      </c>
      <c r="G27" s="130">
        <f t="shared" si="4"/>
        <v>48.310421905349671</v>
      </c>
      <c r="H27" s="128">
        <f>ROUND(H26*(1+(IFERROR(INDEX($D$66:$D$74,MATCH($B27,$C$66:$C$74,0),1),0)+IFERROR(INDEX($G$66:$G$74,MATCH($B27,$F$66:$F$74,0),1),0)+IFERROR(INDEX(#REF!,MATCH($B27,$I$66:$I$74,0),1),0))),2)</f>
        <v>13.92</v>
      </c>
      <c r="I27" s="130">
        <f t="shared" si="5"/>
        <v>62.230421905349672</v>
      </c>
      <c r="J27" s="130">
        <f t="shared" si="6"/>
        <v>202.25</v>
      </c>
      <c r="K27" s="128">
        <f t="shared" si="1"/>
        <v>157.00693877551021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132.15</v>
      </c>
      <c r="E28" s="268">
        <v>27.959183673469386</v>
      </c>
      <c r="F28" s="128">
        <f>INDEX('Table 3 PV wS YK_2024'!$F$10:$F$38,MATCH(B28,'Table 3 PV wS YK_2024'!$B$10:$B$38,0),1)</f>
        <v>0.49</v>
      </c>
      <c r="G28" s="130">
        <f t="shared" si="4"/>
        <v>49.415741631733752</v>
      </c>
      <c r="H28" s="128">
        <f>ROUND(H27*(1+(IFERROR(INDEX($D$66:$D$74,MATCH($B28,$C$66:$C$74,0),1),0)+IFERROR(INDEX($G$66:$G$74,MATCH($B28,$F$66:$F$74,0),1),0)+IFERROR(INDEX(#REF!,MATCH($B28,$I$66:$I$74,0),1),0))),2)</f>
        <v>14.24</v>
      </c>
      <c r="I28" s="130">
        <f t="shared" si="5"/>
        <v>63.655741631733754</v>
      </c>
      <c r="J28" s="130">
        <f t="shared" si="6"/>
        <v>206.88</v>
      </c>
      <c r="K28" s="128">
        <f t="shared" si="1"/>
        <v>160.59918367346941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135.19</v>
      </c>
      <c r="E29" s="268">
        <v>28.571428571428573</v>
      </c>
      <c r="F29" s="128">
        <f>INDEX('Table 3 PV wS YK_2024'!$F$10:$F$38,MATCH(B29,'Table 3 PV wS YK_2024'!$B$10:$B$38,0),1)</f>
        <v>0.5</v>
      </c>
      <c r="G29" s="130">
        <f t="shared" si="4"/>
        <v>50.542600084748301</v>
      </c>
      <c r="H29" s="128">
        <f>ROUND(H28*(1+(IFERROR(INDEX($D$66:$D$74,MATCH($B29,$C$66:$C$74,0),1),0)+IFERROR(INDEX($G$66:$G$74,MATCH($B29,$F$66:$F$74,0),1),0)+IFERROR(INDEX(#REF!,MATCH($B29,$I$66:$I$74,0),1),0))),2)</f>
        <v>14.24</v>
      </c>
      <c r="I29" s="130">
        <f t="shared" si="5"/>
        <v>64.782600084748296</v>
      </c>
      <c r="J29" s="130">
        <f t="shared" si="6"/>
        <v>210.54</v>
      </c>
      <c r="K29" s="128">
        <f t="shared" si="1"/>
        <v>164.26142857142858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138.30000000000001</v>
      </c>
      <c r="E30" s="268">
        <v>29.183673469387756</v>
      </c>
      <c r="F30" s="128">
        <f>INDEX('Table 3 PV wS YK_2024'!$F$10:$F$38,MATCH(B30,'Table 3 PV wS YK_2024'!$B$10:$B$38,0),1)</f>
        <v>0.51</v>
      </c>
      <c r="G30" s="130">
        <f t="shared" si="4"/>
        <v>51.690997264393339</v>
      </c>
      <c r="H30" s="128">
        <f>ROUND(H29*(1+(IFERROR(INDEX($D$66:$D$74,MATCH($B30,$C$66:$C$74,0),1),0)+IFERROR(INDEX($G$66:$G$74,MATCH($B30,$F$66:$F$74,0),1),0)+IFERROR(INDEX(#REF!,MATCH($B30,$I$66:$I$74,0),1),0))),2)</f>
        <v>14.24</v>
      </c>
      <c r="I30" s="130">
        <f t="shared" si="5"/>
        <v>65.930997264393341</v>
      </c>
      <c r="J30" s="130">
        <f t="shared" si="6"/>
        <v>214.27</v>
      </c>
      <c r="K30" s="128">
        <f t="shared" si="1"/>
        <v>167.99367346938777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141.47999999999999</v>
      </c>
      <c r="E31" s="268">
        <v>29.897959183673468</v>
      </c>
      <c r="F31" s="128">
        <f>INDEX('Table 3 PV wS YK_2024'!$F$10:$F$38,MATCH(B31,'Table 3 PV wS YK_2024'!$B$10:$B$38,0),1)</f>
        <v>0.52</v>
      </c>
      <c r="G31" s="130">
        <f t="shared" si="4"/>
        <v>52.89233073135469</v>
      </c>
      <c r="H31" s="128">
        <f>ROUND(H30*(1+(IFERROR(INDEX($D$66:$D$74,MATCH($B31,$C$66:$C$74,0),1),0)+IFERROR(INDEX($G$66:$G$74,MATCH($B31,$F$66:$F$74,0),1),0)+IFERROR(INDEX(#REF!,MATCH($B31,$I$66:$I$74,0),1),0))),2)</f>
        <v>14.24</v>
      </c>
      <c r="I31" s="130">
        <f t="shared" si="5"/>
        <v>67.132330731354685</v>
      </c>
      <c r="J31" s="130">
        <f t="shared" si="6"/>
        <v>218.18</v>
      </c>
      <c r="K31" s="128">
        <f t="shared" si="1"/>
        <v>171.89795918367346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144.72999999999999</v>
      </c>
      <c r="E32" s="268">
        <v>30.612244897959183</v>
      </c>
      <c r="F32" s="128">
        <f>INDEX('Table 3 PV wS YK_2024'!$F$10:$F$38,MATCH(B32,'Table 3 PV wS YK_2024'!$B$10:$B$38,0),1)</f>
        <v>0.53</v>
      </c>
      <c r="G32" s="130">
        <f t="shared" si="4"/>
        <v>54.115202924946523</v>
      </c>
      <c r="H32" s="128">
        <f>ROUND(H31*(1+(IFERROR(INDEX($D$66:$D$74,MATCH($B32,$C$66:$C$74,0),1),0)+IFERROR(INDEX($G$66:$G$74,MATCH($B32,$F$66:$F$74,0),1),0)+IFERROR(INDEX(#REF!,MATCH($B32,$I$66:$I$74,0),1),0))),2)</f>
        <v>14.24</v>
      </c>
      <c r="I32" s="130">
        <f t="shared" si="5"/>
        <v>68.355202924946525</v>
      </c>
      <c r="J32" s="130">
        <f t="shared" si="6"/>
        <v>222.15</v>
      </c>
      <c r="K32" s="128">
        <f t="shared" si="1"/>
        <v>175.87224489795918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148.06</v>
      </c>
      <c r="E33" s="128">
        <f t="shared" si="3"/>
        <v>31.32</v>
      </c>
      <c r="F33" s="128">
        <f>INDEX('Table 3 PV wS YK_2024'!$F$10:$F$38,MATCH(B33,'Table 3 PV wS YK_2024'!$B$10:$B$38,0),1)</f>
        <v>0.54</v>
      </c>
      <c r="G33" s="130">
        <f t="shared" si="4"/>
        <v>55.36068136223215</v>
      </c>
      <c r="H33" s="128">
        <f>ROUND(H32*(1+(IFERROR(INDEX($D$66:$D$74,MATCH($B33,$C$66:$C$74,0),1),0)+IFERROR(INDEX($G$66:$G$74,MATCH($B33,$F$66:$F$74,0),1),0)+IFERROR(INDEX(#REF!,MATCH($B33,$I$66:$I$74,0),1),0))),2)</f>
        <v>14.24</v>
      </c>
      <c r="I33" s="130">
        <f t="shared" si="5"/>
        <v>69.600681362232152</v>
      </c>
      <c r="J33" s="130">
        <f t="shared" ref="J33:J37" si="7">ROUND(I33*$C$63*8.76,2)</f>
        <v>226.2</v>
      </c>
      <c r="K33" s="128">
        <f t="shared" si="1"/>
        <v>179.92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3"/>
        <v>151.47</v>
      </c>
      <c r="E34" s="128">
        <f t="shared" ref="E34" si="8">ROUND(E33*(1+(IFERROR(INDEX($D$66:$D$74,MATCH($B34,$C$66:$C$74,0),1),0)+IFERROR(INDEX($G$66:$G$74,MATCH($B34,$F$66:$F$74,0),1),0)+IFERROR(INDEX($J$66:$J$74,MATCH($B34,$I$66:$I$74,0),1),0))),2)</f>
        <v>32.04</v>
      </c>
      <c r="F34" s="128">
        <f>INDEX('Table 3 PV wS YK_2024'!$F$10:$F$38,MATCH(B34,'Table 3 PV wS YK_2024'!$B$10:$B$38,0),1)</f>
        <v>0.55000000000000004</v>
      </c>
      <c r="G34" s="130">
        <f t="shared" si="4"/>
        <v>56.634543194377784</v>
      </c>
      <c r="H34" s="128">
        <f>ROUND(H33*(1+(IFERROR(INDEX($D$66:$D$74,MATCH($B34,$C$66:$C$74,0),1),0)+IFERROR(INDEX($G$66:$G$74,MATCH($B34,$F$66:$F$74,0),1),0)+IFERROR(INDEX(#REF!,MATCH($B34,$I$66:$I$74,0),1),0))),2)</f>
        <v>14.24</v>
      </c>
      <c r="I34" s="130">
        <f t="shared" si="5"/>
        <v>70.874543194377779</v>
      </c>
      <c r="J34" s="130">
        <f t="shared" si="7"/>
        <v>230.34</v>
      </c>
      <c r="K34" s="128">
        <f t="shared" si="1"/>
        <v>184.06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3"/>
        <v>154.80000000000001</v>
      </c>
      <c r="E35" s="128">
        <f t="shared" ref="E35" si="9">ROUND(E34*(1+(IFERROR(INDEX($D$66:$D$74,MATCH($B35,$C$66:$C$74,0),1),0)+IFERROR(INDEX($G$66:$G$74,MATCH($B35,$F$66:$F$74,0),1),0)+IFERROR(INDEX($J$66:$J$74,MATCH($B35,$I$66:$I$74,0),1),0))),2)</f>
        <v>32.74</v>
      </c>
      <c r="F35" s="128">
        <f>INDEX('Table 3 PV wS YK_2024'!$F$10:$F$38,MATCH(B35,'Table 3 PV wS YK_2024'!$B$10:$B$38,0),1)</f>
        <v>0.56000000000000005</v>
      </c>
      <c r="G35" s="130">
        <f t="shared" si="4"/>
        <v>57.877635417051302</v>
      </c>
      <c r="H35" s="128">
        <f>ROUND(H34*(1+(IFERROR(INDEX($D$66:$D$74,MATCH($B35,$C$66:$C$74,0),1),0)+IFERROR(INDEX($G$66:$G$74,MATCH($B35,$F$66:$F$74,0),1),0)+IFERROR(INDEX(#REF!,MATCH($B35,$I$66:$I$74,0),1),0))),2)</f>
        <v>14.24</v>
      </c>
      <c r="I35" s="130">
        <f t="shared" si="5"/>
        <v>72.117635417051304</v>
      </c>
      <c r="J35" s="130">
        <f t="shared" si="7"/>
        <v>234.38</v>
      </c>
      <c r="K35" s="128">
        <f t="shared" si="1"/>
        <v>188.10000000000002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3"/>
        <v>158.21</v>
      </c>
      <c r="E36" s="128">
        <f t="shared" ref="E36" si="10">ROUND(E35*(1+(IFERROR(INDEX($D$66:$D$74,MATCH($B36,$C$66:$C$74,0),1),0)+IFERROR(INDEX($G$66:$G$74,MATCH($B36,$F$66:$F$74,0),1),0)+IFERROR(INDEX($J$66:$J$74,MATCH($B36,$I$66:$I$74,0),1),0))),2)</f>
        <v>33.46</v>
      </c>
      <c r="F36" s="128">
        <f>INDEX('Table 3 PV wS YK_2024'!$F$10:$F$38,MATCH(B36,'Table 3 PV wS YK_2024'!$B$10:$B$38,0),1)</f>
        <v>0.56999999999999995</v>
      </c>
      <c r="G36" s="130">
        <f t="shared" si="4"/>
        <v>59.151497249196922</v>
      </c>
      <c r="H36" s="128">
        <f>ROUND(H35*(1+(IFERROR(INDEX($D$66:$D$74,MATCH($B36,$C$66:$C$74,0),1),0)+IFERROR(INDEX($G$66:$G$74,MATCH($B36,$F$66:$F$74,0),1),0)+IFERROR(INDEX(#REF!,MATCH($B36,$I$66:$I$74,0),1),0))),2)</f>
        <v>14.24</v>
      </c>
      <c r="I36" s="130">
        <f t="shared" si="5"/>
        <v>73.391497249196917</v>
      </c>
      <c r="J36" s="130">
        <f t="shared" si="7"/>
        <v>238.52</v>
      </c>
      <c r="K36" s="128">
        <f t="shared" si="1"/>
        <v>192.24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3"/>
        <v>161.85</v>
      </c>
      <c r="E37" s="128">
        <f t="shared" ref="E37" si="11">ROUND(E36*(1+(IFERROR(INDEX($D$66:$D$74,MATCH($B37,$C$66:$C$74,0),1),0)+IFERROR(INDEX($G$66:$G$74,MATCH($B37,$F$66:$F$74,0),1),0)+IFERROR(INDEX($J$66:$J$74,MATCH($B37,$I$66:$I$74,0),1),0))),2)</f>
        <v>34.229999999999997</v>
      </c>
      <c r="F37" s="128">
        <f>INDEX('Table 3 PV wS YK_2024'!$F$10:$F$38,MATCH(B37,'Table 3 PV wS YK_2024'!$B$10:$B$38,0),1)</f>
        <v>0.57999999999999996</v>
      </c>
      <c r="G37" s="130">
        <f t="shared" si="4"/>
        <v>60.511513987864468</v>
      </c>
      <c r="H37" s="128">
        <f>ROUND(H36*(1+(IFERROR(INDEX($D$66:$D$74,MATCH($B37,$C$66:$C$74,0),1),0)+IFERROR(INDEX($G$66:$G$74,MATCH($B37,$F$66:$F$74,0),1),0)+IFERROR(INDEX(#REF!,MATCH($B37,$I$66:$I$74,0),1),0))),2)</f>
        <v>14.24</v>
      </c>
      <c r="I37" s="130">
        <f t="shared" si="5"/>
        <v>74.75151398786447</v>
      </c>
      <c r="J37" s="130">
        <f t="shared" si="7"/>
        <v>242.94</v>
      </c>
      <c r="K37" s="128">
        <f t="shared" si="1"/>
        <v>196.66</v>
      </c>
      <c r="L37" s="119"/>
      <c r="N37" s="117"/>
      <c r="AA37" s="277"/>
    </row>
    <row r="38" spans="2:27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AA38" s="277"/>
    </row>
    <row r="39" spans="2:27">
      <c r="B39" s="135"/>
      <c r="C39" s="136"/>
      <c r="D39" s="128"/>
      <c r="E39" s="128"/>
      <c r="F39" s="128"/>
      <c r="G39" s="130"/>
      <c r="H39" s="128"/>
      <c r="I39" s="130"/>
      <c r="J39" s="130"/>
      <c r="K39" s="128"/>
      <c r="L39" s="119"/>
      <c r="N39" s="117"/>
      <c r="AA39" s="277"/>
    </row>
    <row r="40" spans="2:27">
      <c r="B40" s="135"/>
      <c r="C40" s="136"/>
      <c r="D40" s="128"/>
      <c r="E40" s="128"/>
      <c r="F40" s="128"/>
      <c r="G40" s="130"/>
      <c r="H40" s="128"/>
      <c r="I40" s="130"/>
      <c r="J40" s="130"/>
      <c r="K40" s="128"/>
      <c r="L40" s="119"/>
      <c r="N40" s="117"/>
      <c r="AA40" s="277"/>
    </row>
    <row r="41" spans="2:27">
      <c r="B41" s="135"/>
      <c r="C41" s="136"/>
      <c r="D41" s="128"/>
      <c r="E41" s="128"/>
      <c r="F41" s="128"/>
      <c r="G41" s="130"/>
      <c r="H41" s="128"/>
      <c r="I41" s="130"/>
      <c r="J41" s="130"/>
      <c r="K41" s="128"/>
      <c r="L41" s="119"/>
      <c r="N41" s="117"/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62</v>
      </c>
      <c r="C44" s="140" t="s">
        <v>63</v>
      </c>
      <c r="D44" s="141" t="s">
        <v>101</v>
      </c>
      <c r="AA44" s="277"/>
    </row>
    <row r="45" spans="2:27">
      <c r="C45" s="140" t="str">
        <f>C7</f>
        <v>(a)</v>
      </c>
      <c r="D45" s="117" t="s">
        <v>64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65</v>
      </c>
      <c r="D53" s="146" t="s">
        <v>66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102</v>
      </c>
      <c r="Q54" s="117">
        <v>2029</v>
      </c>
    </row>
    <row r="55" spans="2:27">
      <c r="B55" s="85" t="s">
        <v>100</v>
      </c>
      <c r="C55" s="170">
        <v>1923.6831909029345</v>
      </c>
      <c r="D55" s="117" t="s">
        <v>64</v>
      </c>
      <c r="T55" s="117" t="str">
        <f>$Q$56&amp;"Proposed Station Capital Costs"</f>
        <v>H_.YK1_WDSProposed Station Capital Costs</v>
      </c>
    </row>
    <row r="56" spans="2:27">
      <c r="B56" s="85" t="s">
        <v>100</v>
      </c>
      <c r="C56" s="268">
        <v>30.743277943329019</v>
      </c>
      <c r="D56" s="117" t="s">
        <v>67</v>
      </c>
      <c r="O56" s="117">
        <v>9.8000000000000007</v>
      </c>
      <c r="P56" s="117" t="s">
        <v>32</v>
      </c>
      <c r="Q56" s="117" t="s">
        <v>156</v>
      </c>
      <c r="T56" s="117" t="str">
        <f>Q56&amp;"Proposed Station Fixed Costs"</f>
        <v>H_.YK1_WDSProposed Station Fixed Costs</v>
      </c>
      <c r="Z56" s="117" t="s">
        <v>109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104</v>
      </c>
    </row>
    <row r="58" spans="2:27">
      <c r="B58" s="85" t="s">
        <v>100</v>
      </c>
      <c r="C58" s="268">
        <v>10</v>
      </c>
      <c r="D58" s="117" t="s">
        <v>68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H_.YK1_WDSProposed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69</v>
      </c>
      <c r="I59" s="196" t="s">
        <v>90</v>
      </c>
      <c r="L59" s="151"/>
      <c r="M59" s="152"/>
      <c r="O59" s="150"/>
      <c r="P59" s="119"/>
      <c r="Q59" s="213" t="str">
        <f>Q56&amp;Q54</f>
        <v>H_.YK1_WDS2029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217</v>
      </c>
      <c r="F60" s="274" t="s">
        <v>182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3.2000000000000001E-2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2.1999999999999999E-2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2.1999999999999999E-2</v>
      </c>
      <c r="N72" s="164"/>
    </row>
    <row r="73" spans="3:14" s="119" customFormat="1">
      <c r="C73" s="87">
        <f t="shared" si="12"/>
        <v>2024</v>
      </c>
      <c r="D73" s="41">
        <v>2.1999999999999999E-2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2.1999999999999999E-2</v>
      </c>
      <c r="N73" s="164"/>
    </row>
    <row r="74" spans="3:14" s="119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2.3E-2</v>
      </c>
      <c r="H74" s="41"/>
      <c r="I74" s="87">
        <f t="shared" si="14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A5" sqref="A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155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13</v>
      </c>
      <c r="I5" s="121" t="s">
        <v>72</v>
      </c>
      <c r="J5" s="17" t="s">
        <v>52</v>
      </c>
      <c r="K5" s="121" t="s">
        <v>223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387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0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0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0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0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0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0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0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0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0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0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136"/>
      <c r="D23" s="128"/>
      <c r="E23" s="148"/>
      <c r="F23" s="148"/>
      <c r="G23" s="130"/>
      <c r="H23" s="128">
        <f>ROUND(H22*(1+(IFERROR(INDEX($D$66:$D$74,MATCH($B23,$C$66:$C$74,0),1),0)+IFERROR(INDEX($G$66:$G$74,MATCH($B23,$F$66:$F$74,0),1),0)+IFERROR(INDEX(#REF!,MATCH($B23,$I$66:$I$74,0),1),0))),2)</f>
        <v>0</v>
      </c>
      <c r="I23" s="130"/>
      <c r="J23" s="130"/>
      <c r="K23" s="128">
        <f t="shared" si="1"/>
        <v>0</v>
      </c>
      <c r="L23" s="119"/>
      <c r="N23" s="11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/>
      <c r="E24" s="148"/>
      <c r="F24" s="148"/>
      <c r="G24" s="130"/>
      <c r="H24" s="128">
        <f>ROUND(H23*(1+(IFERROR(INDEX($D$66:$D$74,MATCH($B24,$C$66:$C$74,0),1),0)+IFERROR(INDEX($G$66:$G$74,MATCH($B24,$F$66:$F$74,0),1),0)+IFERROR(INDEX(#REF!,MATCH($B24,$I$66:$I$74,0),1),0))),2)</f>
        <v>0</v>
      </c>
      <c r="I24" s="130"/>
      <c r="J24" s="130"/>
      <c r="K24" s="128">
        <f t="shared" si="1"/>
        <v>0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/>
      <c r="E25" s="148"/>
      <c r="F25" s="148"/>
      <c r="G25" s="130"/>
      <c r="H25" s="128">
        <f>ROUND(H24*(1+(IFERROR(INDEX($D$66:$D$74,MATCH($B25,$C$66:$C$74,0),1),0)+IFERROR(INDEX($G$66:$G$74,MATCH($B25,$F$66:$F$74,0),1),0)+IFERROR(INDEX(#REF!,MATCH($B25,$I$66:$I$74,0),1),0))),2)</f>
        <v>0</v>
      </c>
      <c r="I25" s="130"/>
      <c r="J25" s="130"/>
      <c r="K25" s="128">
        <f t="shared" si="1"/>
        <v>0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347">
        <v>1672.135761589404</v>
      </c>
      <c r="D26" s="128">
        <f>C26*$C$62</f>
        <v>115.36064619205297</v>
      </c>
      <c r="E26" s="268">
        <v>26.705298013245034</v>
      </c>
      <c r="F26" s="128">
        <f>INDEX('Table 3 ID Wind_2030'!$F$10:$F$38,MATCH(B26,'Table 3 ID Wind_2030'!$B$10:$B$38,0),1)</f>
        <v>12.66</v>
      </c>
      <c r="G26" s="130">
        <f>(D26+E26+F26)/(8.76*$C$63)</f>
        <v>47.608568784015191</v>
      </c>
      <c r="H26" s="128">
        <f>ROUND(H25*(1+(IFERROR(INDEX($D$66:$D$74,MATCH($B26,$C$66:$C$74,0),1),0)+IFERROR(INDEX($G$66:$G$74,MATCH($B26,$F$66:$F$74,0),1),0)+IFERROR(INDEX(#REF!,MATCH($B26,$I$66:$I$74,0),1),0))),2)</f>
        <v>0</v>
      </c>
      <c r="I26" s="130">
        <f>(G26+H26)</f>
        <v>47.608568784015191</v>
      </c>
      <c r="J26" s="130">
        <f t="shared" ref="J26:J32" si="2">ROUND(I26*$C$63*8.76,2)</f>
        <v>154.72999999999999</v>
      </c>
      <c r="K26" s="128">
        <f t="shared" si="1"/>
        <v>154.72594420529799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ref="D27:E37" si="3">ROUND(D26*(1+(IFERROR(INDEX($D$66:$D$74,MATCH($B27,$C$66:$C$74,0),1),0)+IFERROR(INDEX($G$66:$G$74,MATCH($B27,$F$66:$F$74,0),1),0)+IFERROR(INDEX($J$66:$J$74,MATCH($B27,$I$66:$I$74,0),1),0))),2)</f>
        <v>118.01</v>
      </c>
      <c r="E27" s="268">
        <v>27.317880794701988</v>
      </c>
      <c r="F27" s="128">
        <f>INDEX('Table 3 ID Wind_2030'!$F$10:$F$38,MATCH(B27,'Table 3 ID Wind_2030'!$B$10:$B$38,0),1)</f>
        <v>12.95</v>
      </c>
      <c r="G27" s="130">
        <f t="shared" ref="G27:G37" si="4">(D27+E27+F27)/(8.76*$C$63)</f>
        <v>48.701485801272014</v>
      </c>
      <c r="H27" s="128">
        <f>ROUND(H26*(1+(IFERROR(INDEX($D$66:$D$74,MATCH($B27,$C$66:$C$74,0),1),0)+IFERROR(INDEX($G$66:$G$74,MATCH($B27,$F$66:$F$74,0),1),0)+IFERROR(INDEX(#REF!,MATCH($B27,$I$66:$I$74,0),1),0))),2)</f>
        <v>0</v>
      </c>
      <c r="I27" s="130">
        <f t="shared" ref="I27:I37" si="5">(G27+H27)</f>
        <v>48.701485801272014</v>
      </c>
      <c r="J27" s="130">
        <f t="shared" si="2"/>
        <v>158.28</v>
      </c>
      <c r="K27" s="128">
        <f t="shared" si="1"/>
        <v>158.27788079470199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120.72</v>
      </c>
      <c r="E28" s="268">
        <v>27.94701986754967</v>
      </c>
      <c r="F28" s="128">
        <f>INDEX('Table 3 ID Wind_2030'!$F$10:$F$38,MATCH(B28,'Table 3 ID Wind_2030'!$B$10:$B$38,0),1)</f>
        <v>13.25</v>
      </c>
      <c r="G28" s="130">
        <f t="shared" si="4"/>
        <v>49.821234682134452</v>
      </c>
      <c r="H28" s="128">
        <f>ROUND(H27*(1+(IFERROR(INDEX($D$66:$D$74,MATCH($B28,$C$66:$C$74,0),1),0)+IFERROR(INDEX($G$66:$G$74,MATCH($B28,$F$66:$F$74,0),1),0)+IFERROR(INDEX(#REF!,MATCH($B28,$I$66:$I$74,0),1),0))),2)</f>
        <v>0</v>
      </c>
      <c r="I28" s="130">
        <f t="shared" si="5"/>
        <v>49.821234682134452</v>
      </c>
      <c r="J28" s="130">
        <f t="shared" si="2"/>
        <v>161.91999999999999</v>
      </c>
      <c r="K28" s="128">
        <f t="shared" si="1"/>
        <v>161.91701986754967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123.5</v>
      </c>
      <c r="E29" s="268">
        <v>28.576158940397352</v>
      </c>
      <c r="F29" s="128">
        <f>INDEX('Table 3 ID Wind_2030'!$F$10:$F$38,MATCH(B29,'Table 3 ID Wind_2030'!$B$10:$B$38,0),1)</f>
        <v>13.55</v>
      </c>
      <c r="G29" s="130">
        <f t="shared" si="4"/>
        <v>50.96252228962738</v>
      </c>
      <c r="H29" s="128">
        <f>ROUND(H28*(1+(IFERROR(INDEX($D$66:$D$74,MATCH($B29,$C$66:$C$74,0),1),0)+IFERROR(INDEX($G$66:$G$74,MATCH($B29,$F$66:$F$74,0),1),0)+IFERROR(INDEX(#REF!,MATCH($B29,$I$66:$I$74,0),1),0))),2)</f>
        <v>0</v>
      </c>
      <c r="I29" s="130">
        <f t="shared" si="5"/>
        <v>50.96252228962738</v>
      </c>
      <c r="J29" s="130">
        <f t="shared" si="2"/>
        <v>165.63</v>
      </c>
      <c r="K29" s="128">
        <f t="shared" si="1"/>
        <v>165.62615894039737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126.34</v>
      </c>
      <c r="E30" s="268">
        <v>29.221854304635762</v>
      </c>
      <c r="F30" s="128">
        <f>INDEX('Table 3 ID Wind_2030'!$F$10:$F$38,MATCH(B30,'Table 3 ID Wind_2030'!$B$10:$B$38,0),1)</f>
        <v>13.86</v>
      </c>
      <c r="G30" s="130">
        <f t="shared" si="4"/>
        <v>52.130442929954761</v>
      </c>
      <c r="H30" s="128">
        <f>ROUND(H29*(1+(IFERROR(INDEX($D$66:$D$74,MATCH($B30,$C$66:$C$74,0),1),0)+IFERROR(INDEX($G$66:$G$74,MATCH($B30,$F$66:$F$74,0),1),0)+IFERROR(INDEX(#REF!,MATCH($B30,$I$66:$I$74,0),1),0))),2)</f>
        <v>0</v>
      </c>
      <c r="I30" s="130">
        <f t="shared" si="5"/>
        <v>52.130442929954761</v>
      </c>
      <c r="J30" s="130">
        <f t="shared" si="2"/>
        <v>169.42</v>
      </c>
      <c r="K30" s="128">
        <f t="shared" si="1"/>
        <v>169.42185430463576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129.25</v>
      </c>
      <c r="E31" s="268">
        <v>29.900662251655628</v>
      </c>
      <c r="F31" s="128">
        <f>INDEX('Table 3 ID Wind_2030'!$F$10:$F$38,MATCH(B31,'Table 3 ID Wind_2030'!$B$10:$B$38,0),1)</f>
        <v>14.18</v>
      </c>
      <c r="G31" s="130">
        <f t="shared" si="4"/>
        <v>53.333167870267836</v>
      </c>
      <c r="H31" s="128">
        <f>ROUND(H30*(1+(IFERROR(INDEX($D$66:$D$74,MATCH($B31,$C$66:$C$74,0),1),0)+IFERROR(INDEX($G$66:$G$74,MATCH($B31,$F$66:$F$74,0),1),0)+IFERROR(INDEX(#REF!,MATCH($B31,$I$66:$I$74,0),1),0))),2)</f>
        <v>0</v>
      </c>
      <c r="I31" s="130">
        <f t="shared" si="5"/>
        <v>53.333167870267836</v>
      </c>
      <c r="J31" s="130">
        <f t="shared" si="2"/>
        <v>173.33</v>
      </c>
      <c r="K31" s="128">
        <f t="shared" si="1"/>
        <v>173.33066225165564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132.22</v>
      </c>
      <c r="E32" s="268">
        <v>30.579470198675498</v>
      </c>
      <c r="F32" s="128">
        <f>INDEX('Table 3 ID Wind_2030'!$F$10:$F$38,MATCH(B32,'Table 3 ID Wind_2030'!$B$10:$B$38,0),1)</f>
        <v>14.51</v>
      </c>
      <c r="G32" s="130">
        <f t="shared" si="4"/>
        <v>54.557431537211379</v>
      </c>
      <c r="H32" s="128">
        <f>ROUND(H31*(1+(IFERROR(INDEX($D$66:$D$74,MATCH($B32,$C$66:$C$74,0),1),0)+IFERROR(INDEX($G$66:$G$74,MATCH($B32,$F$66:$F$74,0),1),0)+IFERROR(INDEX(#REF!,MATCH($B32,$I$66:$I$74,0),1),0))),2)</f>
        <v>0</v>
      </c>
      <c r="I32" s="130">
        <f t="shared" si="5"/>
        <v>54.557431537211379</v>
      </c>
      <c r="J32" s="130">
        <f t="shared" si="2"/>
        <v>177.31</v>
      </c>
      <c r="K32" s="128">
        <f t="shared" si="1"/>
        <v>177.30947019867548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135.26</v>
      </c>
      <c r="E33" s="128">
        <f t="shared" si="3"/>
        <v>31.28</v>
      </c>
      <c r="F33" s="128">
        <f>INDEX('Table 3 ID Wind_2030'!$F$10:$F$38,MATCH(B33,'Table 3 ID Wind_2030'!$B$10:$B$38,0),1)</f>
        <v>14.84</v>
      </c>
      <c r="G33" s="130">
        <f t="shared" si="4"/>
        <v>55.809917660525059</v>
      </c>
      <c r="H33" s="128">
        <f>ROUND(H32*(1+(IFERROR(INDEX($D$66:$D$74,MATCH($B33,$C$66:$C$74,0),1),0)+IFERROR(INDEX($G$66:$G$74,MATCH($B33,$F$66:$F$74,0),1),0)+IFERROR(INDEX(#REF!,MATCH($B33,$I$66:$I$74,0),1),0))),2)</f>
        <v>0</v>
      </c>
      <c r="I33" s="130">
        <f t="shared" si="5"/>
        <v>55.809917660525059</v>
      </c>
      <c r="J33" s="130">
        <f t="shared" ref="J33:J37" si="6">ROUND(I33*$C$63*8.76,2)</f>
        <v>181.38</v>
      </c>
      <c r="K33" s="128">
        <f t="shared" si="1"/>
        <v>181.38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3"/>
        <v>138.37</v>
      </c>
      <c r="E34" s="128">
        <f t="shared" ref="E34" si="7">ROUND(E33*(1+(IFERROR(INDEX($D$66:$D$74,MATCH($B34,$C$66:$C$74,0),1),0)+IFERROR(INDEX($G$66:$G$74,MATCH($B34,$F$66:$F$74,0),1),0)+IFERROR(INDEX($J$66:$J$74,MATCH($B34,$I$66:$I$74,0),1),0))),2)</f>
        <v>32</v>
      </c>
      <c r="F34" s="128">
        <f>INDEX('Table 3 ID Wind_2030'!$F$10:$F$38,MATCH(B34,'Table 3 ID Wind_2030'!$B$10:$B$38,0),1)</f>
        <v>15.18</v>
      </c>
      <c r="G34" s="130">
        <f t="shared" si="4"/>
        <v>57.093010375512321</v>
      </c>
      <c r="H34" s="128">
        <f>ROUND(H33*(1+(IFERROR(INDEX($D$66:$D$74,MATCH($B34,$C$66:$C$74,0),1),0)+IFERROR(INDEX($G$66:$G$74,MATCH($B34,$F$66:$F$74,0),1),0)+IFERROR(INDEX(#REF!,MATCH($B34,$I$66:$I$74,0),1),0))),2)</f>
        <v>0</v>
      </c>
      <c r="I34" s="130">
        <f t="shared" si="5"/>
        <v>57.093010375512321</v>
      </c>
      <c r="J34" s="130">
        <f t="shared" si="6"/>
        <v>185.55</v>
      </c>
      <c r="K34" s="128">
        <f t="shared" si="1"/>
        <v>185.55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3"/>
        <v>141.41</v>
      </c>
      <c r="E35" s="128">
        <f t="shared" ref="E35" si="8">ROUND(E34*(1+(IFERROR(INDEX($D$66:$D$74,MATCH($B35,$C$66:$C$74,0),1),0)+IFERROR(INDEX($G$66:$G$74,MATCH($B35,$F$66:$F$74,0),1),0)+IFERROR(INDEX($J$66:$J$74,MATCH($B35,$I$66:$I$74,0),1),0))),2)</f>
        <v>32.700000000000003</v>
      </c>
      <c r="F35" s="128">
        <f>INDEX('Table 3 ID Wind_2030'!$F$10:$F$38,MATCH(B35,'Table 3 ID Wind_2030'!$B$10:$B$38,0),1)</f>
        <v>15.51</v>
      </c>
      <c r="G35" s="130">
        <f t="shared" si="4"/>
        <v>58.345333481027467</v>
      </c>
      <c r="H35" s="128">
        <f>ROUND(H34*(1+(IFERROR(INDEX($D$66:$D$74,MATCH($B35,$C$66:$C$74,0),1),0)+IFERROR(INDEX($G$66:$G$74,MATCH($B35,$F$66:$F$74,0),1),0)+IFERROR(INDEX(#REF!,MATCH($B35,$I$66:$I$74,0),1),0))),2)</f>
        <v>0</v>
      </c>
      <c r="I35" s="130">
        <f t="shared" si="5"/>
        <v>58.345333481027467</v>
      </c>
      <c r="J35" s="130">
        <f t="shared" si="6"/>
        <v>189.62</v>
      </c>
      <c r="K35" s="128">
        <f t="shared" si="1"/>
        <v>189.62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</row>
    <row r="36" spans="2:27">
      <c r="B36" s="135">
        <f t="shared" si="0"/>
        <v>2042</v>
      </c>
      <c r="C36" s="136"/>
      <c r="D36" s="128">
        <f t="shared" si="3"/>
        <v>144.52000000000001</v>
      </c>
      <c r="E36" s="128">
        <f t="shared" ref="E36" si="9">ROUND(E35*(1+(IFERROR(INDEX($D$66:$D$74,MATCH($B36,$C$66:$C$74,0),1),0)+IFERROR(INDEX($G$66:$G$74,MATCH($B36,$F$66:$F$74,0),1),0)+IFERROR(INDEX($J$66:$J$74,MATCH($B36,$I$66:$I$74,0),1),0))),2)</f>
        <v>33.42</v>
      </c>
      <c r="F36" s="128">
        <f>INDEX('Table 3 ID Wind_2030'!$F$10:$F$38,MATCH(B36,'Table 3 ID Wind_2030'!$B$10:$B$38,0),1)</f>
        <v>15.85</v>
      </c>
      <c r="G36" s="130">
        <f t="shared" si="4"/>
        <v>59.628426196014722</v>
      </c>
      <c r="H36" s="128">
        <f>ROUND(H35*(1+(IFERROR(INDEX($D$66:$D$74,MATCH($B36,$C$66:$C$74,0),1),0)+IFERROR(INDEX($G$66:$G$74,MATCH($B36,$F$66:$F$74,0),1),0)+IFERROR(INDEX(#REF!,MATCH($B36,$I$66:$I$74,0),1),0))),2)</f>
        <v>0</v>
      </c>
      <c r="I36" s="130">
        <f t="shared" si="5"/>
        <v>59.628426196014722</v>
      </c>
      <c r="J36" s="130">
        <f t="shared" si="6"/>
        <v>193.79</v>
      </c>
      <c r="K36" s="128">
        <f t="shared" si="1"/>
        <v>193.79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</row>
    <row r="37" spans="2:27">
      <c r="B37" s="135">
        <f t="shared" si="0"/>
        <v>2043</v>
      </c>
      <c r="C37" s="136"/>
      <c r="D37" s="128">
        <f t="shared" si="3"/>
        <v>147.84</v>
      </c>
      <c r="E37" s="128">
        <f t="shared" ref="E37" si="10">ROUND(E36*(1+(IFERROR(INDEX($D$66:$D$74,MATCH($B37,$C$66:$C$74,0),1),0)+IFERROR(INDEX($G$66:$G$74,MATCH($B37,$F$66:$F$74,0),1),0)+IFERROR(INDEX($J$66:$J$74,MATCH($B37,$I$66:$I$74,0),1),0))),2)</f>
        <v>34.19</v>
      </c>
      <c r="F37" s="128">
        <f>INDEX('Table 3 ID Wind_2030'!$F$10:$F$38,MATCH(B37,'Table 3 ID Wind_2030'!$B$10:$B$38,0),1)</f>
        <v>16.21</v>
      </c>
      <c r="G37" s="130">
        <f t="shared" si="4"/>
        <v>60.997673817523918</v>
      </c>
      <c r="H37" s="128">
        <f>ROUND(H36*(1+(IFERROR(INDEX($D$66:$D$74,MATCH($B37,$C$66:$C$74,0),1),0)+IFERROR(INDEX($G$66:$G$74,MATCH($B37,$F$66:$F$74,0),1),0)+IFERROR(INDEX(#REF!,MATCH($B37,$I$66:$I$74,0),1),0))),2)</f>
        <v>0</v>
      </c>
      <c r="I37" s="130">
        <f t="shared" si="5"/>
        <v>60.997673817523918</v>
      </c>
      <c r="J37" s="130">
        <f t="shared" si="6"/>
        <v>198.24</v>
      </c>
      <c r="K37" s="128">
        <f t="shared" si="1"/>
        <v>198.24</v>
      </c>
      <c r="L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spans="2:27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2:27"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2:27"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2:27">
      <c r="B44" s="117" t="s">
        <v>62</v>
      </c>
      <c r="C44" s="140" t="s">
        <v>63</v>
      </c>
      <c r="D44" s="141" t="s">
        <v>101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>
      <c r="C45" s="140" t="str">
        <f>C7</f>
        <v>(a)</v>
      </c>
      <c r="D45" s="117" t="s">
        <v>64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2:27">
      <c r="C46" s="140" t="str">
        <f>D7</f>
        <v>(b)</v>
      </c>
      <c r="D46" s="130" t="str">
        <f>"= "&amp;C7&amp;" x "&amp;C62</f>
        <v>= (a) x 0.06899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2:27">
      <c r="C48" s="140" t="str">
        <f>I7</f>
        <v>(g)</v>
      </c>
      <c r="D48" s="130" t="str">
        <f>"= "&amp;$G$7&amp;" + "&amp;$H$7</f>
        <v>= (e) + (f)</v>
      </c>
      <c r="R48" s="119"/>
      <c r="S48" s="119"/>
      <c r="T48" s="119"/>
      <c r="U48" s="119"/>
      <c r="V48" s="119"/>
      <c r="W48" s="119"/>
      <c r="X48" s="119"/>
      <c r="Y48" s="119"/>
      <c r="Z48" s="119"/>
      <c r="AA48" s="119"/>
    </row>
    <row r="49" spans="2:27">
      <c r="C49" s="140" t="str">
        <f>K7</f>
        <v>(i)</v>
      </c>
      <c r="D49" s="85" t="str">
        <f>D44</f>
        <v>Plant Costs  - 2019 IRP Update - Table 6.1 &amp; 6.2</v>
      </c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2:27">
      <c r="C50" s="140"/>
      <c r="D50" s="130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2:27" ht="13.5" thickBot="1"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2:27" ht="13.5" thickBot="1">
      <c r="C53" s="145" t="s">
        <v>65</v>
      </c>
      <c r="D53" s="146" t="s">
        <v>66</v>
      </c>
      <c r="E53" s="146"/>
      <c r="F53" s="146"/>
      <c r="G53" s="146"/>
      <c r="H53" s="146"/>
      <c r="I53" s="143"/>
      <c r="J53" s="143"/>
      <c r="K53" s="144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2:27">
      <c r="P54" s="117" t="s">
        <v>102</v>
      </c>
      <c r="Q54" s="117">
        <v>2032</v>
      </c>
    </row>
    <row r="55" spans="2:27">
      <c r="B55" s="85" t="s">
        <v>100</v>
      </c>
      <c r="C55" s="170">
        <v>1879.5324259832769</v>
      </c>
      <c r="D55" s="117" t="s">
        <v>64</v>
      </c>
      <c r="T55" s="117" t="str">
        <f>$Q$56&amp;"Proposed Station Capital Costs"</f>
        <v>H_.GO2_WDSProposed Station Capital Costs</v>
      </c>
    </row>
    <row r="56" spans="2:27">
      <c r="B56" s="85" t="s">
        <v>100</v>
      </c>
      <c r="C56" s="268">
        <v>30.743277943329019</v>
      </c>
      <c r="D56" s="117" t="s">
        <v>67</v>
      </c>
      <c r="O56" s="117">
        <v>60.4</v>
      </c>
      <c r="P56" s="117" t="s">
        <v>32</v>
      </c>
      <c r="Q56" s="117" t="s">
        <v>170</v>
      </c>
      <c r="T56" s="117" t="str">
        <f>Q56&amp;"Proposed Station Fixed Costs"</f>
        <v>H_.GO2_WDSProposed Station Fixed Costs</v>
      </c>
      <c r="Z56" s="117" t="s">
        <v>109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104</v>
      </c>
    </row>
    <row r="58" spans="2:27">
      <c r="B58" s="85" t="s">
        <v>100</v>
      </c>
      <c r="C58" s="268">
        <v>0</v>
      </c>
      <c r="D58" s="117" t="s">
        <v>68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69</v>
      </c>
      <c r="I59" s="196" t="s">
        <v>90</v>
      </c>
      <c r="L59" s="151"/>
      <c r="M59" s="152"/>
      <c r="O59" s="150"/>
      <c r="P59" s="119"/>
      <c r="Q59" s="213" t="str">
        <f>Q56&amp;Q54</f>
        <v>H_.GO2_WDS2032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217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3.2000000000000001E-2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2.1999999999999999E-2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2.1999999999999999E-2</v>
      </c>
      <c r="N72" s="164"/>
    </row>
    <row r="73" spans="3:14" s="119" customFormat="1">
      <c r="C73" s="87">
        <f t="shared" si="11"/>
        <v>2024</v>
      </c>
      <c r="D73" s="41">
        <v>2.1999999999999999E-2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2.1999999999999999E-2</v>
      </c>
      <c r="N73" s="164"/>
    </row>
    <row r="74" spans="3:14" s="119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2.3E-2</v>
      </c>
      <c r="H74" s="41"/>
      <c r="I74" s="87">
        <f t="shared" si="1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H73"/>
  <sheetViews>
    <sheetView workbookViewId="0">
      <selection activeCell="F31" sqref="F31"/>
    </sheetView>
  </sheetViews>
  <sheetFormatPr defaultColWidth="9.33203125" defaultRowHeight="12.75"/>
  <cols>
    <col min="1" max="1" width="1.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5" style="161" customWidth="1"/>
    <col min="60" max="60" width="12.5" style="117" customWidth="1"/>
    <col min="61" max="16384" width="9.33203125" style="117"/>
  </cols>
  <sheetData>
    <row r="1" spans="2:6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0" ht="15.75">
      <c r="B2" s="115" t="s">
        <v>179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0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0" s="346" customFormat="1" ht="18.95" customHeight="1">
      <c r="B4" s="409" t="s">
        <v>178</v>
      </c>
      <c r="C4" s="410"/>
      <c r="D4" s="410"/>
      <c r="E4" s="411"/>
      <c r="F4" s="118"/>
      <c r="G4" s="409" t="s">
        <v>183</v>
      </c>
      <c r="H4" s="410"/>
      <c r="I4" s="410"/>
      <c r="J4" s="411"/>
      <c r="K4" s="118"/>
      <c r="L4" s="405" t="s">
        <v>190</v>
      </c>
      <c r="M4" s="406"/>
      <c r="N4" s="406"/>
      <c r="O4" s="407"/>
      <c r="Q4" s="405" t="s">
        <v>181</v>
      </c>
      <c r="R4" s="406"/>
      <c r="S4" s="406"/>
      <c r="T4" s="407"/>
      <c r="U4" s="118"/>
      <c r="V4" s="409" t="s">
        <v>182</v>
      </c>
      <c r="W4" s="410"/>
      <c r="X4" s="410"/>
      <c r="Y4" s="411"/>
      <c r="Z4" s="118"/>
      <c r="AA4" s="409" t="s">
        <v>220</v>
      </c>
      <c r="AB4" s="410"/>
      <c r="AC4" s="410"/>
      <c r="AD4" s="411"/>
      <c r="AE4" s="118"/>
      <c r="AF4" s="409" t="s">
        <v>221</v>
      </c>
      <c r="AG4" s="410"/>
      <c r="AH4" s="410"/>
      <c r="AI4" s="411"/>
      <c r="AJ4" s="118"/>
      <c r="AK4" s="405" t="s">
        <v>186</v>
      </c>
      <c r="AL4" s="406"/>
      <c r="AM4" s="406"/>
      <c r="AN4" s="407"/>
      <c r="AO4" s="118"/>
      <c r="AP4" s="405" t="s">
        <v>192</v>
      </c>
      <c r="AQ4" s="406"/>
      <c r="AR4" s="406"/>
      <c r="AS4" s="407"/>
      <c r="AT4" s="118"/>
      <c r="AU4" s="405" t="s">
        <v>194</v>
      </c>
      <c r="AV4" s="406"/>
      <c r="AW4" s="406"/>
      <c r="AX4" s="407"/>
      <c r="AY4" s="118"/>
      <c r="AZ4" s="405" t="s">
        <v>218</v>
      </c>
      <c r="BA4" s="406"/>
      <c r="BB4" s="406"/>
      <c r="BC4" s="407"/>
      <c r="BD4" s="365"/>
      <c r="BE4" s="405" t="s">
        <v>219</v>
      </c>
      <c r="BF4" s="406"/>
      <c r="BG4" s="406"/>
      <c r="BH4" s="407"/>
    </row>
    <row r="5" spans="2:60" ht="51.75" customHeight="1">
      <c r="B5" s="120" t="s">
        <v>0</v>
      </c>
      <c r="C5" s="121" t="s">
        <v>86</v>
      </c>
      <c r="D5" s="121" t="s">
        <v>81</v>
      </c>
      <c r="E5" s="17" t="s">
        <v>52</v>
      </c>
      <c r="G5" s="120" t="s">
        <v>0</v>
      </c>
      <c r="H5" s="121" t="s">
        <v>86</v>
      </c>
      <c r="I5" s="121" t="s">
        <v>81</v>
      </c>
      <c r="J5" s="17" t="s">
        <v>52</v>
      </c>
      <c r="L5" s="120" t="s">
        <v>0</v>
      </c>
      <c r="M5" s="121" t="s">
        <v>86</v>
      </c>
      <c r="N5" s="121" t="s">
        <v>81</v>
      </c>
      <c r="O5" s="17" t="s">
        <v>52</v>
      </c>
      <c r="Q5" s="120" t="s">
        <v>0</v>
      </c>
      <c r="R5" s="121" t="s">
        <v>86</v>
      </c>
      <c r="S5" s="121" t="s">
        <v>81</v>
      </c>
      <c r="T5" s="17" t="s">
        <v>52</v>
      </c>
      <c r="V5" s="120" t="s">
        <v>0</v>
      </c>
      <c r="W5" s="121" t="s">
        <v>86</v>
      </c>
      <c r="X5" s="121" t="s">
        <v>81</v>
      </c>
      <c r="Y5" s="17" t="s">
        <v>52</v>
      </c>
      <c r="AA5" s="120" t="s">
        <v>0</v>
      </c>
      <c r="AB5" s="121" t="s">
        <v>86</v>
      </c>
      <c r="AC5" s="121" t="s">
        <v>81</v>
      </c>
      <c r="AD5" s="17" t="s">
        <v>52</v>
      </c>
      <c r="AF5" s="120" t="s">
        <v>0</v>
      </c>
      <c r="AG5" s="121" t="s">
        <v>86</v>
      </c>
      <c r="AH5" s="121" t="s">
        <v>81</v>
      </c>
      <c r="AI5" s="17" t="s">
        <v>52</v>
      </c>
      <c r="AK5" s="120" t="s">
        <v>0</v>
      </c>
      <c r="AL5" s="121" t="s">
        <v>86</v>
      </c>
      <c r="AM5" s="121" t="s">
        <v>81</v>
      </c>
      <c r="AN5" s="17" t="s">
        <v>52</v>
      </c>
      <c r="AP5" s="120" t="s">
        <v>0</v>
      </c>
      <c r="AQ5" s="121" t="s">
        <v>86</v>
      </c>
      <c r="AR5" s="121" t="s">
        <v>81</v>
      </c>
      <c r="AS5" s="17" t="s">
        <v>52</v>
      </c>
      <c r="AU5" s="120" t="s">
        <v>0</v>
      </c>
      <c r="AV5" s="121" t="s">
        <v>86</v>
      </c>
      <c r="AW5" s="121" t="s">
        <v>81</v>
      </c>
      <c r="AX5" s="17" t="s">
        <v>52</v>
      </c>
      <c r="AZ5" s="120" t="s">
        <v>0</v>
      </c>
      <c r="BA5" s="121" t="s">
        <v>86</v>
      </c>
      <c r="BB5" s="121" t="s">
        <v>81</v>
      </c>
      <c r="BC5" s="17" t="s">
        <v>52</v>
      </c>
      <c r="BE5" s="120" t="s">
        <v>0</v>
      </c>
      <c r="BF5" s="121" t="s">
        <v>86</v>
      </c>
      <c r="BG5" s="121" t="s">
        <v>81</v>
      </c>
      <c r="BH5" s="17" t="s">
        <v>52</v>
      </c>
    </row>
    <row r="6" spans="2:60" ht="24" customHeight="1">
      <c r="B6" s="122"/>
      <c r="C6" s="124" t="s">
        <v>9</v>
      </c>
      <c r="D6" s="123" t="s">
        <v>82</v>
      </c>
      <c r="E6" s="19" t="s">
        <v>9</v>
      </c>
      <c r="G6" s="122"/>
      <c r="H6" s="124" t="s">
        <v>9</v>
      </c>
      <c r="I6" s="123" t="s">
        <v>82</v>
      </c>
      <c r="J6" s="19" t="s">
        <v>9</v>
      </c>
      <c r="L6" s="122"/>
      <c r="M6" s="124" t="s">
        <v>9</v>
      </c>
      <c r="N6" s="123" t="s">
        <v>82</v>
      </c>
      <c r="O6" s="19" t="s">
        <v>9</v>
      </c>
      <c r="Q6" s="122"/>
      <c r="R6" s="124" t="s">
        <v>9</v>
      </c>
      <c r="S6" s="123" t="s">
        <v>82</v>
      </c>
      <c r="T6" s="19" t="s">
        <v>9</v>
      </c>
      <c r="V6" s="122"/>
      <c r="W6" s="124" t="s">
        <v>9</v>
      </c>
      <c r="X6" s="123" t="s">
        <v>82</v>
      </c>
      <c r="Y6" s="19" t="s">
        <v>9</v>
      </c>
      <c r="AA6" s="122"/>
      <c r="AB6" s="124" t="s">
        <v>9</v>
      </c>
      <c r="AC6" s="123" t="s">
        <v>82</v>
      </c>
      <c r="AD6" s="19" t="s">
        <v>9</v>
      </c>
      <c r="AF6" s="122"/>
      <c r="AG6" s="124" t="s">
        <v>9</v>
      </c>
      <c r="AH6" s="123" t="s">
        <v>82</v>
      </c>
      <c r="AI6" s="19" t="s">
        <v>9</v>
      </c>
      <c r="AK6" s="122"/>
      <c r="AL6" s="124" t="s">
        <v>9</v>
      </c>
      <c r="AM6" s="123" t="s">
        <v>82</v>
      </c>
      <c r="AN6" s="19" t="s">
        <v>9</v>
      </c>
      <c r="AP6" s="122"/>
      <c r="AQ6" s="124" t="s">
        <v>9</v>
      </c>
      <c r="AR6" s="123" t="s">
        <v>82</v>
      </c>
      <c r="AS6" s="19" t="s">
        <v>9</v>
      </c>
      <c r="AU6" s="122"/>
      <c r="AV6" s="124" t="s">
        <v>9</v>
      </c>
      <c r="AW6" s="123" t="s">
        <v>82</v>
      </c>
      <c r="AX6" s="19" t="s">
        <v>9</v>
      </c>
      <c r="AZ6" s="122"/>
      <c r="BA6" s="124" t="s">
        <v>9</v>
      </c>
      <c r="BB6" s="123" t="s">
        <v>82</v>
      </c>
      <c r="BC6" s="19" t="s">
        <v>9</v>
      </c>
      <c r="BE6" s="122"/>
      <c r="BF6" s="124" t="s">
        <v>9</v>
      </c>
      <c r="BG6" s="123" t="s">
        <v>82</v>
      </c>
      <c r="BH6" s="19" t="s">
        <v>9</v>
      </c>
    </row>
    <row r="7" spans="2:60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</row>
    <row r="8" spans="2:60" ht="6" customHeight="1">
      <c r="BG8" s="117"/>
    </row>
    <row r="9" spans="2:60">
      <c r="B9" s="362" t="str">
        <f>B4</f>
        <v>Aeolus_Wyoming - to - Utah S, Expansion</v>
      </c>
      <c r="D9" s="119"/>
      <c r="E9" s="119"/>
      <c r="G9" s="362" t="str">
        <f>G4</f>
        <v>Goshen - to - Utah N, Expansion</v>
      </c>
      <c r="I9" s="119"/>
      <c r="J9" s="119"/>
      <c r="L9" s="362" t="str">
        <f>L4</f>
        <v>Yakima- to - Southern Oregon/California, Expansion</v>
      </c>
      <c r="N9" s="119"/>
      <c r="O9" s="119"/>
      <c r="Q9" s="362" t="str">
        <f>Q4</f>
        <v>Utah N, Transmission Integration</v>
      </c>
      <c r="S9" s="119"/>
      <c r="T9" s="119"/>
      <c r="V9" s="362" t="str">
        <f>V4</f>
        <v>Yakima, Transmission Integration</v>
      </c>
      <c r="X9" s="119"/>
      <c r="Y9" s="119"/>
      <c r="AA9" s="362" t="s">
        <v>184</v>
      </c>
      <c r="AC9" s="119"/>
      <c r="AD9" s="119"/>
      <c r="AF9" s="362" t="s">
        <v>185</v>
      </c>
      <c r="AH9" s="119"/>
      <c r="AI9" s="119"/>
      <c r="AK9" s="362" t="str">
        <f>AK4</f>
        <v>Southern Oregon/California, Transmission Integration</v>
      </c>
      <c r="AM9" s="119"/>
      <c r="AN9" s="119"/>
      <c r="AP9" s="362" t="str">
        <f>AP4</f>
        <v>Willamette Valley, Transmission Integration</v>
      </c>
      <c r="AR9" s="119"/>
      <c r="AS9" s="119"/>
      <c r="AU9" s="362" t="str">
        <f>AU4</f>
        <v>Wyoming SW, Transmission Integration</v>
      </c>
      <c r="AW9" s="119"/>
      <c r="AX9" s="119"/>
      <c r="AZ9" s="362" t="str">
        <f>AZ4</f>
        <v>Bridger - to - Bridger West, Recovered Transmission 2029</v>
      </c>
      <c r="BB9" s="119"/>
      <c r="BC9" s="119"/>
      <c r="BE9" s="362" t="str">
        <f>BE4</f>
        <v>Bridger - to - Bridger West, Recovered Transmission 2024</v>
      </c>
      <c r="BG9" s="119"/>
      <c r="BH9" s="119"/>
    </row>
    <row r="10" spans="2:60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353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1.4680258019147514</v>
      </c>
      <c r="AC10" s="135">
        <v>12</v>
      </c>
      <c r="AD10" s="130">
        <f t="shared" ref="AD10:AD32" si="5">SUM(AB10:AB10)*AC10/12</f>
        <v>1.4680258019147514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</row>
    <row r="11" spans="2:60">
      <c r="B11" s="353">
        <f t="shared" ref="B11:B32" si="12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47.870308055404152</v>
      </c>
      <c r="D11" s="135">
        <v>12</v>
      </c>
      <c r="E11" s="130">
        <f t="shared" si="0"/>
        <v>47.870308055404145</v>
      </c>
      <c r="F11" s="119"/>
      <c r="G11" s="135">
        <f t="shared" ref="G11:G32" si="13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4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353">
        <f t="shared" ref="Q11:Q32" si="15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2.5818101631996475</v>
      </c>
      <c r="S11" s="135">
        <v>12</v>
      </c>
      <c r="T11" s="130">
        <f t="shared" si="3"/>
        <v>2.5818101631996475</v>
      </c>
      <c r="U11" s="119"/>
      <c r="V11" s="353">
        <f t="shared" ref="V11:V32" si="16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0.39132049215213044</v>
      </c>
      <c r="X11" s="135">
        <v>12</v>
      </c>
      <c r="Y11" s="130">
        <f t="shared" si="4"/>
        <v>0.39132049215213044</v>
      </c>
      <c r="Z11" s="119"/>
      <c r="AA11" s="135">
        <f t="shared" ref="AA11:AA32" si="17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1.5</v>
      </c>
      <c r="AC11" s="135">
        <v>12</v>
      </c>
      <c r="AD11" s="130">
        <f t="shared" si="5"/>
        <v>1.5</v>
      </c>
      <c r="AE11" s="119"/>
      <c r="AF11" s="135">
        <f t="shared" ref="AF11:AF32" si="18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19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0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1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135">
        <f t="shared" ref="AZ11:AZ32" si="22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0</v>
      </c>
      <c r="BB11" s="135">
        <v>12</v>
      </c>
      <c r="BC11" s="130">
        <f t="shared" si="10"/>
        <v>0</v>
      </c>
      <c r="BE11" s="353">
        <f t="shared" ref="BE11:BE32" si="23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</row>
    <row r="12" spans="2:60">
      <c r="B12" s="135">
        <f t="shared" si="12"/>
        <v>2025</v>
      </c>
      <c r="C12" s="128">
        <f t="shared" ref="C12:C32" si="24">IF($B12&lt;D$35,0,IF($B12=D$35,D$39,ROUND(C11*(1+(IFERROR(INDEX($D$44:$D$52,MATCH($B12,$C$44:$C$52,0),1),0)+IFERROR(INDEX($G$44:$G$52,MATCH($B12,$F$44:$F$52,0),1),0)+IFERROR(INDEX($J$44:$J$52,MATCH($B12,$I$44:$I$52,0),1),0))),2)))</f>
        <v>48.97</v>
      </c>
      <c r="D12" s="135">
        <v>12</v>
      </c>
      <c r="E12" s="130">
        <f t="shared" si="0"/>
        <v>48.97</v>
      </c>
      <c r="F12" s="119"/>
      <c r="G12" s="135">
        <f t="shared" si="13"/>
        <v>2025</v>
      </c>
      <c r="H12" s="128">
        <f t="shared" ref="H12:H32" si="25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4"/>
        <v>2025</v>
      </c>
      <c r="M12" s="128">
        <f t="shared" ref="M12:M32" si="26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5"/>
        <v>2025</v>
      </c>
      <c r="R12" s="128">
        <f t="shared" ref="R12:R32" si="27">IF($B12&lt;S$35,0,IF($B12=S$35,S$39,ROUND(R11*(1+(IFERROR(INDEX($D$44:$D$52,MATCH($B12,$C$44:$C$52,0),1),0)+IFERROR(INDEX($G$44:$G$52,MATCH($B12,$F$44:$F$52,0),1),0)+IFERROR(INDEX($J$44:$J$52,MATCH($B12,$I$44:$I$52,0),1),0))),2)))</f>
        <v>2.64</v>
      </c>
      <c r="S12" s="135">
        <v>12</v>
      </c>
      <c r="T12" s="130">
        <f t="shared" si="3"/>
        <v>2.64</v>
      </c>
      <c r="U12" s="119"/>
      <c r="V12" s="135">
        <f t="shared" si="16"/>
        <v>2025</v>
      </c>
      <c r="W12" s="128">
        <f t="shared" ref="W12:W32" si="28">IF($B12&lt;X$35,0,IF($B12=X$35,X$39,ROUND(W11*(1+(IFERROR(INDEX($D$44:$D$52,MATCH($B12,$C$44:$C$52,0),1),0)+IFERROR(INDEX($G$44:$G$52,MATCH($B12,$F$44:$F$52,0),1),0)+IFERROR(INDEX($J$44:$J$52,MATCH($B12,$I$44:$I$52,0),1),0))),2)))</f>
        <v>0.4</v>
      </c>
      <c r="X12" s="135">
        <v>12</v>
      </c>
      <c r="Y12" s="130">
        <f t="shared" si="4"/>
        <v>0.40000000000000008</v>
      </c>
      <c r="Z12" s="119"/>
      <c r="AA12" s="135">
        <f t="shared" si="17"/>
        <v>2025</v>
      </c>
      <c r="AB12" s="128">
        <f t="shared" ref="AB12:AB32" si="29">IF($B12&lt;AC$35,0,IF($B12=AC$35,AC$39,ROUND(AB11*(1+(IFERROR(INDEX($D$44:$D$52,MATCH($B12,$C$44:$C$52,0),1),0)+IFERROR(INDEX($G$44:$G$52,MATCH($B12,$F$44:$F$52,0),1),0)+IFERROR(INDEX($J$44:$J$52,MATCH($B12,$I$44:$I$52,0),1),0))),2)))</f>
        <v>1.53</v>
      </c>
      <c r="AC12" s="135">
        <v>12</v>
      </c>
      <c r="AD12" s="130">
        <f t="shared" si="5"/>
        <v>1.53</v>
      </c>
      <c r="AE12" s="119"/>
      <c r="AF12" s="135">
        <f t="shared" si="18"/>
        <v>2025</v>
      </c>
      <c r="AG12" s="128">
        <f t="shared" ref="AG12:AG32" si="30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19"/>
        <v>2025</v>
      </c>
      <c r="AL12" s="128">
        <f t="shared" ref="AL12:AL32" si="31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0"/>
        <v>2025</v>
      </c>
      <c r="AQ12" s="128">
        <f t="shared" ref="AQ12:AQ32" si="32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1"/>
        <v>2025</v>
      </c>
      <c r="AV12" s="128">
        <f t="shared" ref="AV12:AV32" si="33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2"/>
        <v>2025</v>
      </c>
      <c r="BA12" s="128">
        <f t="shared" ref="BA12:BA32" si="34">IF($B12&lt;BB$35,0,IF($B12=BB$35,BB$39,ROUND(BA11*(1+(IFERROR(INDEX($D$44:$D$52,MATCH($B12,$C$44:$C$52,0),1),0)+IFERROR(INDEX($G$44:$G$52,MATCH($B12,$F$44:$F$52,0),1),0)+IFERROR(INDEX($J$44:$J$52,MATCH($B12,$I$44:$I$52,0),1),0))),2)))</f>
        <v>0</v>
      </c>
      <c r="BB12" s="135">
        <v>12</v>
      </c>
      <c r="BC12" s="130">
        <f t="shared" si="10"/>
        <v>0</v>
      </c>
      <c r="BE12" s="135">
        <f t="shared" si="23"/>
        <v>2025</v>
      </c>
      <c r="BF12" s="128">
        <f t="shared" ref="BF12:BF32" si="35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</row>
    <row r="13" spans="2:60">
      <c r="B13" s="135">
        <f t="shared" si="12"/>
        <v>2026</v>
      </c>
      <c r="C13" s="128">
        <f t="shared" si="24"/>
        <v>50.1</v>
      </c>
      <c r="D13" s="135">
        <v>12</v>
      </c>
      <c r="E13" s="130">
        <f t="shared" si="0"/>
        <v>50.1</v>
      </c>
      <c r="F13" s="119"/>
      <c r="G13" s="135">
        <f t="shared" si="13"/>
        <v>2026</v>
      </c>
      <c r="H13" s="128">
        <f t="shared" si="25"/>
        <v>0</v>
      </c>
      <c r="I13" s="135">
        <v>12</v>
      </c>
      <c r="J13" s="130">
        <f t="shared" si="1"/>
        <v>0</v>
      </c>
      <c r="K13" s="119"/>
      <c r="L13" s="135">
        <f t="shared" si="14"/>
        <v>2026</v>
      </c>
      <c r="M13" s="128">
        <f t="shared" si="26"/>
        <v>0</v>
      </c>
      <c r="N13" s="135">
        <v>12</v>
      </c>
      <c r="O13" s="130">
        <f t="shared" si="2"/>
        <v>0</v>
      </c>
      <c r="Q13" s="135">
        <f t="shared" si="15"/>
        <v>2026</v>
      </c>
      <c r="R13" s="128">
        <f t="shared" si="27"/>
        <v>2.7</v>
      </c>
      <c r="S13" s="135">
        <v>12</v>
      </c>
      <c r="T13" s="130">
        <f t="shared" si="3"/>
        <v>2.7000000000000006</v>
      </c>
      <c r="U13" s="119"/>
      <c r="V13" s="135">
        <f t="shared" si="16"/>
        <v>2026</v>
      </c>
      <c r="W13" s="128">
        <f t="shared" si="28"/>
        <v>0.41</v>
      </c>
      <c r="X13" s="135">
        <v>12</v>
      </c>
      <c r="Y13" s="130">
        <f t="shared" si="4"/>
        <v>0.41</v>
      </c>
      <c r="Z13" s="119"/>
      <c r="AA13" s="135">
        <f t="shared" si="17"/>
        <v>2026</v>
      </c>
      <c r="AB13" s="128">
        <f t="shared" si="29"/>
        <v>1.57</v>
      </c>
      <c r="AC13" s="135">
        <v>12</v>
      </c>
      <c r="AD13" s="130">
        <f t="shared" si="5"/>
        <v>1.57</v>
      </c>
      <c r="AE13" s="119"/>
      <c r="AF13" s="135">
        <f t="shared" si="18"/>
        <v>2026</v>
      </c>
      <c r="AG13" s="128">
        <f t="shared" si="30"/>
        <v>0</v>
      </c>
      <c r="AH13" s="135">
        <v>12</v>
      </c>
      <c r="AI13" s="130">
        <f t="shared" si="6"/>
        <v>0</v>
      </c>
      <c r="AJ13" s="119"/>
      <c r="AK13" s="135">
        <f t="shared" si="19"/>
        <v>2026</v>
      </c>
      <c r="AL13" s="128">
        <f t="shared" si="31"/>
        <v>0</v>
      </c>
      <c r="AM13" s="135">
        <v>12</v>
      </c>
      <c r="AN13" s="130">
        <f t="shared" si="7"/>
        <v>0</v>
      </c>
      <c r="AO13" s="119"/>
      <c r="AP13" s="135">
        <f t="shared" si="20"/>
        <v>2026</v>
      </c>
      <c r="AQ13" s="128">
        <f t="shared" si="32"/>
        <v>0</v>
      </c>
      <c r="AR13" s="135">
        <v>12</v>
      </c>
      <c r="AS13" s="130">
        <f t="shared" si="8"/>
        <v>0</v>
      </c>
      <c r="AT13" s="119"/>
      <c r="AU13" s="135">
        <f t="shared" si="21"/>
        <v>2026</v>
      </c>
      <c r="AV13" s="128">
        <f t="shared" si="33"/>
        <v>0</v>
      </c>
      <c r="AW13" s="135">
        <v>12</v>
      </c>
      <c r="AX13" s="130">
        <f t="shared" si="9"/>
        <v>0</v>
      </c>
      <c r="AY13" s="119"/>
      <c r="AZ13" s="135">
        <f t="shared" si="22"/>
        <v>2026</v>
      </c>
      <c r="BA13" s="128">
        <f t="shared" si="34"/>
        <v>0</v>
      </c>
      <c r="BB13" s="135">
        <v>12</v>
      </c>
      <c r="BC13" s="130">
        <f t="shared" si="10"/>
        <v>0</v>
      </c>
      <c r="BE13" s="135">
        <f t="shared" si="23"/>
        <v>2026</v>
      </c>
      <c r="BF13" s="128">
        <f t="shared" si="35"/>
        <v>0</v>
      </c>
      <c r="BG13" s="135">
        <v>12</v>
      </c>
      <c r="BH13" s="130">
        <f t="shared" si="11"/>
        <v>0</v>
      </c>
    </row>
    <row r="14" spans="2:60">
      <c r="B14" s="135">
        <f t="shared" si="12"/>
        <v>2027</v>
      </c>
      <c r="C14" s="128">
        <f t="shared" si="24"/>
        <v>51.25</v>
      </c>
      <c r="D14" s="135">
        <v>12</v>
      </c>
      <c r="E14" s="130">
        <f t="shared" si="0"/>
        <v>51.25</v>
      </c>
      <c r="F14" s="119"/>
      <c r="G14" s="135">
        <f t="shared" si="13"/>
        <v>2027</v>
      </c>
      <c r="H14" s="128">
        <f t="shared" si="25"/>
        <v>0</v>
      </c>
      <c r="I14" s="135">
        <v>12</v>
      </c>
      <c r="J14" s="130">
        <f t="shared" si="1"/>
        <v>0</v>
      </c>
      <c r="K14" s="119"/>
      <c r="L14" s="135">
        <f t="shared" si="14"/>
        <v>2027</v>
      </c>
      <c r="M14" s="128">
        <f t="shared" si="26"/>
        <v>0</v>
      </c>
      <c r="N14" s="135">
        <v>12</v>
      </c>
      <c r="O14" s="130">
        <f t="shared" si="2"/>
        <v>0</v>
      </c>
      <c r="Q14" s="135">
        <f t="shared" si="15"/>
        <v>2027</v>
      </c>
      <c r="R14" s="128">
        <f t="shared" si="27"/>
        <v>2.76</v>
      </c>
      <c r="S14" s="135">
        <v>12</v>
      </c>
      <c r="T14" s="130">
        <f t="shared" si="3"/>
        <v>2.76</v>
      </c>
      <c r="U14" s="119"/>
      <c r="V14" s="135">
        <f t="shared" si="16"/>
        <v>2027</v>
      </c>
      <c r="W14" s="128">
        <f t="shared" si="28"/>
        <v>0.42</v>
      </c>
      <c r="X14" s="135">
        <v>12</v>
      </c>
      <c r="Y14" s="130">
        <f t="shared" si="4"/>
        <v>0.42</v>
      </c>
      <c r="Z14" s="119"/>
      <c r="AA14" s="135">
        <f t="shared" si="17"/>
        <v>2027</v>
      </c>
      <c r="AB14" s="128">
        <f t="shared" si="29"/>
        <v>1.61</v>
      </c>
      <c r="AC14" s="135">
        <v>12</v>
      </c>
      <c r="AD14" s="130">
        <f t="shared" si="5"/>
        <v>1.61</v>
      </c>
      <c r="AE14" s="119"/>
      <c r="AF14" s="135">
        <f t="shared" si="18"/>
        <v>2027</v>
      </c>
      <c r="AG14" s="128">
        <f t="shared" si="30"/>
        <v>0</v>
      </c>
      <c r="AH14" s="135">
        <v>12</v>
      </c>
      <c r="AI14" s="130">
        <f t="shared" si="6"/>
        <v>0</v>
      </c>
      <c r="AJ14" s="119"/>
      <c r="AK14" s="135">
        <f t="shared" si="19"/>
        <v>2027</v>
      </c>
      <c r="AL14" s="128">
        <f t="shared" si="31"/>
        <v>0</v>
      </c>
      <c r="AM14" s="135">
        <v>12</v>
      </c>
      <c r="AN14" s="130">
        <f t="shared" si="7"/>
        <v>0</v>
      </c>
      <c r="AO14" s="119"/>
      <c r="AP14" s="135">
        <f t="shared" si="20"/>
        <v>2027</v>
      </c>
      <c r="AQ14" s="128">
        <f t="shared" si="32"/>
        <v>0</v>
      </c>
      <c r="AR14" s="135">
        <v>12</v>
      </c>
      <c r="AS14" s="130">
        <f t="shared" si="8"/>
        <v>0</v>
      </c>
      <c r="AT14" s="119"/>
      <c r="AU14" s="135">
        <f t="shared" si="21"/>
        <v>2027</v>
      </c>
      <c r="AV14" s="128">
        <f t="shared" si="33"/>
        <v>0</v>
      </c>
      <c r="AW14" s="135">
        <v>12</v>
      </c>
      <c r="AX14" s="130">
        <f t="shared" si="9"/>
        <v>0</v>
      </c>
      <c r="AY14" s="119"/>
      <c r="AZ14" s="135">
        <f t="shared" si="22"/>
        <v>2027</v>
      </c>
      <c r="BA14" s="128">
        <f t="shared" si="34"/>
        <v>0</v>
      </c>
      <c r="BB14" s="135">
        <v>12</v>
      </c>
      <c r="BC14" s="130">
        <f t="shared" si="10"/>
        <v>0</v>
      </c>
      <c r="BD14" s="184"/>
      <c r="BE14" s="135">
        <f t="shared" si="23"/>
        <v>2027</v>
      </c>
      <c r="BF14" s="128">
        <f t="shared" si="35"/>
        <v>0</v>
      </c>
      <c r="BG14" s="135">
        <v>12</v>
      </c>
      <c r="BH14" s="130">
        <f t="shared" si="11"/>
        <v>0</v>
      </c>
    </row>
    <row r="15" spans="2:60">
      <c r="B15" s="135">
        <f t="shared" si="12"/>
        <v>2028</v>
      </c>
      <c r="C15" s="128">
        <f t="shared" si="24"/>
        <v>52.43</v>
      </c>
      <c r="D15" s="135">
        <v>12</v>
      </c>
      <c r="E15" s="130">
        <f t="shared" si="0"/>
        <v>52.43</v>
      </c>
      <c r="F15" s="119"/>
      <c r="G15" s="135">
        <f t="shared" si="13"/>
        <v>2028</v>
      </c>
      <c r="H15" s="128">
        <f t="shared" si="25"/>
        <v>0</v>
      </c>
      <c r="I15" s="135">
        <v>12</v>
      </c>
      <c r="J15" s="130">
        <f t="shared" si="1"/>
        <v>0</v>
      </c>
      <c r="K15" s="119"/>
      <c r="L15" s="135">
        <f t="shared" si="14"/>
        <v>2028</v>
      </c>
      <c r="M15" s="128">
        <f t="shared" si="26"/>
        <v>0</v>
      </c>
      <c r="N15" s="135">
        <v>12</v>
      </c>
      <c r="O15" s="130">
        <f t="shared" si="2"/>
        <v>0</v>
      </c>
      <c r="Q15" s="135">
        <f t="shared" si="15"/>
        <v>2028</v>
      </c>
      <c r="R15" s="128">
        <f t="shared" si="27"/>
        <v>2.82</v>
      </c>
      <c r="S15" s="135">
        <v>12</v>
      </c>
      <c r="T15" s="130">
        <f t="shared" si="3"/>
        <v>2.82</v>
      </c>
      <c r="U15" s="119"/>
      <c r="V15" s="135">
        <f t="shared" si="16"/>
        <v>2028</v>
      </c>
      <c r="W15" s="128">
        <f t="shared" si="28"/>
        <v>0.43</v>
      </c>
      <c r="X15" s="135">
        <v>12</v>
      </c>
      <c r="Y15" s="130">
        <f t="shared" si="4"/>
        <v>0.43</v>
      </c>
      <c r="Z15" s="119"/>
      <c r="AA15" s="135">
        <f t="shared" si="17"/>
        <v>2028</v>
      </c>
      <c r="AB15" s="128">
        <f t="shared" si="29"/>
        <v>1.65</v>
      </c>
      <c r="AC15" s="135">
        <v>12</v>
      </c>
      <c r="AD15" s="130">
        <f t="shared" si="5"/>
        <v>1.6499999999999997</v>
      </c>
      <c r="AE15" s="119"/>
      <c r="AF15" s="135">
        <f t="shared" si="18"/>
        <v>2028</v>
      </c>
      <c r="AG15" s="128">
        <f t="shared" si="30"/>
        <v>0</v>
      </c>
      <c r="AH15" s="135">
        <v>12</v>
      </c>
      <c r="AI15" s="130">
        <f t="shared" si="6"/>
        <v>0</v>
      </c>
      <c r="AJ15" s="119"/>
      <c r="AK15" s="135">
        <f t="shared" si="19"/>
        <v>2028</v>
      </c>
      <c r="AL15" s="128">
        <f t="shared" si="31"/>
        <v>0</v>
      </c>
      <c r="AM15" s="135">
        <v>12</v>
      </c>
      <c r="AN15" s="130">
        <f t="shared" si="7"/>
        <v>0</v>
      </c>
      <c r="AO15" s="119"/>
      <c r="AP15" s="135">
        <f t="shared" si="20"/>
        <v>2028</v>
      </c>
      <c r="AQ15" s="128">
        <f t="shared" si="32"/>
        <v>0</v>
      </c>
      <c r="AR15" s="135">
        <v>12</v>
      </c>
      <c r="AS15" s="130">
        <f t="shared" si="8"/>
        <v>0</v>
      </c>
      <c r="AT15" s="119"/>
      <c r="AU15" s="135">
        <f t="shared" si="21"/>
        <v>2028</v>
      </c>
      <c r="AV15" s="128">
        <f t="shared" si="33"/>
        <v>0</v>
      </c>
      <c r="AW15" s="135">
        <v>12</v>
      </c>
      <c r="AX15" s="130">
        <f t="shared" si="9"/>
        <v>0</v>
      </c>
      <c r="AY15" s="119"/>
      <c r="AZ15" s="135">
        <f t="shared" si="22"/>
        <v>2028</v>
      </c>
      <c r="BA15" s="128">
        <f t="shared" si="34"/>
        <v>0</v>
      </c>
      <c r="BB15" s="135">
        <v>12</v>
      </c>
      <c r="BC15" s="130">
        <f t="shared" si="10"/>
        <v>0</v>
      </c>
      <c r="BE15" s="135">
        <f t="shared" si="23"/>
        <v>2028</v>
      </c>
      <c r="BF15" s="128">
        <f t="shared" si="35"/>
        <v>0</v>
      </c>
      <c r="BG15" s="135">
        <v>12</v>
      </c>
      <c r="BH15" s="130">
        <f t="shared" si="11"/>
        <v>0</v>
      </c>
    </row>
    <row r="16" spans="2:60">
      <c r="B16" s="135">
        <f t="shared" si="12"/>
        <v>2029</v>
      </c>
      <c r="C16" s="128">
        <f t="shared" si="24"/>
        <v>53.69</v>
      </c>
      <c r="D16" s="135">
        <v>12</v>
      </c>
      <c r="E16" s="130">
        <f t="shared" si="0"/>
        <v>53.69</v>
      </c>
      <c r="F16" s="119"/>
      <c r="G16" s="135">
        <f t="shared" si="13"/>
        <v>2029</v>
      </c>
      <c r="H16" s="128">
        <f t="shared" si="25"/>
        <v>0</v>
      </c>
      <c r="I16" s="135">
        <v>12</v>
      </c>
      <c r="J16" s="130">
        <f t="shared" si="1"/>
        <v>0</v>
      </c>
      <c r="K16" s="119"/>
      <c r="L16" s="135">
        <f t="shared" si="14"/>
        <v>2029</v>
      </c>
      <c r="M16" s="128">
        <f t="shared" si="26"/>
        <v>0</v>
      </c>
      <c r="N16" s="135">
        <v>12</v>
      </c>
      <c r="O16" s="130">
        <f t="shared" si="2"/>
        <v>0</v>
      </c>
      <c r="Q16" s="135">
        <f t="shared" si="15"/>
        <v>2029</v>
      </c>
      <c r="R16" s="128">
        <f t="shared" si="27"/>
        <v>2.89</v>
      </c>
      <c r="S16" s="135">
        <v>12</v>
      </c>
      <c r="T16" s="130">
        <f t="shared" si="3"/>
        <v>2.89</v>
      </c>
      <c r="U16" s="119"/>
      <c r="V16" s="135">
        <f t="shared" si="16"/>
        <v>2029</v>
      </c>
      <c r="W16" s="128">
        <f t="shared" si="28"/>
        <v>0.44</v>
      </c>
      <c r="X16" s="135">
        <v>12</v>
      </c>
      <c r="Y16" s="130">
        <f t="shared" si="4"/>
        <v>0.44</v>
      </c>
      <c r="Z16" s="119"/>
      <c r="AA16" s="135">
        <f t="shared" si="17"/>
        <v>2029</v>
      </c>
      <c r="AB16" s="128">
        <f t="shared" si="29"/>
        <v>1.69</v>
      </c>
      <c r="AC16" s="135">
        <v>12</v>
      </c>
      <c r="AD16" s="130">
        <f t="shared" si="5"/>
        <v>1.6900000000000002</v>
      </c>
      <c r="AE16" s="119"/>
      <c r="AF16" s="135">
        <f t="shared" si="18"/>
        <v>2029</v>
      </c>
      <c r="AG16" s="128">
        <f t="shared" si="30"/>
        <v>0</v>
      </c>
      <c r="AH16" s="135">
        <v>12</v>
      </c>
      <c r="AI16" s="130">
        <f t="shared" si="6"/>
        <v>0</v>
      </c>
      <c r="AJ16" s="119"/>
      <c r="AK16" s="135">
        <f t="shared" si="19"/>
        <v>2029</v>
      </c>
      <c r="AL16" s="128">
        <f t="shared" si="31"/>
        <v>0</v>
      </c>
      <c r="AM16" s="135">
        <v>12</v>
      </c>
      <c r="AN16" s="130">
        <f t="shared" si="7"/>
        <v>0</v>
      </c>
      <c r="AO16" s="119"/>
      <c r="AP16" s="135">
        <f t="shared" si="20"/>
        <v>2029</v>
      </c>
      <c r="AQ16" s="128">
        <f t="shared" si="32"/>
        <v>0</v>
      </c>
      <c r="AR16" s="135">
        <v>12</v>
      </c>
      <c r="AS16" s="130">
        <f t="shared" si="8"/>
        <v>0</v>
      </c>
      <c r="AT16" s="119"/>
      <c r="AU16" s="135">
        <f t="shared" si="21"/>
        <v>2029</v>
      </c>
      <c r="AV16" s="128">
        <f t="shared" si="33"/>
        <v>0</v>
      </c>
      <c r="AW16" s="135">
        <v>12</v>
      </c>
      <c r="AX16" s="130">
        <f t="shared" si="9"/>
        <v>0</v>
      </c>
      <c r="AY16" s="119"/>
      <c r="AZ16" s="353">
        <f t="shared" si="22"/>
        <v>2029</v>
      </c>
      <c r="BA16" s="128">
        <f t="shared" si="34"/>
        <v>0</v>
      </c>
      <c r="BB16" s="135">
        <v>12</v>
      </c>
      <c r="BC16" s="130">
        <f t="shared" si="10"/>
        <v>0</v>
      </c>
      <c r="BE16" s="135">
        <f t="shared" si="23"/>
        <v>2029</v>
      </c>
      <c r="BF16" s="128">
        <f t="shared" si="35"/>
        <v>0</v>
      </c>
      <c r="BG16" s="135">
        <v>12</v>
      </c>
      <c r="BH16" s="130">
        <f t="shared" si="11"/>
        <v>0</v>
      </c>
    </row>
    <row r="17" spans="2:60">
      <c r="B17" s="135">
        <f t="shared" si="12"/>
        <v>2030</v>
      </c>
      <c r="C17" s="128">
        <f t="shared" si="24"/>
        <v>54.92</v>
      </c>
      <c r="D17" s="135">
        <v>12</v>
      </c>
      <c r="E17" s="130">
        <f t="shared" si="0"/>
        <v>54.919999999999995</v>
      </c>
      <c r="F17" s="119"/>
      <c r="G17" s="353">
        <f t="shared" si="13"/>
        <v>2030</v>
      </c>
      <c r="H17" s="128">
        <f t="shared" si="25"/>
        <v>12.097273854334603</v>
      </c>
      <c r="I17" s="135">
        <v>12</v>
      </c>
      <c r="J17" s="130">
        <f t="shared" si="1"/>
        <v>12.097273854334603</v>
      </c>
      <c r="K17" s="119"/>
      <c r="L17" s="135">
        <f t="shared" si="14"/>
        <v>2030</v>
      </c>
      <c r="M17" s="128">
        <f t="shared" si="26"/>
        <v>0</v>
      </c>
      <c r="N17" s="135">
        <v>12</v>
      </c>
      <c r="O17" s="130">
        <f t="shared" si="2"/>
        <v>0</v>
      </c>
      <c r="Q17" s="135">
        <f t="shared" si="15"/>
        <v>2030</v>
      </c>
      <c r="R17" s="128">
        <f t="shared" si="27"/>
        <v>2.96</v>
      </c>
      <c r="S17" s="135">
        <v>12</v>
      </c>
      <c r="T17" s="130">
        <f t="shared" si="3"/>
        <v>2.9599999999999995</v>
      </c>
      <c r="U17" s="119"/>
      <c r="V17" s="135">
        <f t="shared" si="16"/>
        <v>2030</v>
      </c>
      <c r="W17" s="128">
        <f t="shared" si="28"/>
        <v>0.45</v>
      </c>
      <c r="X17" s="135">
        <v>12</v>
      </c>
      <c r="Y17" s="130">
        <f t="shared" si="4"/>
        <v>0.45</v>
      </c>
      <c r="Z17" s="119"/>
      <c r="AA17" s="135">
        <f t="shared" si="17"/>
        <v>2030</v>
      </c>
      <c r="AB17" s="128">
        <f t="shared" si="29"/>
        <v>1.73</v>
      </c>
      <c r="AC17" s="135">
        <v>12</v>
      </c>
      <c r="AD17" s="130">
        <f t="shared" si="5"/>
        <v>1.7299999999999998</v>
      </c>
      <c r="AE17" s="119"/>
      <c r="AF17" s="353">
        <f t="shared" si="18"/>
        <v>2030</v>
      </c>
      <c r="AG17" s="128">
        <f t="shared" si="30"/>
        <v>21.577297145999619</v>
      </c>
      <c r="AH17" s="135">
        <v>12</v>
      </c>
      <c r="AI17" s="130">
        <f t="shared" si="6"/>
        <v>21.577297145999619</v>
      </c>
      <c r="AJ17" s="119"/>
      <c r="AK17" s="135">
        <f t="shared" si="19"/>
        <v>2030</v>
      </c>
      <c r="AL17" s="128">
        <f t="shared" si="31"/>
        <v>0</v>
      </c>
      <c r="AM17" s="135">
        <v>12</v>
      </c>
      <c r="AN17" s="130">
        <f t="shared" si="7"/>
        <v>0</v>
      </c>
      <c r="AO17" s="119"/>
      <c r="AP17" s="135">
        <f t="shared" si="20"/>
        <v>2030</v>
      </c>
      <c r="AQ17" s="128">
        <f t="shared" si="32"/>
        <v>0</v>
      </c>
      <c r="AR17" s="135">
        <v>12</v>
      </c>
      <c r="AS17" s="130">
        <f t="shared" si="8"/>
        <v>0</v>
      </c>
      <c r="AT17" s="119"/>
      <c r="AU17" s="135">
        <f t="shared" si="21"/>
        <v>2030</v>
      </c>
      <c r="AV17" s="128">
        <f t="shared" si="33"/>
        <v>0</v>
      </c>
      <c r="AW17" s="135">
        <v>12</v>
      </c>
      <c r="AX17" s="130">
        <f t="shared" si="9"/>
        <v>0</v>
      </c>
      <c r="AY17" s="119"/>
      <c r="AZ17" s="135">
        <f t="shared" si="22"/>
        <v>2030</v>
      </c>
      <c r="BA17" s="128">
        <f t="shared" si="34"/>
        <v>0</v>
      </c>
      <c r="BB17" s="135">
        <v>12</v>
      </c>
      <c r="BC17" s="130">
        <f t="shared" si="10"/>
        <v>0</v>
      </c>
      <c r="BE17" s="135">
        <f t="shared" si="23"/>
        <v>2030</v>
      </c>
      <c r="BF17" s="128">
        <f t="shared" si="35"/>
        <v>0</v>
      </c>
      <c r="BG17" s="135">
        <v>12</v>
      </c>
      <c r="BH17" s="130">
        <f t="shared" si="11"/>
        <v>0</v>
      </c>
    </row>
    <row r="18" spans="2:60">
      <c r="B18" s="135">
        <f t="shared" si="12"/>
        <v>2031</v>
      </c>
      <c r="C18" s="128">
        <f t="shared" si="24"/>
        <v>56.18</v>
      </c>
      <c r="D18" s="135">
        <v>12</v>
      </c>
      <c r="E18" s="130">
        <f t="shared" si="0"/>
        <v>56.18</v>
      </c>
      <c r="F18" s="119"/>
      <c r="G18" s="135">
        <f t="shared" si="13"/>
        <v>2031</v>
      </c>
      <c r="H18" s="128">
        <f t="shared" si="25"/>
        <v>12.38</v>
      </c>
      <c r="I18" s="135">
        <v>12</v>
      </c>
      <c r="J18" s="130">
        <f t="shared" si="1"/>
        <v>12.38</v>
      </c>
      <c r="K18" s="119"/>
      <c r="L18" s="135">
        <f t="shared" si="14"/>
        <v>2031</v>
      </c>
      <c r="M18" s="128">
        <f t="shared" si="26"/>
        <v>0</v>
      </c>
      <c r="N18" s="135">
        <v>12</v>
      </c>
      <c r="O18" s="130">
        <f t="shared" si="2"/>
        <v>0</v>
      </c>
      <c r="Q18" s="135">
        <f t="shared" si="15"/>
        <v>2031</v>
      </c>
      <c r="R18" s="128">
        <f t="shared" si="27"/>
        <v>3.03</v>
      </c>
      <c r="S18" s="135">
        <v>12</v>
      </c>
      <c r="T18" s="130">
        <f t="shared" si="3"/>
        <v>3.03</v>
      </c>
      <c r="U18" s="119"/>
      <c r="V18" s="135">
        <f t="shared" si="16"/>
        <v>2031</v>
      </c>
      <c r="W18" s="128">
        <f t="shared" si="28"/>
        <v>0.46</v>
      </c>
      <c r="X18" s="135">
        <v>12</v>
      </c>
      <c r="Y18" s="130">
        <f t="shared" si="4"/>
        <v>0.46</v>
      </c>
      <c r="Z18" s="119"/>
      <c r="AA18" s="135">
        <f t="shared" si="17"/>
        <v>2031</v>
      </c>
      <c r="AB18" s="128">
        <f t="shared" si="29"/>
        <v>1.77</v>
      </c>
      <c r="AC18" s="135">
        <v>12</v>
      </c>
      <c r="AD18" s="130">
        <f t="shared" si="5"/>
        <v>1.7700000000000002</v>
      </c>
      <c r="AE18" s="119"/>
      <c r="AF18" s="135">
        <f t="shared" si="18"/>
        <v>2031</v>
      </c>
      <c r="AG18" s="128">
        <f t="shared" si="30"/>
        <v>22.07</v>
      </c>
      <c r="AH18" s="135">
        <v>12</v>
      </c>
      <c r="AI18" s="130">
        <f t="shared" si="6"/>
        <v>22.070000000000004</v>
      </c>
      <c r="AJ18" s="119"/>
      <c r="AK18" s="135">
        <f t="shared" si="19"/>
        <v>2031</v>
      </c>
      <c r="AL18" s="128">
        <f t="shared" si="31"/>
        <v>0</v>
      </c>
      <c r="AM18" s="135">
        <v>12</v>
      </c>
      <c r="AN18" s="130">
        <f t="shared" si="7"/>
        <v>0</v>
      </c>
      <c r="AO18" s="119"/>
      <c r="AP18" s="135">
        <f t="shared" si="20"/>
        <v>2031</v>
      </c>
      <c r="AQ18" s="128">
        <f t="shared" si="32"/>
        <v>0</v>
      </c>
      <c r="AR18" s="135">
        <v>12</v>
      </c>
      <c r="AS18" s="130">
        <f t="shared" si="8"/>
        <v>0</v>
      </c>
      <c r="AT18" s="119"/>
      <c r="AU18" s="135">
        <f t="shared" si="21"/>
        <v>2031</v>
      </c>
      <c r="AV18" s="128">
        <f t="shared" si="33"/>
        <v>0</v>
      </c>
      <c r="AW18" s="135">
        <v>12</v>
      </c>
      <c r="AX18" s="130">
        <f t="shared" si="9"/>
        <v>0</v>
      </c>
      <c r="AY18" s="119"/>
      <c r="AZ18" s="135">
        <f t="shared" si="22"/>
        <v>2031</v>
      </c>
      <c r="BA18" s="128">
        <f t="shared" si="34"/>
        <v>0</v>
      </c>
      <c r="BB18" s="135">
        <v>12</v>
      </c>
      <c r="BC18" s="130">
        <f t="shared" si="10"/>
        <v>0</v>
      </c>
      <c r="BE18" s="135">
        <f t="shared" si="23"/>
        <v>2031</v>
      </c>
      <c r="BF18" s="128">
        <f t="shared" si="35"/>
        <v>0</v>
      </c>
      <c r="BG18" s="135">
        <v>12</v>
      </c>
      <c r="BH18" s="130">
        <f t="shared" si="11"/>
        <v>0</v>
      </c>
    </row>
    <row r="19" spans="2:60">
      <c r="B19" s="135">
        <f t="shared" si="12"/>
        <v>2032</v>
      </c>
      <c r="C19" s="128">
        <f t="shared" si="24"/>
        <v>57.47</v>
      </c>
      <c r="D19" s="135">
        <v>12</v>
      </c>
      <c r="E19" s="130">
        <f t="shared" si="0"/>
        <v>57.47</v>
      </c>
      <c r="F19" s="119"/>
      <c r="G19" s="135">
        <f t="shared" si="13"/>
        <v>2032</v>
      </c>
      <c r="H19" s="128">
        <f t="shared" si="25"/>
        <v>12.66</v>
      </c>
      <c r="I19" s="135">
        <v>12</v>
      </c>
      <c r="J19" s="130">
        <f t="shared" si="1"/>
        <v>12.660000000000002</v>
      </c>
      <c r="K19" s="119"/>
      <c r="L19" s="135">
        <f t="shared" si="14"/>
        <v>2032</v>
      </c>
      <c r="M19" s="128">
        <f t="shared" si="26"/>
        <v>0</v>
      </c>
      <c r="N19" s="135">
        <v>12</v>
      </c>
      <c r="O19" s="130">
        <f t="shared" si="2"/>
        <v>0</v>
      </c>
      <c r="Q19" s="135">
        <f t="shared" si="15"/>
        <v>2032</v>
      </c>
      <c r="R19" s="128">
        <f t="shared" si="27"/>
        <v>3.1</v>
      </c>
      <c r="S19" s="135">
        <v>12</v>
      </c>
      <c r="T19" s="130">
        <f t="shared" si="3"/>
        <v>3.1</v>
      </c>
      <c r="U19" s="119"/>
      <c r="V19" s="135">
        <f t="shared" si="16"/>
        <v>2032</v>
      </c>
      <c r="W19" s="128">
        <f t="shared" si="28"/>
        <v>0.47</v>
      </c>
      <c r="X19" s="135">
        <v>12</v>
      </c>
      <c r="Y19" s="130">
        <f t="shared" si="4"/>
        <v>0.47</v>
      </c>
      <c r="Z19" s="119"/>
      <c r="AA19" s="135">
        <f t="shared" si="17"/>
        <v>2032</v>
      </c>
      <c r="AB19" s="128">
        <f t="shared" si="29"/>
        <v>1.81</v>
      </c>
      <c r="AC19" s="135">
        <v>12</v>
      </c>
      <c r="AD19" s="130">
        <f t="shared" si="5"/>
        <v>1.8099999999999998</v>
      </c>
      <c r="AE19" s="119"/>
      <c r="AF19" s="135">
        <f t="shared" si="18"/>
        <v>2032</v>
      </c>
      <c r="AG19" s="128">
        <f t="shared" si="30"/>
        <v>22.58</v>
      </c>
      <c r="AH19" s="135">
        <v>12</v>
      </c>
      <c r="AI19" s="130">
        <f t="shared" si="6"/>
        <v>22.58</v>
      </c>
      <c r="AJ19" s="119"/>
      <c r="AK19" s="135">
        <f t="shared" si="19"/>
        <v>2032</v>
      </c>
      <c r="AL19" s="128">
        <f t="shared" si="31"/>
        <v>0</v>
      </c>
      <c r="AM19" s="135">
        <v>12</v>
      </c>
      <c r="AN19" s="130">
        <f t="shared" si="7"/>
        <v>0</v>
      </c>
      <c r="AO19" s="119"/>
      <c r="AP19" s="135">
        <f t="shared" si="20"/>
        <v>2032</v>
      </c>
      <c r="AQ19" s="128">
        <f t="shared" si="32"/>
        <v>0</v>
      </c>
      <c r="AR19" s="135">
        <v>12</v>
      </c>
      <c r="AS19" s="130">
        <f t="shared" si="8"/>
        <v>0</v>
      </c>
      <c r="AT19" s="119"/>
      <c r="AU19" s="135">
        <f t="shared" si="21"/>
        <v>2032</v>
      </c>
      <c r="AV19" s="128">
        <f t="shared" si="33"/>
        <v>0</v>
      </c>
      <c r="AW19" s="135">
        <v>12</v>
      </c>
      <c r="AX19" s="130">
        <f t="shared" si="9"/>
        <v>0</v>
      </c>
      <c r="AY19" s="119"/>
      <c r="AZ19" s="135">
        <f t="shared" si="22"/>
        <v>2032</v>
      </c>
      <c r="BA19" s="128">
        <f t="shared" si="34"/>
        <v>0</v>
      </c>
      <c r="BB19" s="135">
        <v>12</v>
      </c>
      <c r="BC19" s="130">
        <f t="shared" si="10"/>
        <v>0</v>
      </c>
      <c r="BE19" s="135">
        <f t="shared" si="23"/>
        <v>2032</v>
      </c>
      <c r="BF19" s="128">
        <f t="shared" si="35"/>
        <v>0</v>
      </c>
      <c r="BG19" s="135">
        <v>12</v>
      </c>
      <c r="BH19" s="130">
        <f t="shared" si="11"/>
        <v>0</v>
      </c>
    </row>
    <row r="20" spans="2:60">
      <c r="B20" s="135">
        <f t="shared" si="12"/>
        <v>2033</v>
      </c>
      <c r="C20" s="128">
        <f t="shared" si="24"/>
        <v>58.79</v>
      </c>
      <c r="D20" s="135">
        <v>12</v>
      </c>
      <c r="E20" s="130">
        <f t="shared" si="0"/>
        <v>58.79</v>
      </c>
      <c r="F20" s="119"/>
      <c r="G20" s="135">
        <f t="shared" si="13"/>
        <v>2033</v>
      </c>
      <c r="H20" s="128">
        <f t="shared" si="25"/>
        <v>12.95</v>
      </c>
      <c r="I20" s="135">
        <v>12</v>
      </c>
      <c r="J20" s="130">
        <f t="shared" si="1"/>
        <v>12.949999999999998</v>
      </c>
      <c r="K20" s="119"/>
      <c r="L20" s="135">
        <f t="shared" si="14"/>
        <v>2033</v>
      </c>
      <c r="M20" s="128">
        <f t="shared" si="26"/>
        <v>0</v>
      </c>
      <c r="N20" s="135">
        <v>12</v>
      </c>
      <c r="O20" s="130">
        <f t="shared" si="2"/>
        <v>0</v>
      </c>
      <c r="Q20" s="135">
        <f t="shared" si="15"/>
        <v>2033</v>
      </c>
      <c r="R20" s="128">
        <f t="shared" si="27"/>
        <v>3.17</v>
      </c>
      <c r="S20" s="135">
        <v>12</v>
      </c>
      <c r="T20" s="130">
        <f t="shared" si="3"/>
        <v>3.17</v>
      </c>
      <c r="U20" s="119"/>
      <c r="V20" s="135">
        <f t="shared" si="16"/>
        <v>2033</v>
      </c>
      <c r="W20" s="128">
        <f t="shared" si="28"/>
        <v>0.48</v>
      </c>
      <c r="X20" s="135">
        <v>12</v>
      </c>
      <c r="Y20" s="130">
        <f t="shared" si="4"/>
        <v>0.48</v>
      </c>
      <c r="Z20" s="119"/>
      <c r="AA20" s="135">
        <f t="shared" si="17"/>
        <v>2033</v>
      </c>
      <c r="AB20" s="128">
        <f t="shared" si="29"/>
        <v>1.85</v>
      </c>
      <c r="AC20" s="135">
        <v>12</v>
      </c>
      <c r="AD20" s="130">
        <f t="shared" si="5"/>
        <v>1.8500000000000003</v>
      </c>
      <c r="AE20" s="119"/>
      <c r="AF20" s="135">
        <f t="shared" si="18"/>
        <v>2033</v>
      </c>
      <c r="AG20" s="128">
        <f t="shared" si="30"/>
        <v>23.1</v>
      </c>
      <c r="AH20" s="135">
        <v>12</v>
      </c>
      <c r="AI20" s="130">
        <f t="shared" si="6"/>
        <v>23.100000000000005</v>
      </c>
      <c r="AJ20" s="119"/>
      <c r="AK20" s="353">
        <f t="shared" si="19"/>
        <v>2033</v>
      </c>
      <c r="AL20" s="128">
        <f t="shared" si="31"/>
        <v>11.261107127981489</v>
      </c>
      <c r="AM20" s="135">
        <v>12</v>
      </c>
      <c r="AN20" s="130">
        <f t="shared" si="7"/>
        <v>11.261107127981489</v>
      </c>
      <c r="AO20" s="119"/>
      <c r="AP20" s="135">
        <f t="shared" si="20"/>
        <v>2033</v>
      </c>
      <c r="AQ20" s="128">
        <f t="shared" si="32"/>
        <v>0</v>
      </c>
      <c r="AR20" s="135">
        <v>12</v>
      </c>
      <c r="AS20" s="130">
        <f t="shared" si="8"/>
        <v>0</v>
      </c>
      <c r="AT20" s="119"/>
      <c r="AU20" s="135">
        <f t="shared" si="21"/>
        <v>2033</v>
      </c>
      <c r="AV20" s="128">
        <f t="shared" si="33"/>
        <v>0</v>
      </c>
      <c r="AW20" s="135">
        <v>12</v>
      </c>
      <c r="AX20" s="130">
        <f t="shared" si="9"/>
        <v>0</v>
      </c>
      <c r="AY20" s="119"/>
      <c r="AZ20" s="135">
        <f t="shared" si="22"/>
        <v>2033</v>
      </c>
      <c r="BA20" s="128">
        <f t="shared" si="34"/>
        <v>0</v>
      </c>
      <c r="BB20" s="135">
        <v>12</v>
      </c>
      <c r="BC20" s="130">
        <f t="shared" si="10"/>
        <v>0</v>
      </c>
      <c r="BE20" s="135">
        <f t="shared" si="23"/>
        <v>2033</v>
      </c>
      <c r="BF20" s="128">
        <f t="shared" si="35"/>
        <v>0</v>
      </c>
      <c r="BG20" s="135">
        <v>12</v>
      </c>
      <c r="BH20" s="130">
        <f t="shared" si="11"/>
        <v>0</v>
      </c>
    </row>
    <row r="21" spans="2:60">
      <c r="B21" s="135">
        <f t="shared" si="12"/>
        <v>2034</v>
      </c>
      <c r="C21" s="128">
        <f t="shared" si="24"/>
        <v>60.14</v>
      </c>
      <c r="D21" s="135">
        <v>12</v>
      </c>
      <c r="E21" s="130">
        <f t="shared" si="0"/>
        <v>60.140000000000008</v>
      </c>
      <c r="F21" s="119"/>
      <c r="G21" s="135">
        <f t="shared" si="13"/>
        <v>2034</v>
      </c>
      <c r="H21" s="128">
        <f t="shared" si="25"/>
        <v>13.25</v>
      </c>
      <c r="I21" s="135">
        <v>12</v>
      </c>
      <c r="J21" s="130">
        <f t="shared" si="1"/>
        <v>13.25</v>
      </c>
      <c r="K21" s="119"/>
      <c r="L21" s="135">
        <f t="shared" si="14"/>
        <v>2034</v>
      </c>
      <c r="M21" s="128">
        <f t="shared" si="26"/>
        <v>0</v>
      </c>
      <c r="N21" s="135">
        <v>12</v>
      </c>
      <c r="O21" s="130">
        <f t="shared" si="2"/>
        <v>0</v>
      </c>
      <c r="Q21" s="135">
        <f t="shared" si="15"/>
        <v>2034</v>
      </c>
      <c r="R21" s="128">
        <f t="shared" si="27"/>
        <v>3.24</v>
      </c>
      <c r="S21" s="135">
        <v>12</v>
      </c>
      <c r="T21" s="130">
        <f t="shared" si="3"/>
        <v>3.24</v>
      </c>
      <c r="U21" s="119"/>
      <c r="V21" s="135">
        <f t="shared" si="16"/>
        <v>2034</v>
      </c>
      <c r="W21" s="128">
        <f t="shared" si="28"/>
        <v>0.49</v>
      </c>
      <c r="X21" s="135">
        <v>12</v>
      </c>
      <c r="Y21" s="130">
        <f t="shared" si="4"/>
        <v>0.49</v>
      </c>
      <c r="Z21" s="119"/>
      <c r="AA21" s="135">
        <f t="shared" si="17"/>
        <v>2034</v>
      </c>
      <c r="AB21" s="128">
        <f t="shared" si="29"/>
        <v>1.89</v>
      </c>
      <c r="AC21" s="135">
        <v>12</v>
      </c>
      <c r="AD21" s="130">
        <f t="shared" si="5"/>
        <v>1.89</v>
      </c>
      <c r="AE21" s="119"/>
      <c r="AF21" s="135">
        <f t="shared" si="18"/>
        <v>2034</v>
      </c>
      <c r="AG21" s="128">
        <f t="shared" si="30"/>
        <v>23.63</v>
      </c>
      <c r="AH21" s="135">
        <v>12</v>
      </c>
      <c r="AI21" s="130">
        <f t="shared" si="6"/>
        <v>23.63</v>
      </c>
      <c r="AJ21" s="119"/>
      <c r="AK21" s="135">
        <f t="shared" si="19"/>
        <v>2034</v>
      </c>
      <c r="AL21" s="128">
        <f t="shared" si="31"/>
        <v>11.52</v>
      </c>
      <c r="AM21" s="135">
        <v>12</v>
      </c>
      <c r="AN21" s="130">
        <f t="shared" si="7"/>
        <v>11.520000000000001</v>
      </c>
      <c r="AO21" s="119"/>
      <c r="AP21" s="135">
        <f t="shared" si="20"/>
        <v>2034</v>
      </c>
      <c r="AQ21" s="128">
        <f t="shared" si="32"/>
        <v>0</v>
      </c>
      <c r="AR21" s="135">
        <v>12</v>
      </c>
      <c r="AS21" s="130">
        <f t="shared" si="8"/>
        <v>0</v>
      </c>
      <c r="AT21" s="119"/>
      <c r="AU21" s="135">
        <f t="shared" si="21"/>
        <v>2034</v>
      </c>
      <c r="AV21" s="128">
        <f t="shared" si="33"/>
        <v>0</v>
      </c>
      <c r="AW21" s="135">
        <v>12</v>
      </c>
      <c r="AX21" s="130">
        <f t="shared" si="9"/>
        <v>0</v>
      </c>
      <c r="AY21" s="119"/>
      <c r="AZ21" s="135">
        <f t="shared" si="22"/>
        <v>2034</v>
      </c>
      <c r="BA21" s="128">
        <f t="shared" si="34"/>
        <v>0</v>
      </c>
      <c r="BB21" s="135">
        <v>12</v>
      </c>
      <c r="BC21" s="130">
        <f t="shared" si="10"/>
        <v>0</v>
      </c>
      <c r="BE21" s="135">
        <f t="shared" si="23"/>
        <v>2034</v>
      </c>
      <c r="BF21" s="128">
        <f t="shared" si="35"/>
        <v>0</v>
      </c>
      <c r="BG21" s="135">
        <v>12</v>
      </c>
      <c r="BH21" s="130">
        <f t="shared" si="11"/>
        <v>0</v>
      </c>
    </row>
    <row r="22" spans="2:60">
      <c r="B22" s="135">
        <f t="shared" si="12"/>
        <v>2035</v>
      </c>
      <c r="C22" s="128">
        <f t="shared" si="24"/>
        <v>61.52</v>
      </c>
      <c r="D22" s="135">
        <v>12</v>
      </c>
      <c r="E22" s="130">
        <f t="shared" si="0"/>
        <v>61.52</v>
      </c>
      <c r="F22" s="119"/>
      <c r="G22" s="135">
        <f t="shared" si="13"/>
        <v>2035</v>
      </c>
      <c r="H22" s="128">
        <f t="shared" si="25"/>
        <v>13.55</v>
      </c>
      <c r="I22" s="135">
        <v>12</v>
      </c>
      <c r="J22" s="130">
        <f t="shared" si="1"/>
        <v>13.550000000000002</v>
      </c>
      <c r="K22" s="119"/>
      <c r="L22" s="135">
        <f t="shared" si="14"/>
        <v>2035</v>
      </c>
      <c r="M22" s="128">
        <f t="shared" si="26"/>
        <v>0</v>
      </c>
      <c r="N22" s="135">
        <v>12</v>
      </c>
      <c r="O22" s="130">
        <f t="shared" si="2"/>
        <v>0</v>
      </c>
      <c r="Q22" s="135">
        <f t="shared" si="15"/>
        <v>2035</v>
      </c>
      <c r="R22" s="128">
        <f t="shared" si="27"/>
        <v>3.31</v>
      </c>
      <c r="S22" s="135">
        <v>12</v>
      </c>
      <c r="T22" s="130">
        <f t="shared" si="3"/>
        <v>3.31</v>
      </c>
      <c r="U22" s="119"/>
      <c r="V22" s="135">
        <f t="shared" si="16"/>
        <v>2035</v>
      </c>
      <c r="W22" s="128">
        <f t="shared" si="28"/>
        <v>0.5</v>
      </c>
      <c r="X22" s="135">
        <v>12</v>
      </c>
      <c r="Y22" s="130">
        <f t="shared" si="4"/>
        <v>0.5</v>
      </c>
      <c r="Z22" s="119"/>
      <c r="AA22" s="135">
        <f t="shared" si="17"/>
        <v>2035</v>
      </c>
      <c r="AB22" s="128">
        <f t="shared" si="29"/>
        <v>1.93</v>
      </c>
      <c r="AC22" s="135">
        <v>12</v>
      </c>
      <c r="AD22" s="130">
        <f t="shared" si="5"/>
        <v>1.93</v>
      </c>
      <c r="AE22" s="119"/>
      <c r="AF22" s="135">
        <f t="shared" si="18"/>
        <v>2035</v>
      </c>
      <c r="AG22" s="128">
        <f t="shared" si="30"/>
        <v>24.17</v>
      </c>
      <c r="AH22" s="135">
        <v>12</v>
      </c>
      <c r="AI22" s="130">
        <f t="shared" si="6"/>
        <v>24.17</v>
      </c>
      <c r="AJ22" s="119"/>
      <c r="AK22" s="135">
        <f t="shared" si="19"/>
        <v>2035</v>
      </c>
      <c r="AL22" s="128">
        <f t="shared" si="31"/>
        <v>11.78</v>
      </c>
      <c r="AM22" s="135">
        <v>12</v>
      </c>
      <c r="AN22" s="130">
        <f t="shared" si="7"/>
        <v>11.78</v>
      </c>
      <c r="AO22" s="119"/>
      <c r="AP22" s="135">
        <f t="shared" si="20"/>
        <v>2035</v>
      </c>
      <c r="AQ22" s="128">
        <f t="shared" si="32"/>
        <v>0</v>
      </c>
      <c r="AR22" s="135">
        <v>12</v>
      </c>
      <c r="AS22" s="130">
        <f t="shared" si="8"/>
        <v>0</v>
      </c>
      <c r="AT22" s="119"/>
      <c r="AU22" s="135">
        <f t="shared" si="21"/>
        <v>2035</v>
      </c>
      <c r="AV22" s="128">
        <f t="shared" si="33"/>
        <v>0</v>
      </c>
      <c r="AW22" s="135">
        <v>12</v>
      </c>
      <c r="AX22" s="130">
        <f t="shared" si="9"/>
        <v>0</v>
      </c>
      <c r="AY22" s="119"/>
      <c r="AZ22" s="135">
        <f t="shared" si="22"/>
        <v>2035</v>
      </c>
      <c r="BA22" s="128">
        <f t="shared" si="34"/>
        <v>0</v>
      </c>
      <c r="BB22" s="135">
        <v>12</v>
      </c>
      <c r="BC22" s="130">
        <f t="shared" si="10"/>
        <v>0</v>
      </c>
      <c r="BE22" s="135">
        <f t="shared" si="23"/>
        <v>2035</v>
      </c>
      <c r="BF22" s="128">
        <f t="shared" si="35"/>
        <v>0</v>
      </c>
      <c r="BG22" s="135">
        <v>12</v>
      </c>
      <c r="BH22" s="130">
        <f t="shared" si="11"/>
        <v>0</v>
      </c>
    </row>
    <row r="23" spans="2:60">
      <c r="B23" s="135">
        <f t="shared" si="12"/>
        <v>2036</v>
      </c>
      <c r="C23" s="128">
        <f t="shared" si="24"/>
        <v>62.93</v>
      </c>
      <c r="D23" s="135">
        <v>12</v>
      </c>
      <c r="E23" s="130">
        <f t="shared" si="0"/>
        <v>62.93</v>
      </c>
      <c r="F23" s="119"/>
      <c r="G23" s="135">
        <f t="shared" si="13"/>
        <v>2036</v>
      </c>
      <c r="H23" s="128">
        <f t="shared" si="25"/>
        <v>13.86</v>
      </c>
      <c r="I23" s="135">
        <v>12</v>
      </c>
      <c r="J23" s="130">
        <f t="shared" si="1"/>
        <v>13.86</v>
      </c>
      <c r="K23" s="119"/>
      <c r="L23" s="353">
        <f t="shared" si="14"/>
        <v>2036</v>
      </c>
      <c r="M23" s="128">
        <f t="shared" si="26"/>
        <v>31.092888780208423</v>
      </c>
      <c r="N23" s="135">
        <v>12</v>
      </c>
      <c r="O23" s="130">
        <f t="shared" si="2"/>
        <v>31.092888780208423</v>
      </c>
      <c r="Q23" s="135">
        <f t="shared" si="15"/>
        <v>2036</v>
      </c>
      <c r="R23" s="128">
        <f t="shared" si="27"/>
        <v>3.39</v>
      </c>
      <c r="S23" s="135">
        <v>12</v>
      </c>
      <c r="T23" s="130">
        <f t="shared" si="3"/>
        <v>3.39</v>
      </c>
      <c r="U23" s="119"/>
      <c r="V23" s="135">
        <f t="shared" si="16"/>
        <v>2036</v>
      </c>
      <c r="W23" s="128">
        <f t="shared" si="28"/>
        <v>0.51</v>
      </c>
      <c r="X23" s="135">
        <v>12</v>
      </c>
      <c r="Y23" s="130">
        <f t="shared" si="4"/>
        <v>0.51</v>
      </c>
      <c r="Z23" s="119"/>
      <c r="AA23" s="135">
        <f t="shared" si="17"/>
        <v>2036</v>
      </c>
      <c r="AB23" s="128">
        <f t="shared" si="29"/>
        <v>1.97</v>
      </c>
      <c r="AC23" s="135">
        <v>12</v>
      </c>
      <c r="AD23" s="130">
        <f t="shared" si="5"/>
        <v>1.97</v>
      </c>
      <c r="AE23" s="119"/>
      <c r="AF23" s="135">
        <f t="shared" si="18"/>
        <v>2036</v>
      </c>
      <c r="AG23" s="128">
        <f t="shared" si="30"/>
        <v>24.73</v>
      </c>
      <c r="AH23" s="135">
        <v>12</v>
      </c>
      <c r="AI23" s="130">
        <f t="shared" si="6"/>
        <v>24.73</v>
      </c>
      <c r="AJ23" s="119"/>
      <c r="AK23" s="135">
        <f t="shared" si="19"/>
        <v>2036</v>
      </c>
      <c r="AL23" s="128">
        <f t="shared" si="31"/>
        <v>12.05</v>
      </c>
      <c r="AM23" s="135">
        <v>12</v>
      </c>
      <c r="AN23" s="130">
        <f t="shared" si="7"/>
        <v>12.050000000000002</v>
      </c>
      <c r="AO23" s="119"/>
      <c r="AP23" s="135">
        <f t="shared" si="20"/>
        <v>2036</v>
      </c>
      <c r="AQ23" s="128">
        <f t="shared" si="32"/>
        <v>0</v>
      </c>
      <c r="AR23" s="135">
        <v>12</v>
      </c>
      <c r="AS23" s="130">
        <f t="shared" si="8"/>
        <v>0</v>
      </c>
      <c r="AT23" s="119"/>
      <c r="AU23" s="135">
        <f t="shared" si="21"/>
        <v>2036</v>
      </c>
      <c r="AV23" s="128">
        <f t="shared" si="33"/>
        <v>0</v>
      </c>
      <c r="AW23" s="135">
        <v>12</v>
      </c>
      <c r="AX23" s="130">
        <f t="shared" si="9"/>
        <v>0</v>
      </c>
      <c r="AY23" s="119"/>
      <c r="AZ23" s="135">
        <f t="shared" si="22"/>
        <v>2036</v>
      </c>
      <c r="BA23" s="128">
        <f t="shared" si="34"/>
        <v>0</v>
      </c>
      <c r="BB23" s="135">
        <v>12</v>
      </c>
      <c r="BC23" s="130">
        <f t="shared" si="10"/>
        <v>0</v>
      </c>
      <c r="BE23" s="135">
        <f t="shared" si="23"/>
        <v>2036</v>
      </c>
      <c r="BF23" s="128">
        <f t="shared" si="35"/>
        <v>0</v>
      </c>
      <c r="BG23" s="135">
        <v>12</v>
      </c>
      <c r="BH23" s="130">
        <f t="shared" si="11"/>
        <v>0</v>
      </c>
    </row>
    <row r="24" spans="2:60">
      <c r="B24" s="135">
        <f t="shared" si="12"/>
        <v>2037</v>
      </c>
      <c r="C24" s="128">
        <f t="shared" si="24"/>
        <v>64.38</v>
      </c>
      <c r="D24" s="135">
        <v>12</v>
      </c>
      <c r="E24" s="130">
        <f t="shared" si="0"/>
        <v>64.38</v>
      </c>
      <c r="F24" s="119"/>
      <c r="G24" s="135">
        <f t="shared" si="13"/>
        <v>2037</v>
      </c>
      <c r="H24" s="128">
        <f t="shared" si="25"/>
        <v>14.18</v>
      </c>
      <c r="I24" s="135">
        <v>12</v>
      </c>
      <c r="J24" s="130">
        <f t="shared" si="1"/>
        <v>14.18</v>
      </c>
      <c r="K24" s="119"/>
      <c r="L24" s="135">
        <f t="shared" si="14"/>
        <v>2037</v>
      </c>
      <c r="M24" s="128">
        <f t="shared" si="26"/>
        <v>31.81</v>
      </c>
      <c r="N24" s="135">
        <v>12</v>
      </c>
      <c r="O24" s="130">
        <f t="shared" si="2"/>
        <v>31.81</v>
      </c>
      <c r="Q24" s="135">
        <f t="shared" si="15"/>
        <v>2037</v>
      </c>
      <c r="R24" s="128">
        <f t="shared" si="27"/>
        <v>3.47</v>
      </c>
      <c r="S24" s="135">
        <v>12</v>
      </c>
      <c r="T24" s="130">
        <f t="shared" si="3"/>
        <v>3.47</v>
      </c>
      <c r="U24" s="119"/>
      <c r="V24" s="135">
        <f t="shared" si="16"/>
        <v>2037</v>
      </c>
      <c r="W24" s="128">
        <f t="shared" si="28"/>
        <v>0.52</v>
      </c>
      <c r="X24" s="135">
        <v>12</v>
      </c>
      <c r="Y24" s="130">
        <f t="shared" si="4"/>
        <v>0.52</v>
      </c>
      <c r="Z24" s="119"/>
      <c r="AA24" s="135">
        <f t="shared" si="17"/>
        <v>2037</v>
      </c>
      <c r="AB24" s="128">
        <f t="shared" si="29"/>
        <v>2.02</v>
      </c>
      <c r="AC24" s="135">
        <v>12</v>
      </c>
      <c r="AD24" s="130">
        <f t="shared" si="5"/>
        <v>2.02</v>
      </c>
      <c r="AE24" s="119"/>
      <c r="AF24" s="135">
        <f t="shared" si="18"/>
        <v>2037</v>
      </c>
      <c r="AG24" s="128">
        <f t="shared" si="30"/>
        <v>25.3</v>
      </c>
      <c r="AH24" s="135">
        <v>12</v>
      </c>
      <c r="AI24" s="130">
        <f t="shared" si="6"/>
        <v>25.3</v>
      </c>
      <c r="AJ24" s="119"/>
      <c r="AK24" s="135">
        <f t="shared" si="19"/>
        <v>2037</v>
      </c>
      <c r="AL24" s="128">
        <f t="shared" si="31"/>
        <v>12.33</v>
      </c>
      <c r="AM24" s="135">
        <v>12</v>
      </c>
      <c r="AN24" s="130">
        <f t="shared" si="7"/>
        <v>12.33</v>
      </c>
      <c r="AO24" s="119"/>
      <c r="AP24" s="353">
        <f t="shared" si="20"/>
        <v>2037</v>
      </c>
      <c r="AQ24" s="128">
        <f t="shared" si="32"/>
        <v>4.7728292811563495</v>
      </c>
      <c r="AR24" s="135">
        <v>12</v>
      </c>
      <c r="AS24" s="130">
        <f t="shared" si="8"/>
        <v>4.7728292811563495</v>
      </c>
      <c r="AT24" s="119"/>
      <c r="AU24" s="353">
        <f t="shared" si="21"/>
        <v>2037</v>
      </c>
      <c r="AV24" s="128">
        <f t="shared" si="33"/>
        <v>5.4972551057881001</v>
      </c>
      <c r="AW24" s="135">
        <v>12</v>
      </c>
      <c r="AX24" s="130">
        <f t="shared" si="9"/>
        <v>5.4972551057881001</v>
      </c>
      <c r="AY24" s="119"/>
      <c r="AZ24" s="135">
        <f t="shared" si="22"/>
        <v>2037</v>
      </c>
      <c r="BA24" s="128">
        <f t="shared" si="34"/>
        <v>0</v>
      </c>
      <c r="BB24" s="135">
        <v>12</v>
      </c>
      <c r="BC24" s="130">
        <f t="shared" si="10"/>
        <v>0</v>
      </c>
      <c r="BE24" s="135">
        <f t="shared" si="23"/>
        <v>2037</v>
      </c>
      <c r="BF24" s="128">
        <f t="shared" si="35"/>
        <v>0</v>
      </c>
      <c r="BG24" s="135">
        <v>12</v>
      </c>
      <c r="BH24" s="130">
        <f t="shared" si="11"/>
        <v>0</v>
      </c>
    </row>
    <row r="25" spans="2:60">
      <c r="B25" s="135">
        <f t="shared" si="12"/>
        <v>2038</v>
      </c>
      <c r="C25" s="128">
        <f t="shared" si="24"/>
        <v>65.86</v>
      </c>
      <c r="D25" s="135">
        <v>12</v>
      </c>
      <c r="E25" s="130">
        <f t="shared" si="0"/>
        <v>65.86</v>
      </c>
      <c r="F25" s="119"/>
      <c r="G25" s="135">
        <f t="shared" si="13"/>
        <v>2038</v>
      </c>
      <c r="H25" s="128">
        <f t="shared" si="25"/>
        <v>14.51</v>
      </c>
      <c r="I25" s="135">
        <v>12</v>
      </c>
      <c r="J25" s="130">
        <f t="shared" si="1"/>
        <v>14.51</v>
      </c>
      <c r="K25" s="119"/>
      <c r="L25" s="135">
        <f t="shared" si="14"/>
        <v>2038</v>
      </c>
      <c r="M25" s="128">
        <f t="shared" si="26"/>
        <v>32.54</v>
      </c>
      <c r="N25" s="135">
        <v>12</v>
      </c>
      <c r="O25" s="130">
        <f t="shared" si="2"/>
        <v>32.54</v>
      </c>
      <c r="Q25" s="135">
        <f t="shared" si="15"/>
        <v>2038</v>
      </c>
      <c r="R25" s="128">
        <f t="shared" si="27"/>
        <v>3.55</v>
      </c>
      <c r="S25" s="135">
        <v>12</v>
      </c>
      <c r="T25" s="130">
        <f t="shared" si="3"/>
        <v>3.5499999999999994</v>
      </c>
      <c r="U25" s="119"/>
      <c r="V25" s="135">
        <f t="shared" si="16"/>
        <v>2038</v>
      </c>
      <c r="W25" s="128">
        <f t="shared" si="28"/>
        <v>0.53</v>
      </c>
      <c r="X25" s="135">
        <v>12</v>
      </c>
      <c r="Y25" s="130">
        <f t="shared" si="4"/>
        <v>0.53</v>
      </c>
      <c r="Z25" s="119"/>
      <c r="AA25" s="135">
        <f t="shared" si="17"/>
        <v>2038</v>
      </c>
      <c r="AB25" s="128">
        <f t="shared" si="29"/>
        <v>2.0699999999999998</v>
      </c>
      <c r="AC25" s="135">
        <v>12</v>
      </c>
      <c r="AD25" s="130">
        <f t="shared" si="5"/>
        <v>2.0699999999999998</v>
      </c>
      <c r="AE25" s="119"/>
      <c r="AF25" s="135">
        <f t="shared" si="18"/>
        <v>2038</v>
      </c>
      <c r="AG25" s="128">
        <f t="shared" si="30"/>
        <v>25.88</v>
      </c>
      <c r="AH25" s="135">
        <v>12</v>
      </c>
      <c r="AI25" s="130">
        <f t="shared" si="6"/>
        <v>25.88</v>
      </c>
      <c r="AJ25" s="119"/>
      <c r="AK25" s="135">
        <f t="shared" si="19"/>
        <v>2038</v>
      </c>
      <c r="AL25" s="128">
        <f t="shared" si="31"/>
        <v>12.61</v>
      </c>
      <c r="AM25" s="135">
        <v>12</v>
      </c>
      <c r="AN25" s="130">
        <f t="shared" si="7"/>
        <v>12.61</v>
      </c>
      <c r="AO25" s="119"/>
      <c r="AP25" s="135">
        <f t="shared" si="20"/>
        <v>2038</v>
      </c>
      <c r="AQ25" s="128">
        <f t="shared" si="32"/>
        <v>4.88</v>
      </c>
      <c r="AR25" s="135">
        <v>12</v>
      </c>
      <c r="AS25" s="130">
        <f t="shared" si="8"/>
        <v>4.88</v>
      </c>
      <c r="AT25" s="119"/>
      <c r="AU25" s="135">
        <f t="shared" si="21"/>
        <v>2038</v>
      </c>
      <c r="AV25" s="128">
        <f t="shared" si="33"/>
        <v>5.62</v>
      </c>
      <c r="AW25" s="135">
        <v>12</v>
      </c>
      <c r="AX25" s="130">
        <f t="shared" si="9"/>
        <v>5.62</v>
      </c>
      <c r="AY25" s="119"/>
      <c r="AZ25" s="135">
        <f t="shared" si="22"/>
        <v>2038</v>
      </c>
      <c r="BA25" s="128">
        <f t="shared" si="34"/>
        <v>0</v>
      </c>
      <c r="BB25" s="135">
        <v>12</v>
      </c>
      <c r="BC25" s="130">
        <f t="shared" si="10"/>
        <v>0</v>
      </c>
      <c r="BE25" s="135">
        <f t="shared" si="23"/>
        <v>2038</v>
      </c>
      <c r="BF25" s="128">
        <f t="shared" si="35"/>
        <v>0</v>
      </c>
      <c r="BG25" s="135">
        <v>12</v>
      </c>
      <c r="BH25" s="130">
        <f t="shared" si="11"/>
        <v>0</v>
      </c>
    </row>
    <row r="26" spans="2:60">
      <c r="B26" s="135">
        <f t="shared" si="12"/>
        <v>2039</v>
      </c>
      <c r="C26" s="128">
        <f t="shared" si="24"/>
        <v>67.37</v>
      </c>
      <c r="D26" s="135">
        <v>12</v>
      </c>
      <c r="E26" s="130">
        <f t="shared" si="0"/>
        <v>67.37</v>
      </c>
      <c r="F26" s="119"/>
      <c r="G26" s="135">
        <f t="shared" si="13"/>
        <v>2039</v>
      </c>
      <c r="H26" s="128">
        <f t="shared" si="25"/>
        <v>14.84</v>
      </c>
      <c r="I26" s="135">
        <v>12</v>
      </c>
      <c r="J26" s="130">
        <f t="shared" si="1"/>
        <v>14.839999999999998</v>
      </c>
      <c r="K26" s="119"/>
      <c r="L26" s="135">
        <f t="shared" si="14"/>
        <v>2039</v>
      </c>
      <c r="M26" s="128">
        <f t="shared" si="26"/>
        <v>33.29</v>
      </c>
      <c r="N26" s="135">
        <v>12</v>
      </c>
      <c r="O26" s="130">
        <f t="shared" si="2"/>
        <v>33.29</v>
      </c>
      <c r="Q26" s="135">
        <f t="shared" si="15"/>
        <v>2039</v>
      </c>
      <c r="R26" s="128">
        <f t="shared" si="27"/>
        <v>3.63</v>
      </c>
      <c r="S26" s="135">
        <v>12</v>
      </c>
      <c r="T26" s="130">
        <f t="shared" si="3"/>
        <v>3.6300000000000003</v>
      </c>
      <c r="U26" s="119"/>
      <c r="V26" s="135">
        <f t="shared" si="16"/>
        <v>2039</v>
      </c>
      <c r="W26" s="128">
        <f t="shared" si="28"/>
        <v>0.54</v>
      </c>
      <c r="X26" s="135">
        <v>12</v>
      </c>
      <c r="Y26" s="130">
        <f t="shared" si="4"/>
        <v>0.54</v>
      </c>
      <c r="Z26" s="119"/>
      <c r="AA26" s="135">
        <f t="shared" si="17"/>
        <v>2039</v>
      </c>
      <c r="AB26" s="128">
        <f t="shared" si="29"/>
        <v>2.12</v>
      </c>
      <c r="AC26" s="135">
        <v>12</v>
      </c>
      <c r="AD26" s="130">
        <f t="shared" si="5"/>
        <v>2.12</v>
      </c>
      <c r="AE26" s="119"/>
      <c r="AF26" s="135">
        <f t="shared" si="18"/>
        <v>2039</v>
      </c>
      <c r="AG26" s="128">
        <f t="shared" si="30"/>
        <v>26.48</v>
      </c>
      <c r="AH26" s="135">
        <v>12</v>
      </c>
      <c r="AI26" s="130">
        <f t="shared" si="6"/>
        <v>26.48</v>
      </c>
      <c r="AJ26" s="119"/>
      <c r="AK26" s="135">
        <f t="shared" si="19"/>
        <v>2039</v>
      </c>
      <c r="AL26" s="128">
        <f t="shared" si="31"/>
        <v>12.9</v>
      </c>
      <c r="AM26" s="135">
        <v>12</v>
      </c>
      <c r="AN26" s="130">
        <f t="shared" si="7"/>
        <v>12.9</v>
      </c>
      <c r="AO26" s="119"/>
      <c r="AP26" s="135">
        <f t="shared" si="20"/>
        <v>2039</v>
      </c>
      <c r="AQ26" s="128">
        <f t="shared" si="32"/>
        <v>4.99</v>
      </c>
      <c r="AR26" s="135">
        <v>12</v>
      </c>
      <c r="AS26" s="130">
        <f t="shared" si="8"/>
        <v>4.99</v>
      </c>
      <c r="AT26" s="119"/>
      <c r="AU26" s="135">
        <f t="shared" si="21"/>
        <v>2039</v>
      </c>
      <c r="AV26" s="128">
        <f t="shared" si="33"/>
        <v>5.75</v>
      </c>
      <c r="AW26" s="135">
        <v>12</v>
      </c>
      <c r="AX26" s="130">
        <f t="shared" si="9"/>
        <v>5.75</v>
      </c>
      <c r="AY26" s="119"/>
      <c r="AZ26" s="135">
        <f t="shared" si="22"/>
        <v>2039</v>
      </c>
      <c r="BA26" s="128">
        <f t="shared" si="34"/>
        <v>0</v>
      </c>
      <c r="BB26" s="135">
        <v>12</v>
      </c>
      <c r="BC26" s="130">
        <f t="shared" si="10"/>
        <v>0</v>
      </c>
      <c r="BE26" s="135">
        <f t="shared" si="23"/>
        <v>2039</v>
      </c>
      <c r="BF26" s="128">
        <f t="shared" si="35"/>
        <v>0</v>
      </c>
      <c r="BG26" s="135">
        <v>12</v>
      </c>
      <c r="BH26" s="130">
        <f t="shared" si="11"/>
        <v>0</v>
      </c>
    </row>
    <row r="27" spans="2:60">
      <c r="B27" s="135">
        <f t="shared" si="12"/>
        <v>2040</v>
      </c>
      <c r="C27" s="128">
        <f t="shared" si="24"/>
        <v>68.92</v>
      </c>
      <c r="D27" s="135">
        <v>12</v>
      </c>
      <c r="E27" s="130">
        <f t="shared" si="0"/>
        <v>68.92</v>
      </c>
      <c r="F27" s="119"/>
      <c r="G27" s="135">
        <f t="shared" si="13"/>
        <v>2040</v>
      </c>
      <c r="H27" s="128">
        <f t="shared" si="25"/>
        <v>15.18</v>
      </c>
      <c r="I27" s="135">
        <v>12</v>
      </c>
      <c r="J27" s="130">
        <f t="shared" si="1"/>
        <v>15.18</v>
      </c>
      <c r="K27" s="119"/>
      <c r="L27" s="135">
        <f t="shared" si="14"/>
        <v>2040</v>
      </c>
      <c r="M27" s="128">
        <f t="shared" si="26"/>
        <v>34.06</v>
      </c>
      <c r="N27" s="135">
        <v>12</v>
      </c>
      <c r="O27" s="130">
        <f t="shared" si="2"/>
        <v>34.06</v>
      </c>
      <c r="Q27" s="135">
        <f t="shared" si="15"/>
        <v>2040</v>
      </c>
      <c r="R27" s="128">
        <f t="shared" si="27"/>
        <v>3.71</v>
      </c>
      <c r="S27" s="135">
        <v>12</v>
      </c>
      <c r="T27" s="130">
        <f t="shared" si="3"/>
        <v>3.7099999999999995</v>
      </c>
      <c r="U27" s="119"/>
      <c r="V27" s="135">
        <f t="shared" si="16"/>
        <v>2040</v>
      </c>
      <c r="W27" s="128">
        <f t="shared" si="28"/>
        <v>0.55000000000000004</v>
      </c>
      <c r="X27" s="135">
        <v>12</v>
      </c>
      <c r="Y27" s="130">
        <f t="shared" si="4"/>
        <v>0.55000000000000004</v>
      </c>
      <c r="Z27" s="119"/>
      <c r="AA27" s="135">
        <f t="shared" si="17"/>
        <v>2040</v>
      </c>
      <c r="AB27" s="128">
        <f t="shared" si="29"/>
        <v>2.17</v>
      </c>
      <c r="AC27" s="135">
        <v>12</v>
      </c>
      <c r="AD27" s="130">
        <f t="shared" si="5"/>
        <v>2.17</v>
      </c>
      <c r="AE27" s="119"/>
      <c r="AF27" s="135">
        <f t="shared" si="18"/>
        <v>2040</v>
      </c>
      <c r="AG27" s="128">
        <f t="shared" si="30"/>
        <v>27.09</v>
      </c>
      <c r="AH27" s="135">
        <v>12</v>
      </c>
      <c r="AI27" s="130">
        <f t="shared" si="6"/>
        <v>27.09</v>
      </c>
      <c r="AJ27" s="119"/>
      <c r="AK27" s="135">
        <f t="shared" si="19"/>
        <v>2040</v>
      </c>
      <c r="AL27" s="128">
        <f t="shared" si="31"/>
        <v>13.2</v>
      </c>
      <c r="AM27" s="135">
        <v>12</v>
      </c>
      <c r="AN27" s="130">
        <f t="shared" si="7"/>
        <v>13.199999999999998</v>
      </c>
      <c r="AO27" s="119"/>
      <c r="AP27" s="135">
        <f t="shared" si="20"/>
        <v>2040</v>
      </c>
      <c r="AQ27" s="128">
        <f t="shared" si="32"/>
        <v>5.0999999999999996</v>
      </c>
      <c r="AR27" s="135">
        <v>12</v>
      </c>
      <c r="AS27" s="130">
        <f t="shared" si="8"/>
        <v>5.0999999999999996</v>
      </c>
      <c r="AT27" s="119"/>
      <c r="AU27" s="135">
        <f t="shared" si="21"/>
        <v>2040</v>
      </c>
      <c r="AV27" s="128">
        <f t="shared" si="33"/>
        <v>5.88</v>
      </c>
      <c r="AW27" s="135">
        <v>12</v>
      </c>
      <c r="AX27" s="130">
        <f t="shared" si="9"/>
        <v>5.88</v>
      </c>
      <c r="AY27" s="119"/>
      <c r="AZ27" s="135">
        <f t="shared" si="22"/>
        <v>2040</v>
      </c>
      <c r="BA27" s="128">
        <f t="shared" si="34"/>
        <v>0</v>
      </c>
      <c r="BB27" s="135">
        <v>12</v>
      </c>
      <c r="BC27" s="130">
        <f t="shared" si="10"/>
        <v>0</v>
      </c>
      <c r="BE27" s="135">
        <f t="shared" si="23"/>
        <v>2040</v>
      </c>
      <c r="BF27" s="128">
        <f t="shared" si="35"/>
        <v>0</v>
      </c>
      <c r="BG27" s="135">
        <v>12</v>
      </c>
      <c r="BH27" s="130">
        <f t="shared" si="11"/>
        <v>0</v>
      </c>
    </row>
    <row r="28" spans="2:60">
      <c r="B28" s="135">
        <f t="shared" si="12"/>
        <v>2041</v>
      </c>
      <c r="C28" s="128">
        <f t="shared" si="24"/>
        <v>70.44</v>
      </c>
      <c r="D28" s="135">
        <v>12</v>
      </c>
      <c r="E28" s="130">
        <f t="shared" si="0"/>
        <v>70.44</v>
      </c>
      <c r="F28" s="119"/>
      <c r="G28" s="135">
        <f t="shared" si="13"/>
        <v>2041</v>
      </c>
      <c r="H28" s="128">
        <f t="shared" si="25"/>
        <v>15.51</v>
      </c>
      <c r="I28" s="135">
        <v>12</v>
      </c>
      <c r="J28" s="130">
        <f t="shared" si="1"/>
        <v>15.51</v>
      </c>
      <c r="K28" s="119"/>
      <c r="L28" s="135">
        <f t="shared" si="14"/>
        <v>2041</v>
      </c>
      <c r="M28" s="128">
        <f t="shared" si="26"/>
        <v>34.81</v>
      </c>
      <c r="N28" s="135">
        <v>12</v>
      </c>
      <c r="O28" s="130">
        <f t="shared" si="2"/>
        <v>34.81</v>
      </c>
      <c r="Q28" s="135">
        <f t="shared" si="15"/>
        <v>2041</v>
      </c>
      <c r="R28" s="128">
        <f t="shared" si="27"/>
        <v>3.79</v>
      </c>
      <c r="S28" s="135">
        <v>12</v>
      </c>
      <c r="T28" s="130">
        <f t="shared" si="3"/>
        <v>3.7900000000000005</v>
      </c>
      <c r="U28" s="119"/>
      <c r="V28" s="135">
        <f t="shared" si="16"/>
        <v>2041</v>
      </c>
      <c r="W28" s="128">
        <f t="shared" si="28"/>
        <v>0.56000000000000005</v>
      </c>
      <c r="X28" s="135">
        <v>12</v>
      </c>
      <c r="Y28" s="130">
        <f t="shared" si="4"/>
        <v>0.56000000000000005</v>
      </c>
      <c r="Z28" s="119"/>
      <c r="AA28" s="135">
        <f t="shared" si="17"/>
        <v>2041</v>
      </c>
      <c r="AB28" s="128">
        <f t="shared" si="29"/>
        <v>2.2200000000000002</v>
      </c>
      <c r="AC28" s="135">
        <v>12</v>
      </c>
      <c r="AD28" s="130">
        <f t="shared" si="5"/>
        <v>2.2200000000000002</v>
      </c>
      <c r="AE28" s="119"/>
      <c r="AF28" s="135">
        <f t="shared" si="18"/>
        <v>2041</v>
      </c>
      <c r="AG28" s="128">
        <f t="shared" si="30"/>
        <v>27.69</v>
      </c>
      <c r="AH28" s="135">
        <v>12</v>
      </c>
      <c r="AI28" s="130">
        <f t="shared" si="6"/>
        <v>27.69</v>
      </c>
      <c r="AJ28" s="119"/>
      <c r="AK28" s="135">
        <f t="shared" si="19"/>
        <v>2041</v>
      </c>
      <c r="AL28" s="128">
        <f t="shared" si="31"/>
        <v>13.49</v>
      </c>
      <c r="AM28" s="135">
        <v>12</v>
      </c>
      <c r="AN28" s="130">
        <f t="shared" si="7"/>
        <v>13.49</v>
      </c>
      <c r="AO28" s="119"/>
      <c r="AP28" s="135">
        <f t="shared" si="20"/>
        <v>2041</v>
      </c>
      <c r="AQ28" s="128">
        <f t="shared" si="32"/>
        <v>5.21</v>
      </c>
      <c r="AR28" s="135">
        <v>12</v>
      </c>
      <c r="AS28" s="130">
        <f t="shared" si="8"/>
        <v>5.21</v>
      </c>
      <c r="AT28" s="119"/>
      <c r="AU28" s="135">
        <f t="shared" si="21"/>
        <v>2041</v>
      </c>
      <c r="AV28" s="128">
        <f t="shared" si="33"/>
        <v>6.01</v>
      </c>
      <c r="AW28" s="135">
        <v>12</v>
      </c>
      <c r="AX28" s="130">
        <f t="shared" si="9"/>
        <v>6.0100000000000007</v>
      </c>
      <c r="AY28" s="119"/>
      <c r="AZ28" s="135">
        <f t="shared" si="22"/>
        <v>2041</v>
      </c>
      <c r="BA28" s="128">
        <f t="shared" si="34"/>
        <v>0</v>
      </c>
      <c r="BB28" s="135">
        <v>12</v>
      </c>
      <c r="BC28" s="130">
        <f t="shared" si="10"/>
        <v>0</v>
      </c>
      <c r="BE28" s="135">
        <f t="shared" si="23"/>
        <v>2041</v>
      </c>
      <c r="BF28" s="128">
        <f t="shared" si="35"/>
        <v>0</v>
      </c>
      <c r="BG28" s="135">
        <v>12</v>
      </c>
      <c r="BH28" s="130">
        <f t="shared" si="11"/>
        <v>0</v>
      </c>
    </row>
    <row r="29" spans="2:60">
      <c r="B29" s="135">
        <f t="shared" si="12"/>
        <v>2042</v>
      </c>
      <c r="C29" s="128">
        <f t="shared" si="24"/>
        <v>71.989999999999995</v>
      </c>
      <c r="D29" s="135">
        <v>12</v>
      </c>
      <c r="E29" s="130">
        <f t="shared" si="0"/>
        <v>71.989999999999995</v>
      </c>
      <c r="F29" s="119"/>
      <c r="G29" s="135">
        <f t="shared" si="13"/>
        <v>2042</v>
      </c>
      <c r="H29" s="128">
        <f t="shared" si="25"/>
        <v>15.85</v>
      </c>
      <c r="I29" s="135">
        <v>12</v>
      </c>
      <c r="J29" s="130">
        <f t="shared" si="1"/>
        <v>15.85</v>
      </c>
      <c r="K29" s="119"/>
      <c r="L29" s="135">
        <f t="shared" si="14"/>
        <v>2042</v>
      </c>
      <c r="M29" s="128">
        <f t="shared" si="26"/>
        <v>35.58</v>
      </c>
      <c r="N29" s="135">
        <v>12</v>
      </c>
      <c r="O29" s="130">
        <f t="shared" si="2"/>
        <v>35.58</v>
      </c>
      <c r="Q29" s="135">
        <f t="shared" si="15"/>
        <v>2042</v>
      </c>
      <c r="R29" s="128">
        <f t="shared" si="27"/>
        <v>3.87</v>
      </c>
      <c r="S29" s="135">
        <v>12</v>
      </c>
      <c r="T29" s="130">
        <f t="shared" si="3"/>
        <v>3.8699999999999997</v>
      </c>
      <c r="U29" s="119"/>
      <c r="V29" s="135">
        <f t="shared" si="16"/>
        <v>2042</v>
      </c>
      <c r="W29" s="128">
        <f t="shared" si="28"/>
        <v>0.56999999999999995</v>
      </c>
      <c r="X29" s="135">
        <v>12</v>
      </c>
      <c r="Y29" s="130">
        <f t="shared" si="4"/>
        <v>0.56999999999999995</v>
      </c>
      <c r="Z29" s="119"/>
      <c r="AA29" s="135">
        <f t="shared" si="17"/>
        <v>2042</v>
      </c>
      <c r="AB29" s="128">
        <f t="shared" si="29"/>
        <v>2.27</v>
      </c>
      <c r="AC29" s="135">
        <v>12</v>
      </c>
      <c r="AD29" s="130">
        <f t="shared" si="5"/>
        <v>2.27</v>
      </c>
      <c r="AE29" s="119"/>
      <c r="AF29" s="135">
        <f t="shared" si="18"/>
        <v>2042</v>
      </c>
      <c r="AG29" s="128">
        <f t="shared" si="30"/>
        <v>28.3</v>
      </c>
      <c r="AH29" s="135">
        <v>12</v>
      </c>
      <c r="AI29" s="130">
        <f t="shared" si="6"/>
        <v>28.3</v>
      </c>
      <c r="AJ29" s="119"/>
      <c r="AK29" s="135">
        <f t="shared" si="19"/>
        <v>2042</v>
      </c>
      <c r="AL29" s="128">
        <f t="shared" si="31"/>
        <v>13.79</v>
      </c>
      <c r="AM29" s="135">
        <v>12</v>
      </c>
      <c r="AN29" s="130">
        <f t="shared" si="7"/>
        <v>13.79</v>
      </c>
      <c r="AO29" s="119"/>
      <c r="AP29" s="135">
        <f t="shared" si="20"/>
        <v>2042</v>
      </c>
      <c r="AQ29" s="128">
        <f t="shared" si="32"/>
        <v>5.32</v>
      </c>
      <c r="AR29" s="135">
        <v>12</v>
      </c>
      <c r="AS29" s="130">
        <f t="shared" si="8"/>
        <v>5.32</v>
      </c>
      <c r="AT29" s="119"/>
      <c r="AU29" s="135">
        <f t="shared" si="21"/>
        <v>2042</v>
      </c>
      <c r="AV29" s="128">
        <f t="shared" si="33"/>
        <v>6.14</v>
      </c>
      <c r="AW29" s="135">
        <v>12</v>
      </c>
      <c r="AX29" s="130">
        <f t="shared" si="9"/>
        <v>6.14</v>
      </c>
      <c r="AY29" s="119"/>
      <c r="AZ29" s="135">
        <f t="shared" si="22"/>
        <v>2042</v>
      </c>
      <c r="BA29" s="128">
        <f t="shared" si="34"/>
        <v>0</v>
      </c>
      <c r="BB29" s="135">
        <v>12</v>
      </c>
      <c r="BC29" s="130">
        <f t="shared" si="10"/>
        <v>0</v>
      </c>
      <c r="BE29" s="135">
        <f t="shared" si="23"/>
        <v>2042</v>
      </c>
      <c r="BF29" s="128">
        <f t="shared" si="35"/>
        <v>0</v>
      </c>
      <c r="BG29" s="135">
        <v>12</v>
      </c>
      <c r="BH29" s="130">
        <f t="shared" si="11"/>
        <v>0</v>
      </c>
    </row>
    <row r="30" spans="2:60">
      <c r="B30" s="135">
        <f t="shared" si="12"/>
        <v>2043</v>
      </c>
      <c r="C30" s="128">
        <f t="shared" si="24"/>
        <v>73.650000000000006</v>
      </c>
      <c r="D30" s="135">
        <v>12</v>
      </c>
      <c r="E30" s="130">
        <f t="shared" si="0"/>
        <v>73.650000000000006</v>
      </c>
      <c r="F30" s="119"/>
      <c r="G30" s="135">
        <f t="shared" si="13"/>
        <v>2043</v>
      </c>
      <c r="H30" s="128">
        <f t="shared" si="25"/>
        <v>16.21</v>
      </c>
      <c r="I30" s="135">
        <v>12</v>
      </c>
      <c r="J30" s="130">
        <f t="shared" si="1"/>
        <v>16.21</v>
      </c>
      <c r="K30" s="119"/>
      <c r="L30" s="135">
        <f t="shared" si="14"/>
        <v>2043</v>
      </c>
      <c r="M30" s="128">
        <f t="shared" si="26"/>
        <v>36.4</v>
      </c>
      <c r="N30" s="135">
        <v>12</v>
      </c>
      <c r="O30" s="130">
        <f t="shared" si="2"/>
        <v>36.4</v>
      </c>
      <c r="Q30" s="135">
        <f t="shared" si="15"/>
        <v>2043</v>
      </c>
      <c r="R30" s="128">
        <f t="shared" si="27"/>
        <v>3.96</v>
      </c>
      <c r="S30" s="135">
        <v>12</v>
      </c>
      <c r="T30" s="130">
        <f t="shared" si="3"/>
        <v>3.9599999999999995</v>
      </c>
      <c r="U30" s="119"/>
      <c r="V30" s="135">
        <f t="shared" si="16"/>
        <v>2043</v>
      </c>
      <c r="W30" s="128">
        <f t="shared" si="28"/>
        <v>0.57999999999999996</v>
      </c>
      <c r="X30" s="135">
        <v>12</v>
      </c>
      <c r="Y30" s="130">
        <f t="shared" si="4"/>
        <v>0.57999999999999996</v>
      </c>
      <c r="Z30" s="119"/>
      <c r="AA30" s="135">
        <f t="shared" si="17"/>
        <v>2043</v>
      </c>
      <c r="AB30" s="128">
        <f t="shared" si="29"/>
        <v>2.3199999999999998</v>
      </c>
      <c r="AC30" s="135">
        <v>12</v>
      </c>
      <c r="AD30" s="130">
        <f t="shared" si="5"/>
        <v>2.3199999999999998</v>
      </c>
      <c r="AE30" s="119"/>
      <c r="AF30" s="135">
        <f t="shared" si="18"/>
        <v>2043</v>
      </c>
      <c r="AG30" s="128">
        <f t="shared" si="30"/>
        <v>28.95</v>
      </c>
      <c r="AH30" s="135">
        <v>12</v>
      </c>
      <c r="AI30" s="130">
        <f t="shared" si="6"/>
        <v>28.95</v>
      </c>
      <c r="AJ30" s="119"/>
      <c r="AK30" s="135">
        <f t="shared" si="19"/>
        <v>2043</v>
      </c>
      <c r="AL30" s="128">
        <f t="shared" si="31"/>
        <v>14.11</v>
      </c>
      <c r="AM30" s="135">
        <v>12</v>
      </c>
      <c r="AN30" s="130">
        <f t="shared" si="7"/>
        <v>14.11</v>
      </c>
      <c r="AO30" s="119"/>
      <c r="AP30" s="135">
        <f t="shared" si="20"/>
        <v>2043</v>
      </c>
      <c r="AQ30" s="128">
        <f t="shared" si="32"/>
        <v>5.44</v>
      </c>
      <c r="AR30" s="135">
        <v>12</v>
      </c>
      <c r="AS30" s="130">
        <f t="shared" si="8"/>
        <v>5.44</v>
      </c>
      <c r="AT30" s="119"/>
      <c r="AU30" s="135">
        <f t="shared" si="21"/>
        <v>2043</v>
      </c>
      <c r="AV30" s="128">
        <f t="shared" si="33"/>
        <v>6.28</v>
      </c>
      <c r="AW30" s="135">
        <v>12</v>
      </c>
      <c r="AX30" s="130">
        <f t="shared" si="9"/>
        <v>6.28</v>
      </c>
      <c r="AY30" s="119"/>
      <c r="AZ30" s="135">
        <f t="shared" si="22"/>
        <v>2043</v>
      </c>
      <c r="BA30" s="128">
        <f t="shared" si="34"/>
        <v>0</v>
      </c>
      <c r="BB30" s="135">
        <v>12</v>
      </c>
      <c r="BC30" s="130">
        <f t="shared" si="10"/>
        <v>0</v>
      </c>
      <c r="BE30" s="135">
        <f t="shared" si="23"/>
        <v>2043</v>
      </c>
      <c r="BF30" s="128">
        <f t="shared" si="35"/>
        <v>0</v>
      </c>
      <c r="BG30" s="135">
        <v>12</v>
      </c>
      <c r="BH30" s="130">
        <f t="shared" si="11"/>
        <v>0</v>
      </c>
    </row>
    <row r="31" spans="2:60">
      <c r="B31" s="135">
        <f t="shared" si="12"/>
        <v>2044</v>
      </c>
      <c r="C31" s="128">
        <f t="shared" si="24"/>
        <v>75.27</v>
      </c>
      <c r="D31" s="135">
        <v>12</v>
      </c>
      <c r="E31" s="130">
        <f t="shared" si="0"/>
        <v>75.27</v>
      </c>
      <c r="F31" s="119"/>
      <c r="G31" s="135">
        <f t="shared" si="13"/>
        <v>2044</v>
      </c>
      <c r="H31" s="128">
        <f t="shared" si="25"/>
        <v>16.57</v>
      </c>
      <c r="I31" s="135">
        <v>12</v>
      </c>
      <c r="J31" s="130">
        <f t="shared" si="1"/>
        <v>16.57</v>
      </c>
      <c r="K31" s="119"/>
      <c r="L31" s="135">
        <f t="shared" si="14"/>
        <v>2044</v>
      </c>
      <c r="M31" s="128">
        <f t="shared" si="26"/>
        <v>37.200000000000003</v>
      </c>
      <c r="N31" s="135">
        <v>12</v>
      </c>
      <c r="O31" s="130">
        <f t="shared" si="2"/>
        <v>37.200000000000003</v>
      </c>
      <c r="Q31" s="135">
        <f t="shared" si="15"/>
        <v>2044</v>
      </c>
      <c r="R31" s="128">
        <f t="shared" si="27"/>
        <v>4.05</v>
      </c>
      <c r="S31" s="135">
        <v>12</v>
      </c>
      <c r="T31" s="130">
        <f t="shared" si="3"/>
        <v>4.05</v>
      </c>
      <c r="U31" s="119"/>
      <c r="V31" s="135">
        <f t="shared" si="16"/>
        <v>2044</v>
      </c>
      <c r="W31" s="128">
        <f t="shared" si="28"/>
        <v>0.59</v>
      </c>
      <c r="X31" s="135">
        <v>12</v>
      </c>
      <c r="Y31" s="130">
        <f t="shared" si="4"/>
        <v>0.59</v>
      </c>
      <c r="Z31" s="119"/>
      <c r="AA31" s="135">
        <f t="shared" si="17"/>
        <v>2044</v>
      </c>
      <c r="AB31" s="128">
        <f t="shared" si="29"/>
        <v>2.37</v>
      </c>
      <c r="AC31" s="135">
        <v>12</v>
      </c>
      <c r="AD31" s="130">
        <f t="shared" si="5"/>
        <v>2.37</v>
      </c>
      <c r="AE31" s="119"/>
      <c r="AF31" s="135">
        <f t="shared" si="18"/>
        <v>2044</v>
      </c>
      <c r="AG31" s="128">
        <f t="shared" si="30"/>
        <v>29.59</v>
      </c>
      <c r="AH31" s="135">
        <v>12</v>
      </c>
      <c r="AI31" s="130">
        <f t="shared" si="6"/>
        <v>29.59</v>
      </c>
      <c r="AJ31" s="119"/>
      <c r="AK31" s="135">
        <f t="shared" si="19"/>
        <v>2044</v>
      </c>
      <c r="AL31" s="128">
        <f t="shared" si="31"/>
        <v>14.42</v>
      </c>
      <c r="AM31" s="135">
        <v>12</v>
      </c>
      <c r="AN31" s="130">
        <f t="shared" si="7"/>
        <v>14.42</v>
      </c>
      <c r="AO31" s="119"/>
      <c r="AP31" s="135">
        <f t="shared" si="20"/>
        <v>2044</v>
      </c>
      <c r="AQ31" s="128">
        <f t="shared" si="32"/>
        <v>5.56</v>
      </c>
      <c r="AR31" s="135">
        <v>12</v>
      </c>
      <c r="AS31" s="130">
        <f t="shared" si="8"/>
        <v>5.56</v>
      </c>
      <c r="AT31" s="119"/>
      <c r="AU31" s="135">
        <f t="shared" si="21"/>
        <v>2044</v>
      </c>
      <c r="AV31" s="128">
        <f t="shared" si="33"/>
        <v>6.42</v>
      </c>
      <c r="AW31" s="135">
        <v>12</v>
      </c>
      <c r="AX31" s="130">
        <f t="shared" si="9"/>
        <v>6.419999999999999</v>
      </c>
      <c r="AY31" s="119"/>
      <c r="AZ31" s="135">
        <f t="shared" si="22"/>
        <v>2044</v>
      </c>
      <c r="BA31" s="128">
        <f t="shared" si="34"/>
        <v>0</v>
      </c>
      <c r="BB31" s="135">
        <v>12</v>
      </c>
      <c r="BC31" s="130">
        <f t="shared" si="10"/>
        <v>0</v>
      </c>
      <c r="BE31" s="135">
        <f t="shared" si="23"/>
        <v>2044</v>
      </c>
      <c r="BF31" s="128">
        <f t="shared" si="35"/>
        <v>0</v>
      </c>
      <c r="BG31" s="135">
        <v>12</v>
      </c>
      <c r="BH31" s="130">
        <f t="shared" si="11"/>
        <v>0</v>
      </c>
    </row>
    <row r="32" spans="2:60">
      <c r="B32" s="135">
        <f t="shared" si="12"/>
        <v>2045</v>
      </c>
      <c r="C32" s="128">
        <f t="shared" si="24"/>
        <v>77</v>
      </c>
      <c r="D32" s="135">
        <v>12</v>
      </c>
      <c r="E32" s="130">
        <f t="shared" si="0"/>
        <v>77</v>
      </c>
      <c r="F32" s="119"/>
      <c r="G32" s="135">
        <f t="shared" si="13"/>
        <v>2045</v>
      </c>
      <c r="H32" s="128">
        <f t="shared" si="25"/>
        <v>16.95</v>
      </c>
      <c r="I32" s="135">
        <v>12</v>
      </c>
      <c r="J32" s="130">
        <f t="shared" si="1"/>
        <v>16.95</v>
      </c>
      <c r="K32" s="119"/>
      <c r="L32" s="135">
        <f t="shared" si="14"/>
        <v>2045</v>
      </c>
      <c r="M32" s="128">
        <f t="shared" si="26"/>
        <v>38.06</v>
      </c>
      <c r="N32" s="135">
        <v>12</v>
      </c>
      <c r="O32" s="130">
        <f t="shared" si="2"/>
        <v>38.06</v>
      </c>
      <c r="Q32" s="135">
        <f t="shared" si="15"/>
        <v>2045</v>
      </c>
      <c r="R32" s="128">
        <f t="shared" si="27"/>
        <v>4.1399999999999997</v>
      </c>
      <c r="S32" s="135">
        <v>12</v>
      </c>
      <c r="T32" s="130">
        <f t="shared" si="3"/>
        <v>4.1399999999999997</v>
      </c>
      <c r="U32" s="119"/>
      <c r="V32" s="135">
        <f t="shared" si="16"/>
        <v>2045</v>
      </c>
      <c r="W32" s="128">
        <f t="shared" si="28"/>
        <v>0.6</v>
      </c>
      <c r="X32" s="135">
        <v>12</v>
      </c>
      <c r="Y32" s="130">
        <f t="shared" si="4"/>
        <v>0.6</v>
      </c>
      <c r="Z32" s="119"/>
      <c r="AA32" s="135">
        <f t="shared" si="17"/>
        <v>2045</v>
      </c>
      <c r="AB32" s="128">
        <f t="shared" si="29"/>
        <v>2.42</v>
      </c>
      <c r="AC32" s="135">
        <v>12</v>
      </c>
      <c r="AD32" s="130">
        <f t="shared" si="5"/>
        <v>2.42</v>
      </c>
      <c r="AE32" s="119"/>
      <c r="AF32" s="135">
        <f t="shared" si="18"/>
        <v>2045</v>
      </c>
      <c r="AG32" s="128">
        <f t="shared" si="30"/>
        <v>30.27</v>
      </c>
      <c r="AH32" s="135">
        <v>12</v>
      </c>
      <c r="AI32" s="130">
        <f t="shared" si="6"/>
        <v>30.27</v>
      </c>
      <c r="AJ32" s="119"/>
      <c r="AK32" s="135">
        <f t="shared" si="19"/>
        <v>2045</v>
      </c>
      <c r="AL32" s="128">
        <f t="shared" si="31"/>
        <v>14.75</v>
      </c>
      <c r="AM32" s="135">
        <v>12</v>
      </c>
      <c r="AN32" s="130">
        <f t="shared" si="7"/>
        <v>14.75</v>
      </c>
      <c r="AO32" s="119"/>
      <c r="AP32" s="135">
        <f t="shared" si="20"/>
        <v>2045</v>
      </c>
      <c r="AQ32" s="128">
        <f t="shared" si="32"/>
        <v>5.69</v>
      </c>
      <c r="AR32" s="135">
        <v>12</v>
      </c>
      <c r="AS32" s="130">
        <f t="shared" si="8"/>
        <v>5.69</v>
      </c>
      <c r="AT32" s="119"/>
      <c r="AU32" s="135">
        <f t="shared" si="21"/>
        <v>2045</v>
      </c>
      <c r="AV32" s="128">
        <f t="shared" si="33"/>
        <v>6.57</v>
      </c>
      <c r="AW32" s="135">
        <v>12</v>
      </c>
      <c r="AX32" s="130">
        <f t="shared" si="9"/>
        <v>6.57</v>
      </c>
      <c r="AY32" s="119"/>
      <c r="AZ32" s="135">
        <f t="shared" si="22"/>
        <v>2045</v>
      </c>
      <c r="BA32" s="128">
        <f t="shared" si="34"/>
        <v>0</v>
      </c>
      <c r="BB32" s="135">
        <v>12</v>
      </c>
      <c r="BC32" s="130">
        <f t="shared" si="10"/>
        <v>0</v>
      </c>
      <c r="BE32" s="135">
        <f t="shared" si="23"/>
        <v>2045</v>
      </c>
      <c r="BF32" s="128">
        <f t="shared" si="35"/>
        <v>0</v>
      </c>
      <c r="BG32" s="135">
        <v>12</v>
      </c>
      <c r="BH32" s="130">
        <f t="shared" si="11"/>
        <v>0</v>
      </c>
    </row>
    <row r="33" spans="2:60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</row>
    <row r="34" spans="2:60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</row>
    <row r="35" spans="2:60" s="119" customFormat="1" ht="12" customHeight="1">
      <c r="C35" s="128" t="s">
        <v>102</v>
      </c>
      <c r="D35" s="361">
        <v>2024</v>
      </c>
      <c r="H35" s="128" t="s">
        <v>102</v>
      </c>
      <c r="I35" s="361">
        <v>2030</v>
      </c>
      <c r="M35" s="128" t="s">
        <v>102</v>
      </c>
      <c r="N35" s="361">
        <v>2036</v>
      </c>
      <c r="R35" s="128" t="s">
        <v>102</v>
      </c>
      <c r="S35" s="361">
        <v>2024</v>
      </c>
      <c r="W35" s="128" t="s">
        <v>102</v>
      </c>
      <c r="X35" s="361">
        <v>2024</v>
      </c>
      <c r="AB35" s="128" t="s">
        <v>102</v>
      </c>
      <c r="AC35" s="361">
        <v>2023</v>
      </c>
      <c r="AG35" s="128" t="s">
        <v>102</v>
      </c>
      <c r="AH35" s="363">
        <v>2030</v>
      </c>
      <c r="AL35" s="128" t="s">
        <v>102</v>
      </c>
      <c r="AM35" s="361">
        <v>2033</v>
      </c>
      <c r="AQ35" s="128" t="s">
        <v>102</v>
      </c>
      <c r="AR35" s="361">
        <v>2037</v>
      </c>
      <c r="AV35" s="128" t="s">
        <v>102</v>
      </c>
      <c r="AW35" s="361">
        <v>2037</v>
      </c>
      <c r="BA35" s="128" t="s">
        <v>102</v>
      </c>
      <c r="BB35" s="363">
        <v>2029</v>
      </c>
      <c r="BF35" s="128" t="s">
        <v>102</v>
      </c>
      <c r="BG35" s="363">
        <v>2024</v>
      </c>
    </row>
    <row r="36" spans="2:60">
      <c r="C36" s="185" t="s">
        <v>83</v>
      </c>
      <c r="D36" s="361">
        <v>1920</v>
      </c>
      <c r="H36" s="185" t="s">
        <v>83</v>
      </c>
      <c r="I36" s="361">
        <v>1100</v>
      </c>
      <c r="M36" s="185" t="s">
        <v>83</v>
      </c>
      <c r="N36" s="361">
        <v>430</v>
      </c>
      <c r="R36" s="185" t="s">
        <v>83</v>
      </c>
      <c r="S36" s="361">
        <v>600</v>
      </c>
      <c r="W36" s="185" t="s">
        <v>83</v>
      </c>
      <c r="X36" s="361">
        <v>405</v>
      </c>
      <c r="AB36" s="185" t="s">
        <v>83</v>
      </c>
      <c r="AC36" s="361">
        <v>300</v>
      </c>
      <c r="AG36" s="185" t="s">
        <v>83</v>
      </c>
      <c r="AH36" s="363">
        <v>500</v>
      </c>
      <c r="AL36" s="185" t="s">
        <v>83</v>
      </c>
      <c r="AM36" s="361">
        <v>475</v>
      </c>
      <c r="AQ36" s="185" t="s">
        <v>83</v>
      </c>
      <c r="AR36" s="361">
        <v>442.8</v>
      </c>
      <c r="AV36" s="185" t="s">
        <v>83</v>
      </c>
      <c r="AW36" s="361">
        <v>369.8</v>
      </c>
      <c r="BA36" s="185" t="s">
        <v>83</v>
      </c>
      <c r="BB36" s="363">
        <v>359.4</v>
      </c>
      <c r="BF36" s="185" t="s">
        <v>83</v>
      </c>
      <c r="BG36" s="363">
        <v>354</v>
      </c>
    </row>
    <row r="37" spans="2:60">
      <c r="B37" s="129"/>
      <c r="C37" s="128" t="s">
        <v>176</v>
      </c>
      <c r="D37" s="128">
        <v>1542.049</v>
      </c>
      <c r="G37" s="129"/>
      <c r="H37" s="128" t="s">
        <v>176</v>
      </c>
      <c r="I37" s="128">
        <v>223.26</v>
      </c>
      <c r="L37" s="129"/>
      <c r="M37" s="128" t="s">
        <v>176</v>
      </c>
      <c r="N37" s="128">
        <v>224.316</v>
      </c>
      <c r="Q37" s="129"/>
      <c r="R37" s="128" t="s">
        <v>176</v>
      </c>
      <c r="S37" s="128">
        <v>25.99</v>
      </c>
      <c r="V37" s="129"/>
      <c r="W37" s="128" t="s">
        <v>176</v>
      </c>
      <c r="X37" s="128">
        <v>2.6589999999999998</v>
      </c>
      <c r="AA37" s="129"/>
      <c r="AB37" s="128" t="s">
        <v>176</v>
      </c>
      <c r="AC37" s="128">
        <v>7.3890000000000002</v>
      </c>
      <c r="AF37" s="129"/>
      <c r="AG37" s="128" t="s">
        <v>176</v>
      </c>
      <c r="AH37" s="364">
        <v>181.00800000000001</v>
      </c>
      <c r="AK37" s="129"/>
      <c r="AL37" s="128" t="s">
        <v>176</v>
      </c>
      <c r="AM37" s="128">
        <v>89.744</v>
      </c>
      <c r="AP37" s="129"/>
      <c r="AQ37" s="128" t="s">
        <v>176</v>
      </c>
      <c r="AR37" s="128">
        <v>35.457999999999998</v>
      </c>
      <c r="AU37" s="129"/>
      <c r="AV37" s="128" t="s">
        <v>176</v>
      </c>
      <c r="AW37" s="128">
        <v>34.106999999999999</v>
      </c>
      <c r="AZ37" s="129"/>
      <c r="BA37" s="128" t="s">
        <v>176</v>
      </c>
      <c r="BB37" s="364">
        <v>0</v>
      </c>
      <c r="BE37" s="129"/>
      <c r="BF37" s="128" t="s">
        <v>176</v>
      </c>
      <c r="BG37" s="364">
        <v>0</v>
      </c>
    </row>
    <row r="38" spans="2:60">
      <c r="B38" s="129"/>
      <c r="C38" s="128" t="s">
        <v>177</v>
      </c>
      <c r="D38" s="359">
        <v>5.9603158827233105E-2</v>
      </c>
      <c r="G38" s="129"/>
      <c r="H38" s="128" t="s">
        <v>177</v>
      </c>
      <c r="I38" s="359">
        <v>5.9603158827233105E-2</v>
      </c>
      <c r="L38" s="129"/>
      <c r="M38" s="128" t="s">
        <v>177</v>
      </c>
      <c r="N38" s="359">
        <v>5.9603158827233105E-2</v>
      </c>
      <c r="Q38" s="129"/>
      <c r="R38" s="128" t="s">
        <v>177</v>
      </c>
      <c r="S38" s="359">
        <v>5.9603158827233105E-2</v>
      </c>
      <c r="V38" s="129"/>
      <c r="W38" s="128" t="s">
        <v>177</v>
      </c>
      <c r="X38" s="359">
        <v>5.9603158827233105E-2</v>
      </c>
      <c r="AA38" s="129"/>
      <c r="AB38" s="128" t="s">
        <v>177</v>
      </c>
      <c r="AC38" s="359">
        <v>5.9603158827233105E-2</v>
      </c>
      <c r="AF38" s="129"/>
      <c r="AG38" s="128" t="s">
        <v>177</v>
      </c>
      <c r="AH38" s="359">
        <v>5.9603158827233105E-2</v>
      </c>
      <c r="AK38" s="129"/>
      <c r="AL38" s="128" t="s">
        <v>177</v>
      </c>
      <c r="AM38" s="359">
        <v>5.9603158827233105E-2</v>
      </c>
      <c r="AP38" s="129"/>
      <c r="AQ38" s="128" t="s">
        <v>177</v>
      </c>
      <c r="AR38" s="359">
        <v>5.9603158827233105E-2</v>
      </c>
      <c r="AU38" s="129"/>
      <c r="AV38" s="128" t="s">
        <v>177</v>
      </c>
      <c r="AW38" s="359">
        <v>5.9603158827233105E-2</v>
      </c>
      <c r="AZ38" s="129"/>
      <c r="BA38" s="128" t="s">
        <v>177</v>
      </c>
      <c r="BB38" s="359">
        <v>5.9603158827233105E-2</v>
      </c>
      <c r="BE38" s="129"/>
      <c r="BF38" s="128" t="s">
        <v>177</v>
      </c>
      <c r="BG38" s="359">
        <v>5.9603158827233105E-2</v>
      </c>
    </row>
    <row r="39" spans="2:60" ht="41.25" customHeight="1">
      <c r="B39" s="408" t="s">
        <v>175</v>
      </c>
      <c r="C39" s="408"/>
      <c r="D39" s="360">
        <f>D37*1000000*D38/(D36*1000)</f>
        <v>47.870308055404152</v>
      </c>
      <c r="G39" s="408" t="s">
        <v>189</v>
      </c>
      <c r="H39" s="408"/>
      <c r="I39" s="360">
        <f>I37*1000000*I38/(I36*1000)</f>
        <v>12.097273854334603</v>
      </c>
      <c r="L39" s="408" t="s">
        <v>191</v>
      </c>
      <c r="M39" s="408"/>
      <c r="N39" s="360">
        <f>N37*1000000*N38/(N36*1000)</f>
        <v>31.092888780208423</v>
      </c>
      <c r="Q39" s="408" t="s">
        <v>175</v>
      </c>
      <c r="R39" s="408"/>
      <c r="S39" s="360">
        <f>S37*1000000*S38/(S36*1000)</f>
        <v>2.5818101631996475</v>
      </c>
      <c r="V39" s="408" t="s">
        <v>175</v>
      </c>
      <c r="W39" s="408"/>
      <c r="X39" s="360">
        <f>X37*1000000*X38/(X36*1000)</f>
        <v>0.39132049215213044</v>
      </c>
      <c r="AA39" s="408" t="s">
        <v>180</v>
      </c>
      <c r="AB39" s="408"/>
      <c r="AC39" s="360">
        <f>AC37*1000000*AC38/(AC36*1000)</f>
        <v>1.4680258019147514</v>
      </c>
      <c r="AF39" s="408" t="s">
        <v>189</v>
      </c>
      <c r="AG39" s="408"/>
      <c r="AH39" s="360">
        <f>AH37*1000000*AH38/(AH36*1000)</f>
        <v>21.577297145999619</v>
      </c>
      <c r="AK39" s="408" t="s">
        <v>188</v>
      </c>
      <c r="AL39" s="408"/>
      <c r="AM39" s="360">
        <f>AM37*1000000*AM38/(AM36*1000)</f>
        <v>11.261107127981489</v>
      </c>
      <c r="AP39" s="408" t="s">
        <v>193</v>
      </c>
      <c r="AQ39" s="408"/>
      <c r="AR39" s="360">
        <f>AR37*1000000*AR38/(AR36*1000)</f>
        <v>4.7728292811563495</v>
      </c>
      <c r="AU39" s="408" t="s">
        <v>193</v>
      </c>
      <c r="AV39" s="408"/>
      <c r="AW39" s="360">
        <f>AW37*1000000*AW38/(AW36*1000)</f>
        <v>5.4972551057881001</v>
      </c>
      <c r="AZ39" s="408" t="s">
        <v>187</v>
      </c>
      <c r="BA39" s="408"/>
      <c r="BB39" s="360">
        <f>BB37*1000000*BB38/(BB36*1000)</f>
        <v>0</v>
      </c>
      <c r="BE39" s="408" t="s">
        <v>175</v>
      </c>
      <c r="BF39" s="408"/>
      <c r="BG39" s="360">
        <f>BG37*1000000*BG38/(BG36*1000)</f>
        <v>0</v>
      </c>
    </row>
    <row r="40" spans="2:60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0">
      <c r="E41" s="128"/>
      <c r="I41" s="130"/>
      <c r="J41" s="130"/>
      <c r="K41" s="137"/>
    </row>
    <row r="42" spans="2:60" ht="13.5" thickBot="1">
      <c r="D42" s="154"/>
    </row>
    <row r="43" spans="2:60" ht="13.5" thickBot="1">
      <c r="C43" s="40" t="str">
        <f>"Company Official Inflation Forecast Dated "&amp;TEXT('Table 4'!$H$5,"mmmm dd, yyyy")</f>
        <v>Company Official Inflation Forecast Dated June 30, 2021</v>
      </c>
      <c r="D43" s="142"/>
      <c r="E43" s="142"/>
      <c r="F43" s="142"/>
      <c r="G43" s="142"/>
      <c r="H43" s="142"/>
      <c r="I43" s="142"/>
      <c r="J43" s="142"/>
      <c r="K43" s="144"/>
    </row>
    <row r="44" spans="2:60">
      <c r="C44" s="87">
        <v>2019</v>
      </c>
      <c r="D44" s="41">
        <v>1.7999999999999999E-2</v>
      </c>
      <c r="E44" s="85"/>
      <c r="F44" s="87">
        <f>C52+1</f>
        <v>2028</v>
      </c>
      <c r="G44" s="41">
        <v>2.3E-2</v>
      </c>
      <c r="H44" s="85"/>
      <c r="I44" s="87">
        <f>F52+1</f>
        <v>2037</v>
      </c>
      <c r="J44" s="41">
        <v>2.3E-2</v>
      </c>
    </row>
    <row r="45" spans="2:60">
      <c r="C45" s="87">
        <f t="shared" ref="C45:C52" si="36">C44+1</f>
        <v>2020</v>
      </c>
      <c r="D45" s="41">
        <v>1.2E-2</v>
      </c>
      <c r="E45" s="85"/>
      <c r="F45" s="87">
        <f t="shared" ref="F45:F52" si="37">F44+1</f>
        <v>2029</v>
      </c>
      <c r="G45" s="41">
        <v>2.4E-2</v>
      </c>
      <c r="H45" s="85"/>
      <c r="I45" s="87">
        <f t="shared" ref="I45:I52" si="38">I44+1</f>
        <v>2038</v>
      </c>
      <c r="J45" s="41">
        <v>2.3E-2</v>
      </c>
    </row>
    <row r="46" spans="2:60">
      <c r="C46" s="87">
        <f t="shared" si="36"/>
        <v>2021</v>
      </c>
      <c r="D46" s="41">
        <v>3.2000000000000001E-2</v>
      </c>
      <c r="E46" s="85"/>
      <c r="F46" s="87">
        <f t="shared" si="37"/>
        <v>2030</v>
      </c>
      <c r="G46" s="41">
        <v>2.3E-2</v>
      </c>
      <c r="H46" s="85"/>
      <c r="I46" s="87">
        <f t="shared" si="38"/>
        <v>2039</v>
      </c>
      <c r="J46" s="41">
        <v>2.3E-2</v>
      </c>
    </row>
    <row r="47" spans="2:60">
      <c r="C47" s="87">
        <f t="shared" si="36"/>
        <v>2022</v>
      </c>
      <c r="D47" s="41">
        <v>2.1999999999999999E-2</v>
      </c>
      <c r="E47" s="85"/>
      <c r="F47" s="87">
        <f t="shared" si="37"/>
        <v>2031</v>
      </c>
      <c r="G47" s="41">
        <v>2.3E-2</v>
      </c>
      <c r="H47" s="85"/>
      <c r="I47" s="87">
        <f t="shared" si="38"/>
        <v>2040</v>
      </c>
      <c r="J47" s="41">
        <v>2.3E-2</v>
      </c>
    </row>
    <row r="48" spans="2:60" s="119" customFormat="1">
      <c r="B48" s="117"/>
      <c r="C48" s="87">
        <f t="shared" si="36"/>
        <v>2023</v>
      </c>
      <c r="D48" s="41">
        <v>2.1000000000000001E-2</v>
      </c>
      <c r="E48" s="85"/>
      <c r="F48" s="87">
        <f t="shared" si="37"/>
        <v>2032</v>
      </c>
      <c r="G48" s="41">
        <v>2.3E-2</v>
      </c>
      <c r="H48" s="85"/>
      <c r="I48" s="87">
        <f t="shared" si="38"/>
        <v>2041</v>
      </c>
      <c r="J48" s="41">
        <v>2.1999999999999999E-2</v>
      </c>
      <c r="K48" s="117"/>
      <c r="L48" s="117"/>
      <c r="M48" s="117"/>
      <c r="N48" s="117"/>
      <c r="O48" s="117"/>
      <c r="P48" s="117"/>
      <c r="BG48" s="164"/>
    </row>
    <row r="49" spans="2:59" s="119" customFormat="1">
      <c r="B49" s="117"/>
      <c r="C49" s="87">
        <f t="shared" si="36"/>
        <v>2024</v>
      </c>
      <c r="D49" s="41">
        <v>2.1999999999999999E-2</v>
      </c>
      <c r="E49" s="85"/>
      <c r="F49" s="87">
        <f t="shared" si="37"/>
        <v>2033</v>
      </c>
      <c r="G49" s="41">
        <v>2.3E-2</v>
      </c>
      <c r="H49" s="85"/>
      <c r="I49" s="87">
        <f t="shared" si="38"/>
        <v>2042</v>
      </c>
      <c r="J49" s="41">
        <v>2.1999999999999999E-2</v>
      </c>
      <c r="K49" s="117"/>
      <c r="L49" s="117"/>
      <c r="M49" s="117"/>
      <c r="N49" s="117"/>
      <c r="O49" s="117"/>
      <c r="P49" s="117"/>
      <c r="BG49" s="164"/>
    </row>
    <row r="50" spans="2:59" s="119" customFormat="1">
      <c r="C50" s="87">
        <f t="shared" si="36"/>
        <v>2025</v>
      </c>
      <c r="D50" s="41">
        <v>2.3E-2</v>
      </c>
      <c r="E50" s="86"/>
      <c r="F50" s="87">
        <f t="shared" si="37"/>
        <v>2034</v>
      </c>
      <c r="G50" s="41">
        <v>2.3E-2</v>
      </c>
      <c r="H50" s="86"/>
      <c r="I50" s="87">
        <f t="shared" si="38"/>
        <v>2043</v>
      </c>
      <c r="J50" s="41">
        <v>2.3E-2</v>
      </c>
      <c r="BG50" s="164"/>
    </row>
    <row r="51" spans="2:59" s="119" customFormat="1">
      <c r="C51" s="87">
        <f t="shared" si="36"/>
        <v>2026</v>
      </c>
      <c r="D51" s="41">
        <v>2.3E-2</v>
      </c>
      <c r="E51" s="86"/>
      <c r="F51" s="87">
        <f t="shared" si="37"/>
        <v>2035</v>
      </c>
      <c r="G51" s="41">
        <v>2.3E-2</v>
      </c>
      <c r="H51" s="86"/>
      <c r="I51" s="87">
        <f t="shared" si="38"/>
        <v>2044</v>
      </c>
      <c r="J51" s="41">
        <v>2.1999999999999999E-2</v>
      </c>
      <c r="BG51" s="164"/>
    </row>
    <row r="52" spans="2:59">
      <c r="B52" s="119"/>
      <c r="C52" s="87">
        <f t="shared" si="36"/>
        <v>2027</v>
      </c>
      <c r="D52" s="41">
        <v>2.3E-2</v>
      </c>
      <c r="E52" s="86"/>
      <c r="F52" s="87">
        <f t="shared" si="37"/>
        <v>2036</v>
      </c>
      <c r="G52" s="41">
        <v>2.3E-2</v>
      </c>
      <c r="H52" s="86"/>
      <c r="I52" s="87">
        <f t="shared" si="38"/>
        <v>2045</v>
      </c>
      <c r="J52" s="41">
        <v>2.3E-2</v>
      </c>
      <c r="K52" s="119"/>
      <c r="L52" s="119"/>
      <c r="M52" s="119"/>
      <c r="N52" s="119"/>
      <c r="O52" s="119"/>
      <c r="P52" s="119"/>
    </row>
    <row r="53" spans="2:59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59">
      <c r="C64" s="150"/>
      <c r="D64" s="154"/>
    </row>
    <row r="65" spans="3:4">
      <c r="C65" s="150"/>
      <c r="D65" s="154"/>
    </row>
    <row r="66" spans="3:4">
      <c r="C66" s="150"/>
      <c r="D66" s="154"/>
    </row>
    <row r="67" spans="3:4">
      <c r="C67" s="150"/>
      <c r="D67" s="154"/>
    </row>
    <row r="68" spans="3:4">
      <c r="C68" s="150"/>
      <c r="D68" s="154"/>
    </row>
    <row r="69" spans="3:4">
      <c r="C69" s="150"/>
      <c r="D69" s="154"/>
    </row>
    <row r="70" spans="3:4">
      <c r="C70" s="150"/>
      <c r="D70" s="154"/>
    </row>
    <row r="71" spans="3:4">
      <c r="C71" s="150"/>
      <c r="D71" s="154"/>
    </row>
    <row r="72" spans="3:4">
      <c r="C72" s="150"/>
      <c r="D72" s="154"/>
    </row>
    <row r="73" spans="3:4">
      <c r="C73" s="150"/>
      <c r="D73" s="154"/>
    </row>
  </sheetData>
  <mergeCells count="24"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60" zoomScaleNormal="80" workbookViewId="0">
      <selection activeCell="F59" sqref="F59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23" customFormat="1" ht="15.75" hidden="1">
      <c r="B1" s="1" t="s">
        <v>35</v>
      </c>
      <c r="C1" s="1"/>
      <c r="D1" s="1"/>
      <c r="E1" s="1"/>
      <c r="F1" s="1"/>
      <c r="G1" s="220"/>
      <c r="H1" s="1"/>
      <c r="I1" s="1"/>
      <c r="J1" s="1"/>
      <c r="K1" s="1"/>
      <c r="L1" s="221"/>
      <c r="M1" s="222"/>
      <c r="N1" s="222"/>
      <c r="O1" s="222"/>
      <c r="P1" s="222"/>
    </row>
    <row r="2" spans="2:16" s="223" customFormat="1" ht="5.25" customHeight="1">
      <c r="B2" s="1"/>
      <c r="C2" s="1"/>
      <c r="D2" s="1"/>
      <c r="E2" s="1"/>
      <c r="F2" s="1"/>
      <c r="G2" s="220"/>
      <c r="H2" s="1"/>
      <c r="I2" s="1"/>
      <c r="J2" s="1"/>
      <c r="K2" s="1"/>
      <c r="L2" s="221"/>
      <c r="M2" s="222"/>
      <c r="N2" s="222"/>
      <c r="O2" s="222"/>
      <c r="P2" s="222"/>
    </row>
    <row r="3" spans="2:16" s="223" customFormat="1" ht="15.75">
      <c r="B3" s="1" t="s">
        <v>93</v>
      </c>
      <c r="C3" s="1"/>
      <c r="D3" s="1"/>
      <c r="E3" s="1"/>
      <c r="F3" s="1"/>
      <c r="G3" s="220"/>
      <c r="H3" s="1"/>
      <c r="I3" s="1"/>
      <c r="J3" s="1"/>
      <c r="K3" s="1"/>
      <c r="L3" s="221"/>
      <c r="M3" s="222"/>
      <c r="N3" s="222"/>
      <c r="O3" s="222"/>
      <c r="P3" s="222"/>
    </row>
    <row r="4" spans="2:16" s="225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24"/>
      <c r="N4" s="224"/>
      <c r="O4" s="224"/>
      <c r="P4" s="224"/>
    </row>
    <row r="5" spans="2:16" s="225" customFormat="1" ht="15">
      <c r="B5" s="4" t="str">
        <f ca="1">'Table 1'!B5</f>
        <v>Tesoro Non Firm - 25.0 MW and 85.0%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5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4"/>
      <c r="N6" s="224"/>
      <c r="O6" s="224"/>
      <c r="P6" s="224"/>
    </row>
    <row r="7" spans="2:16">
      <c r="D7" s="226"/>
      <c r="E7" s="226"/>
      <c r="F7" s="226"/>
      <c r="G7" s="227"/>
      <c r="H7" s="227"/>
      <c r="I7" s="227"/>
      <c r="J7" s="227"/>
      <c r="K7" s="227"/>
      <c r="L7" s="227"/>
      <c r="M7" s="228"/>
    </row>
    <row r="8" spans="2:16">
      <c r="B8" s="229"/>
      <c r="C8" s="229"/>
      <c r="D8" s="230" t="s">
        <v>95</v>
      </c>
      <c r="E8" s="231"/>
      <c r="F8" s="231"/>
      <c r="G8" s="230"/>
      <c r="H8" s="230"/>
      <c r="I8" s="232" t="s">
        <v>96</v>
      </c>
      <c r="J8" s="233"/>
      <c r="K8" s="233"/>
      <c r="L8" s="234"/>
      <c r="M8" s="235" t="s">
        <v>95</v>
      </c>
      <c r="N8" s="236"/>
      <c r="O8" s="237"/>
    </row>
    <row r="9" spans="2:16">
      <c r="B9" s="238" t="s">
        <v>0</v>
      </c>
      <c r="C9" s="238" t="s">
        <v>238</v>
      </c>
      <c r="D9" s="239" t="s">
        <v>239</v>
      </c>
      <c r="E9" s="240" t="s">
        <v>240</v>
      </c>
      <c r="F9" s="240" t="s">
        <v>241</v>
      </c>
      <c r="G9" s="240" t="s">
        <v>242</v>
      </c>
      <c r="H9" s="241" t="s">
        <v>243</v>
      </c>
      <c r="I9" s="171" t="s">
        <v>244</v>
      </c>
      <c r="J9" s="171" t="s">
        <v>245</v>
      </c>
      <c r="K9" s="171" t="s">
        <v>246</v>
      </c>
      <c r="L9" s="171" t="s">
        <v>247</v>
      </c>
      <c r="M9" s="239" t="s">
        <v>248</v>
      </c>
      <c r="N9" s="240" t="s">
        <v>249</v>
      </c>
      <c r="O9" s="241" t="s">
        <v>250</v>
      </c>
    </row>
    <row r="10" spans="2:16" ht="12.75" customHeight="1">
      <c r="B10" s="219"/>
      <c r="C10" s="219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5"/>
    </row>
    <row r="11" spans="2:16" ht="12.75" customHeight="1">
      <c r="B11" s="243" t="s">
        <v>97</v>
      </c>
      <c r="C11" s="243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5"/>
    </row>
    <row r="12" spans="2:16" ht="12.75" hidden="1" customHeight="1">
      <c r="B12" s="244"/>
      <c r="C12" s="245"/>
      <c r="D12" s="8"/>
      <c r="E12" s="8"/>
      <c r="F12" s="8"/>
      <c r="G12" s="8"/>
      <c r="H12" s="13"/>
      <c r="I12" s="246"/>
      <c r="J12" s="247"/>
      <c r="K12" s="247"/>
      <c r="L12" s="248"/>
      <c r="M12" s="246"/>
      <c r="N12" s="247"/>
      <c r="O12" s="248"/>
    </row>
    <row r="13" spans="2:16" ht="12.75" customHeight="1">
      <c r="B13" s="249">
        <v>2022</v>
      </c>
      <c r="C13" s="250">
        <v>25.045517205750144</v>
      </c>
      <c r="D13" s="251">
        <v>24.078168540734946</v>
      </c>
      <c r="E13" s="251">
        <v>25.646513751875453</v>
      </c>
      <c r="F13" s="251">
        <v>21.806381914576612</v>
      </c>
      <c r="G13" s="251">
        <v>17.015238794123427</v>
      </c>
      <c r="H13" s="252">
        <v>16.301367805792626</v>
      </c>
      <c r="I13" s="253">
        <v>21.135012224584429</v>
      </c>
      <c r="J13" s="251">
        <v>37.166662782570143</v>
      </c>
      <c r="K13" s="251">
        <v>44.182263792509296</v>
      </c>
      <c r="L13" s="252">
        <v>28.805970731293844</v>
      </c>
      <c r="M13" s="253">
        <v>19.732692873952022</v>
      </c>
      <c r="N13" s="251">
        <v>20.566543769461461</v>
      </c>
      <c r="O13" s="252">
        <v>23.759185820903717</v>
      </c>
    </row>
    <row r="14" spans="2:16" ht="12.75" hidden="1" customHeight="1">
      <c r="B14" s="266">
        <v>2023</v>
      </c>
      <c r="C14" s="254"/>
      <c r="D14" s="255"/>
      <c r="E14" s="255"/>
      <c r="F14" s="255"/>
      <c r="G14" s="255"/>
      <c r="H14" s="256"/>
      <c r="I14" s="257"/>
      <c r="J14" s="255"/>
      <c r="K14" s="255"/>
      <c r="L14" s="256"/>
      <c r="M14" s="257"/>
      <c r="N14" s="255"/>
      <c r="O14" s="256"/>
    </row>
    <row r="15" spans="2:16" ht="12.75" hidden="1" customHeight="1">
      <c r="B15" s="266">
        <v>2024</v>
      </c>
      <c r="C15" s="254"/>
      <c r="D15" s="255"/>
      <c r="E15" s="255"/>
      <c r="F15" s="255"/>
      <c r="G15" s="255"/>
      <c r="H15" s="256"/>
      <c r="I15" s="257"/>
      <c r="J15" s="255"/>
      <c r="K15" s="255"/>
      <c r="L15" s="256"/>
      <c r="M15" s="257"/>
      <c r="N15" s="255"/>
      <c r="O15" s="256"/>
    </row>
    <row r="16" spans="2:16" ht="12.75" hidden="1" customHeight="1">
      <c r="B16" s="266">
        <v>2025</v>
      </c>
      <c r="C16" s="254"/>
      <c r="D16" s="255"/>
      <c r="E16" s="255"/>
      <c r="F16" s="255"/>
      <c r="G16" s="255"/>
      <c r="H16" s="256"/>
      <c r="I16" s="257"/>
      <c r="J16" s="255"/>
      <c r="K16" s="255"/>
      <c r="L16" s="256"/>
      <c r="M16" s="257"/>
      <c r="N16" s="255"/>
      <c r="O16" s="256"/>
    </row>
    <row r="17" spans="2:15" ht="12.75" hidden="1" customHeight="1">
      <c r="B17" s="266">
        <v>2026</v>
      </c>
      <c r="C17" s="254"/>
      <c r="D17" s="255"/>
      <c r="E17" s="255"/>
      <c r="F17" s="255"/>
      <c r="G17" s="255"/>
      <c r="H17" s="256"/>
      <c r="I17" s="257"/>
      <c r="J17" s="255"/>
      <c r="K17" s="255"/>
      <c r="L17" s="256"/>
      <c r="M17" s="257"/>
      <c r="N17" s="255"/>
      <c r="O17" s="256"/>
    </row>
    <row r="18" spans="2:15" ht="12.75" hidden="1" customHeight="1">
      <c r="B18" s="266">
        <v>2027</v>
      </c>
      <c r="C18" s="254"/>
      <c r="D18" s="255"/>
      <c r="E18" s="255"/>
      <c r="F18" s="255"/>
      <c r="G18" s="255"/>
      <c r="H18" s="256"/>
      <c r="I18" s="257"/>
      <c r="J18" s="255"/>
      <c r="K18" s="255"/>
      <c r="L18" s="256"/>
      <c r="M18" s="257"/>
      <c r="N18" s="255"/>
      <c r="O18" s="256"/>
    </row>
    <row r="19" spans="2:15" ht="12.75" hidden="1" customHeight="1">
      <c r="B19" s="266">
        <v>2028</v>
      </c>
      <c r="C19" s="254"/>
      <c r="D19" s="255"/>
      <c r="E19" s="255"/>
      <c r="F19" s="255"/>
      <c r="G19" s="255"/>
      <c r="H19" s="256"/>
      <c r="I19" s="257"/>
      <c r="J19" s="255"/>
      <c r="K19" s="255"/>
      <c r="L19" s="256"/>
      <c r="M19" s="257"/>
      <c r="N19" s="255"/>
      <c r="O19" s="256"/>
    </row>
    <row r="20" spans="2:15" ht="12.75" hidden="1" customHeight="1">
      <c r="B20" s="266">
        <v>2029</v>
      </c>
      <c r="C20" s="254"/>
      <c r="D20" s="255"/>
      <c r="E20" s="255"/>
      <c r="F20" s="255"/>
      <c r="G20" s="255"/>
      <c r="H20" s="256"/>
      <c r="I20" s="257"/>
      <c r="J20" s="255"/>
      <c r="K20" s="255"/>
      <c r="L20" s="256"/>
      <c r="M20" s="257"/>
      <c r="N20" s="255"/>
      <c r="O20" s="256"/>
    </row>
    <row r="21" spans="2:15" ht="12.75" hidden="1" customHeight="1">
      <c r="B21" s="266">
        <v>2030</v>
      </c>
      <c r="C21" s="254"/>
      <c r="D21" s="255"/>
      <c r="E21" s="255"/>
      <c r="F21" s="255"/>
      <c r="G21" s="255"/>
      <c r="H21" s="256"/>
      <c r="I21" s="257"/>
      <c r="J21" s="255"/>
      <c r="K21" s="255"/>
      <c r="L21" s="256"/>
      <c r="M21" s="257"/>
      <c r="N21" s="255"/>
      <c r="O21" s="256"/>
    </row>
    <row r="22" spans="2:15" ht="12.75" hidden="1" customHeight="1">
      <c r="B22" s="266">
        <v>2031</v>
      </c>
      <c r="C22" s="254"/>
      <c r="D22" s="255"/>
      <c r="E22" s="255"/>
      <c r="F22" s="255"/>
      <c r="G22" s="255"/>
      <c r="H22" s="256"/>
      <c r="I22" s="257"/>
      <c r="J22" s="255"/>
      <c r="K22" s="255"/>
      <c r="L22" s="256"/>
      <c r="M22" s="257"/>
      <c r="N22" s="255"/>
      <c r="O22" s="256"/>
    </row>
    <row r="23" spans="2:15" ht="12.75" hidden="1" customHeight="1">
      <c r="B23" s="266">
        <v>2032</v>
      </c>
      <c r="C23" s="254"/>
      <c r="D23" s="255"/>
      <c r="E23" s="255"/>
      <c r="F23" s="255"/>
      <c r="G23" s="255"/>
      <c r="H23" s="256"/>
      <c r="I23" s="257"/>
      <c r="J23" s="255"/>
      <c r="K23" s="255"/>
      <c r="L23" s="256"/>
      <c r="M23" s="257"/>
      <c r="N23" s="255"/>
      <c r="O23" s="256"/>
    </row>
    <row r="24" spans="2:15" ht="12.75" hidden="1" customHeight="1">
      <c r="B24" s="266">
        <v>2033</v>
      </c>
      <c r="C24" s="254"/>
      <c r="D24" s="255"/>
      <c r="E24" s="255"/>
      <c r="F24" s="255"/>
      <c r="G24" s="255"/>
      <c r="H24" s="256"/>
      <c r="I24" s="257"/>
      <c r="J24" s="255"/>
      <c r="K24" s="255"/>
      <c r="L24" s="256"/>
      <c r="M24" s="257"/>
      <c r="N24" s="255"/>
      <c r="O24" s="256"/>
    </row>
    <row r="25" spans="2:15" ht="12.75" hidden="1" customHeight="1">
      <c r="B25" s="266">
        <v>2034</v>
      </c>
      <c r="C25" s="254"/>
      <c r="D25" s="255"/>
      <c r="E25" s="255"/>
      <c r="F25" s="255"/>
      <c r="G25" s="255"/>
      <c r="H25" s="256"/>
      <c r="I25" s="257"/>
      <c r="J25" s="255"/>
      <c r="K25" s="255"/>
      <c r="L25" s="256"/>
      <c r="M25" s="257"/>
      <c r="N25" s="255"/>
      <c r="O25" s="256"/>
    </row>
    <row r="26" spans="2:15" ht="12.75" hidden="1" customHeight="1">
      <c r="B26" s="266">
        <v>2035</v>
      </c>
      <c r="C26" s="254"/>
      <c r="D26" s="255"/>
      <c r="E26" s="255"/>
      <c r="F26" s="255"/>
      <c r="G26" s="255"/>
      <c r="H26" s="256"/>
      <c r="I26" s="257"/>
      <c r="J26" s="255"/>
      <c r="K26" s="255"/>
      <c r="L26" s="256"/>
      <c r="M26" s="257"/>
      <c r="N26" s="255"/>
      <c r="O26" s="256"/>
    </row>
    <row r="27" spans="2:15" ht="12.75" hidden="1" customHeight="1">
      <c r="B27" s="266">
        <v>2036</v>
      </c>
      <c r="C27" s="254"/>
      <c r="D27" s="255"/>
      <c r="E27" s="255"/>
      <c r="F27" s="255"/>
      <c r="G27" s="255"/>
      <c r="H27" s="256"/>
      <c r="I27" s="257"/>
      <c r="J27" s="255"/>
      <c r="K27" s="255"/>
      <c r="L27" s="256"/>
      <c r="M27" s="257"/>
      <c r="N27" s="255"/>
      <c r="O27" s="256"/>
    </row>
    <row r="28" spans="2:15" ht="12.75" hidden="1" customHeight="1">
      <c r="B28" s="266">
        <v>2037</v>
      </c>
      <c r="C28" s="254"/>
      <c r="D28" s="255"/>
      <c r="E28" s="255"/>
      <c r="F28" s="255"/>
      <c r="G28" s="255"/>
      <c r="H28" s="256"/>
      <c r="I28" s="257"/>
      <c r="J28" s="255"/>
      <c r="K28" s="255"/>
      <c r="L28" s="256"/>
      <c r="M28" s="257"/>
      <c r="N28" s="255"/>
      <c r="O28" s="256"/>
    </row>
    <row r="29" spans="2:15" ht="12.75" hidden="1" customHeight="1">
      <c r="B29" s="266">
        <v>2038</v>
      </c>
      <c r="C29" s="254"/>
      <c r="D29" s="255"/>
      <c r="E29" s="255"/>
      <c r="F29" s="255"/>
      <c r="G29" s="255"/>
      <c r="H29" s="256"/>
      <c r="I29" s="257"/>
      <c r="J29" s="255"/>
      <c r="K29" s="255"/>
      <c r="L29" s="256"/>
      <c r="M29" s="257"/>
      <c r="N29" s="255"/>
      <c r="O29" s="256"/>
    </row>
    <row r="30" spans="2:15" ht="12.75" hidden="1" customHeight="1">
      <c r="B30" s="267">
        <v>2039</v>
      </c>
      <c r="C30" s="259"/>
      <c r="D30" s="260"/>
      <c r="E30" s="260"/>
      <c r="F30" s="260"/>
      <c r="G30" s="260"/>
      <c r="H30" s="261"/>
      <c r="I30" s="262"/>
      <c r="J30" s="260"/>
      <c r="K30" s="260"/>
      <c r="L30" s="261"/>
      <c r="M30" s="262"/>
      <c r="N30" s="260"/>
      <c r="O30" s="261"/>
    </row>
    <row r="31" spans="2:15" ht="12.75" hidden="1" customHeight="1">
      <c r="B31" s="15"/>
      <c r="C31" s="254"/>
      <c r="D31" s="255"/>
      <c r="E31" s="255"/>
      <c r="F31" s="255"/>
      <c r="G31" s="255"/>
      <c r="H31" s="256"/>
      <c r="I31" s="257"/>
      <c r="J31" s="255"/>
      <c r="K31" s="255"/>
      <c r="L31" s="256"/>
      <c r="M31" s="257"/>
      <c r="N31" s="255"/>
      <c r="O31" s="256"/>
    </row>
    <row r="32" spans="2:15" ht="12.75" hidden="1" customHeight="1">
      <c r="B32" s="258"/>
      <c r="C32" s="259"/>
      <c r="D32" s="260"/>
      <c r="E32" s="260"/>
      <c r="F32" s="260"/>
      <c r="G32" s="260"/>
      <c r="H32" s="261"/>
      <c r="I32" s="262"/>
      <c r="J32" s="260"/>
      <c r="K32" s="260"/>
      <c r="L32" s="261"/>
      <c r="M32" s="262"/>
      <c r="N32" s="260"/>
      <c r="O32" s="261"/>
    </row>
    <row r="33" spans="2:16" ht="12.75" hidden="1" customHeight="1">
      <c r="D33" s="10"/>
      <c r="E33" s="10"/>
      <c r="F33" s="10"/>
      <c r="M33" s="263"/>
    </row>
    <row r="34" spans="2:16" hidden="1">
      <c r="B34" s="264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2:16" hidden="1"/>
    <row r="36" spans="2:16" hidden="1"/>
    <row r="38" spans="2:16" hidden="1">
      <c r="C38" s="265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5"/>
    </row>
    <row r="40" spans="2:16">
      <c r="C40" s="265"/>
    </row>
    <row r="41" spans="2:16">
      <c r="C41" s="265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S345"/>
  <sheetViews>
    <sheetView view="pageBreakPreview" topLeftCell="A2" zoomScale="80" zoomScaleNormal="100" zoomScaleSheetLayoutView="80" workbookViewId="0">
      <selection activeCell="D29" sqref="D29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9" width="9.33203125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Tesoro Non Firm - 25.0 MW and 85.0% CF</v>
      </c>
      <c r="C5" s="1"/>
      <c r="D5" s="1"/>
      <c r="H5" s="96">
        <v>44377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4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58</v>
      </c>
      <c r="J15" s="34"/>
      <c r="K15" s="3" t="s">
        <v>59</v>
      </c>
      <c r="L15" s="3" t="s">
        <v>60</v>
      </c>
      <c r="P15" s="3" t="s">
        <v>59</v>
      </c>
      <c r="R15" s="3" t="s">
        <v>140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139</v>
      </c>
      <c r="K16" s="34" t="s">
        <v>27</v>
      </c>
      <c r="L16" s="34" t="s">
        <v>27</v>
      </c>
      <c r="M16" s="102" t="s">
        <v>0</v>
      </c>
      <c r="O16" s="103" t="str">
        <f>IF(_30_Geo_West&gt;0,"IRP - Wyo NE",IF(_436_CCCT_WestMain&gt;0,"West Side","IRP - Utah Greenfield"))</f>
        <v>IRP - Utah Greenfield</v>
      </c>
      <c r="P16" s="103" t="s">
        <v>89</v>
      </c>
      <c r="Q16" s="103" t="s">
        <v>60</v>
      </c>
      <c r="R16" s="3" t="s">
        <v>139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3.75</v>
      </c>
      <c r="D19" s="27">
        <f t="shared" si="1"/>
        <v>3.76</v>
      </c>
      <c r="E19" s="27">
        <f t="shared" si="2"/>
        <v>3.6</v>
      </c>
      <c r="F19" s="27">
        <f t="shared" si="3"/>
        <v>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3.22</v>
      </c>
      <c r="D20" s="27">
        <f t="shared" si="1"/>
        <v>3.23</v>
      </c>
      <c r="E20" s="27">
        <f t="shared" si="2"/>
        <v>3.29</v>
      </c>
      <c r="F20" s="27">
        <f t="shared" si="3"/>
        <v>2.96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2.8</v>
      </c>
      <c r="D21" s="27">
        <f t="shared" si="1"/>
        <v>2.81</v>
      </c>
      <c r="E21" s="27">
        <f t="shared" si="2"/>
        <v>2.86</v>
      </c>
      <c r="F21" s="27">
        <f t="shared" si="3"/>
        <v>2.56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2.87</v>
      </c>
      <c r="D22" s="27">
        <f t="shared" si="1"/>
        <v>2.88</v>
      </c>
      <c r="E22" s="27">
        <f t="shared" si="2"/>
        <v>2.88</v>
      </c>
      <c r="F22" s="27">
        <f t="shared" si="3"/>
        <v>2.62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3.21</v>
      </c>
      <c r="D23" s="27">
        <f t="shared" si="1"/>
        <v>3.22</v>
      </c>
      <c r="E23" s="27">
        <f t="shared" si="2"/>
        <v>3.16</v>
      </c>
      <c r="F23" s="27">
        <f t="shared" si="3"/>
        <v>2.96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3.42</v>
      </c>
      <c r="D24" s="27">
        <f t="shared" si="1"/>
        <v>3.43</v>
      </c>
      <c r="E24" s="27">
        <f t="shared" si="2"/>
        <v>3.33</v>
      </c>
      <c r="F24" s="27">
        <f t="shared" si="3"/>
        <v>3.17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3.52</v>
      </c>
      <c r="D25" s="27">
        <f t="shared" si="1"/>
        <v>3.53</v>
      </c>
      <c r="E25" s="27">
        <f t="shared" si="2"/>
        <v>3.49</v>
      </c>
      <c r="F25" s="27">
        <f t="shared" si="3"/>
        <v>3.27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3.76</v>
      </c>
      <c r="D26" s="27">
        <f t="shared" si="1"/>
        <v>3.77</v>
      </c>
      <c r="E26" s="27">
        <f t="shared" si="2"/>
        <v>3.71</v>
      </c>
      <c r="F26" s="27">
        <f t="shared" si="3"/>
        <v>3.51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4.12</v>
      </c>
      <c r="D27" s="27">
        <f t="shared" si="1"/>
        <v>4.13</v>
      </c>
      <c r="E27" s="27">
        <f t="shared" si="2"/>
        <v>4.04</v>
      </c>
      <c r="F27" s="27">
        <f t="shared" si="3"/>
        <v>3.86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4.28</v>
      </c>
      <c r="D28" s="27">
        <f t="shared" si="1"/>
        <v>4.29</v>
      </c>
      <c r="E28" s="27">
        <f t="shared" si="2"/>
        <v>4.1900000000000004</v>
      </c>
      <c r="F28" s="27">
        <f t="shared" si="3"/>
        <v>4.0199999999999996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4.4000000000000004</v>
      </c>
      <c r="D29" s="27">
        <f t="shared" si="1"/>
        <v>4.41</v>
      </c>
      <c r="E29" s="27">
        <f t="shared" si="2"/>
        <v>4.33</v>
      </c>
      <c r="F29" s="27">
        <f t="shared" si="3"/>
        <v>4.1399999999999997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4.4800000000000004</v>
      </c>
      <c r="D30" s="27">
        <f t="shared" si="1"/>
        <v>4.49</v>
      </c>
      <c r="E30" s="27">
        <f t="shared" si="2"/>
        <v>4.38</v>
      </c>
      <c r="F30" s="27">
        <f t="shared" si="3"/>
        <v>4.22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4.7300000000000004</v>
      </c>
      <c r="D31" s="27">
        <f t="shared" si="1"/>
        <v>4.74</v>
      </c>
      <c r="E31" s="27">
        <f t="shared" si="2"/>
        <v>4.58</v>
      </c>
      <c r="F31" s="27">
        <f t="shared" si="3"/>
        <v>4.47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4.79</v>
      </c>
      <c r="D32" s="27">
        <f t="shared" si="1"/>
        <v>4.8</v>
      </c>
      <c r="E32" s="27">
        <f t="shared" si="2"/>
        <v>4.6100000000000003</v>
      </c>
      <c r="F32" s="27">
        <f t="shared" si="3"/>
        <v>4.53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4.8600000000000003</v>
      </c>
      <c r="D33" s="27">
        <f t="shared" si="1"/>
        <v>4.87</v>
      </c>
      <c r="E33" s="27">
        <f t="shared" si="2"/>
        <v>4.63</v>
      </c>
      <c r="F33" s="27">
        <f t="shared" si="3"/>
        <v>4.5999999999999996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4.97</v>
      </c>
      <c r="D34" s="27">
        <f t="shared" si="1"/>
        <v>4.9800000000000004</v>
      </c>
      <c r="E34" s="27">
        <f t="shared" si="2"/>
        <v>4.7</v>
      </c>
      <c r="F34" s="27">
        <f t="shared" si="3"/>
        <v>4.71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5.07</v>
      </c>
      <c r="D35" s="27">
        <f t="shared" si="1"/>
        <v>5.08</v>
      </c>
      <c r="E35" s="27">
        <f t="shared" si="2"/>
        <v>4.83</v>
      </c>
      <c r="F35" s="27">
        <f t="shared" si="3"/>
        <v>4.8099999999999996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5.26</v>
      </c>
      <c r="D36" s="27">
        <f t="shared" si="1"/>
        <v>5.27</v>
      </c>
      <c r="E36" s="27">
        <f t="shared" si="2"/>
        <v>4.93</v>
      </c>
      <c r="F36" s="27">
        <f t="shared" si="3"/>
        <v>4.99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5.56</v>
      </c>
      <c r="D37" s="27">
        <f t="shared" si="1"/>
        <v>5.57</v>
      </c>
      <c r="E37" s="27">
        <f t="shared" si="2"/>
        <v>5.19</v>
      </c>
      <c r="F37" s="27">
        <f t="shared" si="3"/>
        <v>5.29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5.9</v>
      </c>
      <c r="D38" s="27">
        <f t="shared" si="1"/>
        <v>5.91</v>
      </c>
      <c r="E38" s="27">
        <f t="shared" si="2"/>
        <v>5.43</v>
      </c>
      <c r="F38" s="27">
        <f t="shared" si="3"/>
        <v>5.63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Jun 30,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3.9196143272837882</v>
      </c>
      <c r="J83" s="35">
        <v>3.9297532302544869</v>
      </c>
      <c r="K83" s="35">
        <v>3.860771085864092</v>
      </c>
      <c r="L83" s="35">
        <v>3.4320081501555757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3.9986977704552369</v>
      </c>
      <c r="J84" s="35">
        <v>4.008836673425936</v>
      </c>
      <c r="K84" s="35">
        <v>4.0047227456323613</v>
      </c>
      <c r="L84" s="35">
        <v>3.5148145337749672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3.8151836266855925</v>
      </c>
      <c r="J85" s="35">
        <v>3.8253225296562916</v>
      </c>
      <c r="K85" s="35">
        <v>3.9195427167407058</v>
      </c>
      <c r="L85" s="35">
        <v>3.5037736826257149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3.6124055672716215</v>
      </c>
      <c r="J86" s="35">
        <v>3.6225444702423202</v>
      </c>
      <c r="K86" s="35">
        <v>3.8845904252502086</v>
      </c>
      <c r="L86" s="35">
        <v>3.3983837398373984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3.9434407492649295</v>
      </c>
      <c r="J87" s="35">
        <v>3.9535796522356286</v>
      </c>
      <c r="K87" s="35">
        <v>4.2182165201735744</v>
      </c>
      <c r="L87" s="35">
        <v>3.4952421158285656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4.4579900750278822</v>
      </c>
      <c r="J88" s="35">
        <v>4.46812897799858</v>
      </c>
      <c r="K88" s="35">
        <v>4.6829007628931603</v>
      </c>
      <c r="L88" s="35">
        <v>3.8565790625313658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4.4569761847308129</v>
      </c>
      <c r="J89" s="35">
        <v>4.4671150877015107</v>
      </c>
      <c r="K89" s="35">
        <v>4.5634415977545277</v>
      </c>
      <c r="L89" s="35">
        <v>3.9710024289872528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4.2521703447227015</v>
      </c>
      <c r="J90" s="35">
        <v>4.2623092476934001</v>
      </c>
      <c r="K90" s="35">
        <v>4.3322386621914628</v>
      </c>
      <c r="L90" s="35">
        <v>3.8636050587172539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3.5176068244955898</v>
      </c>
      <c r="J91" s="35">
        <v>3.5277457274662885</v>
      </c>
      <c r="K91" s="35">
        <v>3.5890234921720499</v>
      </c>
      <c r="L91" s="35">
        <v>3.3195922111813707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2.703959861097029</v>
      </c>
      <c r="J92" s="35">
        <v>2.7140987640677281</v>
      </c>
      <c r="K92" s="35">
        <v>2.7890561570065859</v>
      </c>
      <c r="L92" s="35">
        <v>2.6420854361136206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2.5787444094089018</v>
      </c>
      <c r="J93" s="35">
        <v>2.5888833123796005</v>
      </c>
      <c r="K93" s="35">
        <v>2.5678987689237527</v>
      </c>
      <c r="L93" s="35">
        <v>2.5156175047676403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2.6988904096116801</v>
      </c>
      <c r="J94" s="35">
        <v>2.7090293125823788</v>
      </c>
      <c r="K94" s="35">
        <v>2.614294699554101</v>
      </c>
      <c r="L94" s="35">
        <v>2.5366954933253036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2.9285365618980026</v>
      </c>
      <c r="J95" s="35">
        <v>2.9386754648687017</v>
      </c>
      <c r="K95" s="35">
        <v>2.9187162131431856</v>
      </c>
      <c r="L95" s="35">
        <v>2.6812302720064234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2.9716268995234718</v>
      </c>
      <c r="J96" s="35">
        <v>2.9817658024941704</v>
      </c>
      <c r="K96" s="35">
        <v>2.9666655789508893</v>
      </c>
      <c r="L96" s="35">
        <v>2.7013045468232457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2.9310712876406773</v>
      </c>
      <c r="J97" s="35">
        <v>2.9412101906113759</v>
      </c>
      <c r="K97" s="35">
        <v>2.9310401322168715</v>
      </c>
      <c r="L97" s="35">
        <v>2.6812302720064234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2.84184894149853</v>
      </c>
      <c r="J98" s="35">
        <v>2.8519878444692286</v>
      </c>
      <c r="K98" s="35">
        <v>2.9570860620238641</v>
      </c>
      <c r="L98" s="35">
        <v>2.6681819933754891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3.2134397353746329</v>
      </c>
      <c r="J99" s="35">
        <v>3.2235786383453315</v>
      </c>
      <c r="K99" s="35">
        <v>3.4421203055668057</v>
      </c>
      <c r="L99" s="35">
        <v>2.8378096155776369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3.600745828855318</v>
      </c>
      <c r="J100" s="35">
        <v>3.6108847318260167</v>
      </c>
      <c r="K100" s="35">
        <v>3.7768855862868991</v>
      </c>
      <c r="L100" s="35">
        <v>3.1384218809595503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3.6362319892527628</v>
      </c>
      <c r="J101" s="35">
        <v>3.6463708922234619</v>
      </c>
      <c r="K101" s="35">
        <v>3.8150483104772639</v>
      </c>
      <c r="L101" s="35">
        <v>3.2663953829167922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3.5226762759809387</v>
      </c>
      <c r="J102" s="35">
        <v>3.5328151789516378</v>
      </c>
      <c r="K102" s="35">
        <v>3.6382673872942171</v>
      </c>
      <c r="L102" s="35">
        <v>3.1866001405199236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3.0522311781405254</v>
      </c>
      <c r="J103" s="35">
        <v>3.062370081111224</v>
      </c>
      <c r="K103" s="35">
        <v>3.1544758918931599</v>
      </c>
      <c r="L103" s="35">
        <v>2.7409512395864701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2.3313551769238567</v>
      </c>
      <c r="J104" s="35">
        <v>2.3414940798945558</v>
      </c>
      <c r="K104" s="35">
        <v>2.3281519398852324</v>
      </c>
      <c r="L104" s="35">
        <v>2.2581649302418949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2.2918134553381324</v>
      </c>
      <c r="J105" s="35">
        <v>2.301952358308831</v>
      </c>
      <c r="K105" s="35">
        <v>2.221120256165444</v>
      </c>
      <c r="L105" s="35">
        <v>2.0960651610960555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2.3318621220723914</v>
      </c>
      <c r="J106" s="35">
        <v>2.3420010250430905</v>
      </c>
      <c r="K106" s="35">
        <v>2.2581437945590812</v>
      </c>
      <c r="L106" s="35">
        <v>2.2009532470139512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2.5802652448545067</v>
      </c>
      <c r="J107" s="35">
        <v>2.5904041478252053</v>
      </c>
      <c r="K107" s="35">
        <v>2.5979318490192904</v>
      </c>
      <c r="L107" s="35">
        <v>2.3690752986048378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2.5919249832708102</v>
      </c>
      <c r="J108" s="35">
        <v>2.6020638862415093</v>
      </c>
      <c r="K108" s="35">
        <v>2.6228385930295559</v>
      </c>
      <c r="L108" s="35">
        <v>2.3781087222724082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2.5670846709925987</v>
      </c>
      <c r="J109" s="35">
        <v>2.5772235739632974</v>
      </c>
      <c r="K109" s="35">
        <v>2.616210602939506</v>
      </c>
      <c r="L109" s="35">
        <v>2.3685734417344175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2.4717789830680323</v>
      </c>
      <c r="J110" s="35">
        <v>2.481917886038731</v>
      </c>
      <c r="K110" s="35">
        <v>2.540868996837768</v>
      </c>
      <c r="L110" s="35">
        <v>2.3545214493626414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2.989369979722194</v>
      </c>
      <c r="J111" s="35">
        <v>2.9995088826928931</v>
      </c>
      <c r="K111" s="35">
        <v>3.1032125310404313</v>
      </c>
      <c r="L111" s="35">
        <v>2.6461002910769849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3.2859328916151274</v>
      </c>
      <c r="J112" s="35">
        <v>3.296071794585826</v>
      </c>
      <c r="K112" s="35">
        <v>3.3847985475223905</v>
      </c>
      <c r="L112" s="35">
        <v>2.8920101575830572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3.3266912815573355</v>
      </c>
      <c r="J113" s="35">
        <v>3.3368301845280346</v>
      </c>
      <c r="K113" s="35">
        <v>3.5696055524551076</v>
      </c>
      <c r="L113" s="35">
        <v>3.0184780889290375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3.2355425438507552</v>
      </c>
      <c r="J114" s="35">
        <v>3.2456814468214543</v>
      </c>
      <c r="K114" s="35">
        <v>3.4166439686581764</v>
      </c>
      <c r="L114" s="35">
        <v>2.9617682625715145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2.7955141549224374</v>
      </c>
      <c r="J115" s="35">
        <v>2.805653057893136</v>
      </c>
      <c r="K115" s="35">
        <v>2.9804911520293524</v>
      </c>
      <c r="L115" s="35">
        <v>2.5622901937167519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2.2534884021088919</v>
      </c>
      <c r="J116" s="35">
        <v>2.2636273050795905</v>
      </c>
      <c r="K116" s="35">
        <v>2.2328745823407661</v>
      </c>
      <c r="L116" s="35">
        <v>2.1557861286761013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2.2122230670181486</v>
      </c>
      <c r="J117" s="35">
        <v>2.2223619699888473</v>
      </c>
      <c r="K117" s="35">
        <v>2.1434484972976731</v>
      </c>
      <c r="L117" s="35">
        <v>2.0107494931245609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2.2978967971205515</v>
      </c>
      <c r="J118" s="35">
        <v>2.3080357000912506</v>
      </c>
      <c r="K118" s="35">
        <v>2.1804720356913099</v>
      </c>
      <c r="L118" s="35">
        <v>2.1156375790424571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2.5970958237858661</v>
      </c>
      <c r="J119" s="35">
        <v>2.6072347267565652</v>
      </c>
      <c r="K119" s="35">
        <v>2.5171532197968083</v>
      </c>
      <c r="L119" s="35">
        <v>2.2807484894108203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2.934112958531887</v>
      </c>
      <c r="J120" s="35">
        <v>2.9442518615025857</v>
      </c>
      <c r="K120" s="35">
        <v>2.9049424212373007</v>
      </c>
      <c r="L120" s="35">
        <v>2.7168621098062831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2.9102865365507449</v>
      </c>
      <c r="J121" s="35">
        <v>2.920425439521444</v>
      </c>
      <c r="K121" s="35">
        <v>2.8287205352017279</v>
      </c>
      <c r="L121" s="35">
        <v>2.7083305430091338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2.8511767322315724</v>
      </c>
      <c r="J122" s="35">
        <v>2.8613156352022711</v>
      </c>
      <c r="K122" s="35">
        <v>2.8056779134042893</v>
      </c>
      <c r="L122" s="35">
        <v>2.7301111311853856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3.3268940596167496</v>
      </c>
      <c r="J123" s="35">
        <v>3.3370329625874486</v>
      </c>
      <c r="K123" s="35">
        <v>3.3841771734514481</v>
      </c>
      <c r="L123" s="35">
        <v>2.980236595402991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3.6406931065598704</v>
      </c>
      <c r="J124" s="35">
        <v>3.6508320095305691</v>
      </c>
      <c r="K124" s="35">
        <v>3.6356783286652909</v>
      </c>
      <c r="L124" s="35">
        <v>3.2432095955033624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3.5845235841022003</v>
      </c>
      <c r="J125" s="35">
        <v>3.5946624870728989</v>
      </c>
      <c r="K125" s="35">
        <v>3.73991382906584</v>
      </c>
      <c r="L125" s="35">
        <v>3.2737224932249318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3.4571789627902261</v>
      </c>
      <c r="J126" s="35">
        <v>3.4673178657609247</v>
      </c>
      <c r="K126" s="35">
        <v>3.5501358315655858</v>
      </c>
      <c r="L126" s="35">
        <v>3.1811800863193813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2.9373574074825108</v>
      </c>
      <c r="J127" s="35">
        <v>2.9474963104532095</v>
      </c>
      <c r="K127" s="35">
        <v>3.1382166037035066</v>
      </c>
      <c r="L127" s="35">
        <v>2.7027097460604237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2.6625931369765792</v>
      </c>
      <c r="J128" s="35">
        <v>2.6727320399472778</v>
      </c>
      <c r="K128" s="35">
        <v>2.6063203989770098</v>
      </c>
      <c r="L128" s="35">
        <v>2.5607846231054903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2.6535695133326578</v>
      </c>
      <c r="J129" s="35">
        <v>2.6637084163033564</v>
      </c>
      <c r="K129" s="35">
        <v>2.5735946979073892</v>
      </c>
      <c r="L129" s="35">
        <v>2.4476660845126967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2.7314362881476226</v>
      </c>
      <c r="J130" s="35">
        <v>2.7415751911183213</v>
      </c>
      <c r="K130" s="35">
        <v>2.6129483890670597</v>
      </c>
      <c r="L130" s="35">
        <v>2.5449259460002009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3.06216730305181</v>
      </c>
      <c r="J131" s="35">
        <v>3.072306206022509</v>
      </c>
      <c r="K131" s="35">
        <v>2.7992052668319749</v>
      </c>
      <c r="L131" s="35">
        <v>2.741151982334638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3.2763009337929638</v>
      </c>
      <c r="J132" s="35">
        <v>3.2864398367636625</v>
      </c>
      <c r="K132" s="35">
        <v>3.1870980306176238</v>
      </c>
      <c r="L132" s="35">
        <v>3.0556154973401584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3.2533870130791849</v>
      </c>
      <c r="J133" s="35">
        <v>3.2635259160498835</v>
      </c>
      <c r="K133" s="35">
        <v>3.0413340298091063</v>
      </c>
      <c r="L133" s="35">
        <v>3.0479872729097659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3.2305744813951129</v>
      </c>
      <c r="J134" s="35">
        <v>3.2407133843658116</v>
      </c>
      <c r="K134" s="35">
        <v>3.070435048798231</v>
      </c>
      <c r="L134" s="35">
        <v>3.1057008130081298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3.6644181395113051</v>
      </c>
      <c r="J135" s="35">
        <v>3.6745570424820038</v>
      </c>
      <c r="K135" s="35">
        <v>3.6650900346898876</v>
      </c>
      <c r="L135" s="35">
        <v>3.3143728997289972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3.9954533215046131</v>
      </c>
      <c r="J136" s="35">
        <v>4.0055922244753122</v>
      </c>
      <c r="K136" s="35">
        <v>3.8866616721533487</v>
      </c>
      <c r="L136" s="35">
        <v>3.5944090334236676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3.8423558866470651</v>
      </c>
      <c r="J137" s="35">
        <v>3.8524947896177637</v>
      </c>
      <c r="K137" s="35">
        <v>3.9101703245039943</v>
      </c>
      <c r="L137" s="35">
        <v>3.528966897520827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3.6788153817296969</v>
      </c>
      <c r="J138" s="35">
        <v>3.6889542847003955</v>
      </c>
      <c r="K138" s="35">
        <v>3.6835759133004169</v>
      </c>
      <c r="L138" s="35">
        <v>3.400591910067249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3.2331092071377876</v>
      </c>
      <c r="J139" s="35">
        <v>3.2432481101084862</v>
      </c>
      <c r="K139" s="35">
        <v>3.2958902742050822</v>
      </c>
      <c r="L139" s="35">
        <v>2.9954930442637759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3.0715964828145594</v>
      </c>
      <c r="J140" s="35">
        <v>3.0817353857852581</v>
      </c>
      <c r="K140" s="35">
        <v>2.9798179967858314</v>
      </c>
      <c r="L140" s="35">
        <v>2.9656827461607951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3.0950173486768735</v>
      </c>
      <c r="J141" s="35">
        <v>3.1051562516475721</v>
      </c>
      <c r="K141" s="35">
        <v>3.003689117344527</v>
      </c>
      <c r="L141" s="35">
        <v>2.8846830472749172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3.1650771682044003</v>
      </c>
      <c r="J142" s="35">
        <v>3.175216071175099</v>
      </c>
      <c r="K142" s="35">
        <v>3.0454247424428091</v>
      </c>
      <c r="L142" s="35">
        <v>2.9741139415838602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3.3928983179559968</v>
      </c>
      <c r="J143" s="35">
        <v>3.4030372209266959</v>
      </c>
      <c r="K143" s="35">
        <v>3.0812055326945624</v>
      </c>
      <c r="L143" s="35">
        <v>3.0685634045970089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3.328516284092061</v>
      </c>
      <c r="J144" s="35">
        <v>3.3386551870627601</v>
      </c>
      <c r="K144" s="35">
        <v>3.1289477738119524</v>
      </c>
      <c r="L144" s="35">
        <v>3.1073067549934756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3.3051968072594544</v>
      </c>
      <c r="J145" s="35">
        <v>3.3153357102301531</v>
      </c>
      <c r="K145" s="35">
        <v>3.0752506978480332</v>
      </c>
      <c r="L145" s="35">
        <v>3.0992770450667466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3.328516284092061</v>
      </c>
      <c r="J146" s="35">
        <v>3.3386551870627601</v>
      </c>
      <c r="K146" s="35">
        <v>3.1646767828911271</v>
      </c>
      <c r="L146" s="35">
        <v>3.2026595603733816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3.6554959048970903</v>
      </c>
      <c r="J147" s="35">
        <v>3.6656348078677889</v>
      </c>
      <c r="K147" s="35">
        <v>3.6597047927417217</v>
      </c>
      <c r="L147" s="35">
        <v>3.3055402188095955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3.9591560488695121</v>
      </c>
      <c r="J148" s="35">
        <v>3.9692949518402112</v>
      </c>
      <c r="K148" s="35">
        <v>3.9579125656213847</v>
      </c>
      <c r="L148" s="35">
        <v>3.5584760815015555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3.9070420876001219</v>
      </c>
      <c r="J149" s="35">
        <v>3.9171809905708206</v>
      </c>
      <c r="K149" s="35">
        <v>4.018237631675353</v>
      </c>
      <c r="L149" s="35">
        <v>3.5931042055605737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3.8115336216161411</v>
      </c>
      <c r="J150" s="35">
        <v>3.8216725245868397</v>
      </c>
      <c r="K150" s="35">
        <v>3.8656902972590506</v>
      </c>
      <c r="L150" s="35">
        <v>3.5318776673692662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3.2515620105444594</v>
      </c>
      <c r="J151" s="35">
        <v>3.261700913515158</v>
      </c>
      <c r="K151" s="35">
        <v>3.499597407128956</v>
      </c>
      <c r="L151" s="35">
        <v>3.0137606343470842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3.1663952255905912</v>
      </c>
      <c r="J152" s="35">
        <v>3.1765341285612898</v>
      </c>
      <c r="K152" s="35">
        <v>3.1762757655487146</v>
      </c>
      <c r="L152" s="35">
        <v>3.0595299809294385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3.1186409925986007</v>
      </c>
      <c r="J153" s="35">
        <v>3.1287798955692998</v>
      </c>
      <c r="K153" s="35">
        <v>3.0359487878609412</v>
      </c>
      <c r="L153" s="35">
        <v>2.9080695774365153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3.1783591310960153</v>
      </c>
      <c r="J154" s="35">
        <v>3.1884980340667144</v>
      </c>
      <c r="K154" s="35">
        <v>3.0725062957013725</v>
      </c>
      <c r="L154" s="35">
        <v>2.9872625915888791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3.4442011669877322</v>
      </c>
      <c r="J155" s="35">
        <v>3.4543400699584308</v>
      </c>
      <c r="K155" s="35">
        <v>3.1030571875226953</v>
      </c>
      <c r="L155" s="35">
        <v>3.119351319883569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3.4291955905910978</v>
      </c>
      <c r="J156" s="35">
        <v>3.4393344935617969</v>
      </c>
      <c r="K156" s="35">
        <v>3.1884961222772441</v>
      </c>
      <c r="L156" s="35">
        <v>3.2069755294589979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3.4411594960965224</v>
      </c>
      <c r="J157" s="35">
        <v>3.451298399067221</v>
      </c>
      <c r="K157" s="35">
        <v>3.1579970116284986</v>
      </c>
      <c r="L157" s="35">
        <v>3.23387505771354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3.4053691686099565</v>
      </c>
      <c r="J158" s="35">
        <v>3.4155080715806552</v>
      </c>
      <c r="K158" s="35">
        <v>3.408100075182722</v>
      </c>
      <c r="L158" s="35">
        <v>3.2787410619291379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3.7995697161107169</v>
      </c>
      <c r="J159" s="35">
        <v>3.8097086190814156</v>
      </c>
      <c r="K159" s="35">
        <v>3.9632978075695497</v>
      </c>
      <c r="L159" s="35">
        <v>3.4481679413831174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4.2534884021088919</v>
      </c>
      <c r="J160" s="35">
        <v>4.2636273050795905</v>
      </c>
      <c r="K160" s="35">
        <v>4.3659482055400751</v>
      </c>
      <c r="L160" s="35">
        <v>3.8498541804677306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4.2416258856331748</v>
      </c>
      <c r="J161" s="35">
        <v>4.2517647886038725</v>
      </c>
      <c r="K161" s="35">
        <v>4.3787899363395475</v>
      </c>
      <c r="L161" s="35">
        <v>3.924229368664057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4.0216116911690154</v>
      </c>
      <c r="J162" s="35">
        <v>4.0317505941397149</v>
      </c>
      <c r="K162" s="35">
        <v>4.0854495936822648</v>
      </c>
      <c r="L162" s="35">
        <v>3.7399475258456287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3.5744860701612087</v>
      </c>
      <c r="J163" s="35">
        <v>3.5846249731319073</v>
      </c>
      <c r="K163" s="35">
        <v>3.7858437291429823</v>
      </c>
      <c r="L163" s="35">
        <v>3.3334434608049786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3.3250690570820236</v>
      </c>
      <c r="J164" s="35">
        <v>3.3352079600527222</v>
      </c>
      <c r="K164" s="35">
        <v>3.3551797168074806</v>
      </c>
      <c r="L164" s="35">
        <v>3.2166111813710732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3.3128009844874784</v>
      </c>
      <c r="J165" s="35">
        <v>3.3229398874581775</v>
      </c>
      <c r="K165" s="35">
        <v>3.1742045186455741</v>
      </c>
      <c r="L165" s="35">
        <v>3.1003811301816722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3.3739385694007908</v>
      </c>
      <c r="J166" s="35">
        <v>3.3840774723714895</v>
      </c>
      <c r="K166" s="35">
        <v>3.2116423064198396</v>
      </c>
      <c r="L166" s="35">
        <v>3.1808789721971293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3.679423715907939</v>
      </c>
      <c r="J167" s="35">
        <v>3.6895626188786377</v>
      </c>
      <c r="K167" s="35">
        <v>3.261559356785527</v>
      </c>
      <c r="L167" s="35">
        <v>3.3522129077587071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3.6305542035891718</v>
      </c>
      <c r="J168" s="35">
        <v>3.6406931065598709</v>
      </c>
      <c r="K168" s="35">
        <v>3.3364349323340585</v>
      </c>
      <c r="L168" s="35">
        <v>3.4063130783900433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3.6305542035891718</v>
      </c>
      <c r="J169" s="35">
        <v>3.6406931065598709</v>
      </c>
      <c r="K169" s="35">
        <v>3.3240074509152153</v>
      </c>
      <c r="L169" s="35">
        <v>3.4213687845026595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3.5939527638649498</v>
      </c>
      <c r="J170" s="35">
        <v>3.6040916668356489</v>
      </c>
      <c r="K170" s="35">
        <v>3.5923374872170748</v>
      </c>
      <c r="L170" s="35">
        <v>3.4654318177255847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4.1804883007198619</v>
      </c>
      <c r="J171" s="35">
        <v>4.1906272036905605</v>
      </c>
      <c r="K171" s="35">
        <v>4.3600969330387036</v>
      </c>
      <c r="L171" s="35">
        <v>3.8252631938171233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4.5838138608942511</v>
      </c>
      <c r="J172" s="35">
        <v>4.5939527638649498</v>
      </c>
      <c r="K172" s="35">
        <v>4.7095680667710944</v>
      </c>
      <c r="L172" s="35">
        <v>4.1768641172337651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4.5939527638649498</v>
      </c>
      <c r="J173" s="35">
        <v>4.6040916668356484</v>
      </c>
      <c r="K173" s="35">
        <v>4.7456595440583191</v>
      </c>
      <c r="L173" s="35">
        <v>4.2730198936063433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4.2561245168812736</v>
      </c>
      <c r="J174" s="35">
        <v>4.2662634198519722</v>
      </c>
      <c r="K174" s="35">
        <v>4.3366400618606367</v>
      </c>
      <c r="L174" s="35">
        <v>3.9720061427280937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3.8269447541316031</v>
      </c>
      <c r="J175" s="35">
        <v>3.8370836571023017</v>
      </c>
      <c r="K175" s="35">
        <v>4.0682064632136195</v>
      </c>
      <c r="L175" s="35">
        <v>3.5833681822744152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3.642923665213424</v>
      </c>
      <c r="J176" s="35">
        <v>3.6530625681841231</v>
      </c>
      <c r="K176" s="35">
        <v>3.6527661156162012</v>
      </c>
      <c r="L176" s="35">
        <v>3.5312754391247614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3.6679667555510496</v>
      </c>
      <c r="J177" s="35">
        <v>3.6781056585217482</v>
      </c>
      <c r="K177" s="35">
        <v>3.4866003328117494</v>
      </c>
      <c r="L177" s="35">
        <v>3.4518816822242298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3.7305237868802594</v>
      </c>
      <c r="J178" s="35">
        <v>3.7406626898509585</v>
      </c>
      <c r="K178" s="35">
        <v>3.5569191651733716</v>
      </c>
      <c r="L178" s="35">
        <v>3.5338850948509486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4.1276646162425221</v>
      </c>
      <c r="J179" s="35">
        <v>4.1378035192132208</v>
      </c>
      <c r="K179" s="35">
        <v>3.6399761659893084</v>
      </c>
      <c r="L179" s="35">
        <v>3.7960551239586469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4.093395124201562</v>
      </c>
      <c r="J180" s="35">
        <v>4.1035340271722598</v>
      </c>
      <c r="K180" s="35">
        <v>3.7166640825780872</v>
      </c>
      <c r="L180" s="35">
        <v>3.8645084010840107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4.093395124201562</v>
      </c>
      <c r="J181" s="35">
        <v>4.1035340271722598</v>
      </c>
      <c r="K181" s="35">
        <v>3.7167158637506654</v>
      </c>
      <c r="L181" s="35">
        <v>3.8795641071966274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4.043308943526311</v>
      </c>
      <c r="J182" s="35">
        <v>4.0534478464970096</v>
      </c>
      <c r="K182" s="35">
        <v>4.0170466647060472</v>
      </c>
      <c r="L182" s="35">
        <v>3.9102777476663655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4.5438665831896987</v>
      </c>
      <c r="J183" s="35">
        <v>4.5540054861603974</v>
      </c>
      <c r="K183" s="35">
        <v>4.6370226439885966</v>
      </c>
      <c r="L183" s="35">
        <v>4.1849941985345778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4.8066669481902062</v>
      </c>
      <c r="J184" s="35">
        <v>4.8168058511609049</v>
      </c>
      <c r="K184" s="35">
        <v>4.8607173095277769</v>
      </c>
      <c r="L184" s="35">
        <v>4.397480397470642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4.7126793176518298</v>
      </c>
      <c r="J185" s="35">
        <v>4.7228182206225284</v>
      </c>
      <c r="K185" s="35">
        <v>4.8284576390113632</v>
      </c>
      <c r="L185" s="35">
        <v>4.3905547726588372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4.4694470353847713</v>
      </c>
      <c r="J186" s="35">
        <v>4.4795859383554699</v>
      </c>
      <c r="K186" s="35">
        <v>4.4949868876057328</v>
      </c>
      <c r="L186" s="35">
        <v>4.1832878851751483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4.0979576305383754</v>
      </c>
      <c r="J187" s="35">
        <v>4.108096533509074</v>
      </c>
      <c r="K187" s="35">
        <v>4.2857909503885363</v>
      </c>
      <c r="L187" s="35">
        <v>3.8516608652012443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3.9061295863327588</v>
      </c>
      <c r="J188" s="35">
        <v>3.9162684893034578</v>
      </c>
      <c r="K188" s="35">
        <v>3.8673472947815632</v>
      </c>
      <c r="L188" s="35">
        <v>3.7918395262471138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3.9190059931055461</v>
      </c>
      <c r="J189" s="35">
        <v>3.9291448960762452</v>
      </c>
      <c r="K189" s="35">
        <v>3.7365480528482364</v>
      </c>
      <c r="L189" s="35">
        <v>3.7004012044564889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3.9190059931055461</v>
      </c>
      <c r="J190" s="35">
        <v>3.9291448960762452</v>
      </c>
      <c r="K190" s="35">
        <v>3.7234991973584513</v>
      </c>
      <c r="L190" s="35">
        <v>3.7204754792733112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4.2453772797323328</v>
      </c>
      <c r="J191" s="35">
        <v>4.2555161827030314</v>
      </c>
      <c r="K191" s="35">
        <v>3.7758499628353288</v>
      </c>
      <c r="L191" s="35">
        <v>3.9125862892703003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4.2389897708607922</v>
      </c>
      <c r="J192" s="35">
        <v>4.2491286738314908</v>
      </c>
      <c r="K192" s="35">
        <v>3.8869723591888201</v>
      </c>
      <c r="L192" s="35">
        <v>4.0086416942687944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4.2262147531177128</v>
      </c>
      <c r="J193" s="35">
        <v>4.2363536560884105</v>
      </c>
      <c r="K193" s="35">
        <v>3.8411978026294133</v>
      </c>
      <c r="L193" s="35">
        <v>4.0110506072468137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4.1877883108587657</v>
      </c>
      <c r="J194" s="35">
        <v>4.1979272138294634</v>
      </c>
      <c r="K194" s="35">
        <v>4.1942418372697228</v>
      </c>
      <c r="L194" s="35">
        <v>4.0533069557362245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4.5206484953867987</v>
      </c>
      <c r="J195" s="35">
        <v>4.5307873983574973</v>
      </c>
      <c r="K195" s="35">
        <v>4.6061610651318023</v>
      </c>
      <c r="L195" s="35">
        <v>4.1620091538693167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4.8662836976579138</v>
      </c>
      <c r="J196" s="35">
        <v>4.8764226006286124</v>
      </c>
      <c r="K196" s="35">
        <v>5.0180285118213037</v>
      </c>
      <c r="L196" s="35">
        <v>4.4564987654320989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4.9261032251850354</v>
      </c>
      <c r="J197" s="35">
        <v>4.936242128155734</v>
      </c>
      <c r="K197" s="35">
        <v>5.1198820782832408</v>
      </c>
      <c r="L197" s="35">
        <v>4.6018365151058918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4.7296112856128962</v>
      </c>
      <c r="J198" s="35">
        <v>4.7397501885835949</v>
      </c>
      <c r="K198" s="35">
        <v>4.7988388082964537</v>
      </c>
      <c r="L198" s="35">
        <v>4.4408408310749774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4.1567632677684276</v>
      </c>
      <c r="J199" s="35">
        <v>4.1669021707391263</v>
      </c>
      <c r="K199" s="35">
        <v>4.3574043120646202</v>
      </c>
      <c r="L199" s="35">
        <v>3.9098762621700294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4.0224228034066716</v>
      </c>
      <c r="J200" s="35">
        <v>4.0325617063773702</v>
      </c>
      <c r="K200" s="35">
        <v>4.0630283459557681</v>
      </c>
      <c r="L200" s="35">
        <v>3.9069654923215897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4.0093436185744702</v>
      </c>
      <c r="J201" s="35">
        <v>4.0194825215451688</v>
      </c>
      <c r="K201" s="35">
        <v>3.7955268084151643</v>
      </c>
      <c r="L201" s="35">
        <v>3.7899324701395161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4.0617617469329819</v>
      </c>
      <c r="J202" s="35">
        <v>4.0719006499036805</v>
      </c>
      <c r="K202" s="35">
        <v>3.8891471684371179</v>
      </c>
      <c r="L202" s="35">
        <v>3.8617983739837398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4.3925941508668762</v>
      </c>
      <c r="J203" s="35">
        <v>4.4027330538375749</v>
      </c>
      <c r="K203" s="35">
        <v>3.9225978059228384</v>
      </c>
      <c r="L203" s="35">
        <v>4.0582251530663456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4.3760677390246379</v>
      </c>
      <c r="J204" s="35">
        <v>4.3862066419953356</v>
      </c>
      <c r="K204" s="35">
        <v>3.9961788521569064</v>
      </c>
      <c r="L204" s="35">
        <v>4.1443437920305133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4.2713328713373215</v>
      </c>
      <c r="J205" s="35">
        <v>4.2814717743080193</v>
      </c>
      <c r="K205" s="35">
        <v>3.8891471684371175</v>
      </c>
      <c r="L205" s="35">
        <v>4.0557158687142429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4.2974912410017243</v>
      </c>
      <c r="J206" s="35">
        <v>4.3076301439724221</v>
      </c>
      <c r="K206" s="35">
        <v>4.283771484657974</v>
      </c>
      <c r="L206" s="35">
        <v>4.1619087824952326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4.5724582895670682</v>
      </c>
      <c r="J207" s="35">
        <v>4.5825971925377669</v>
      </c>
      <c r="K207" s="35">
        <v>4.7185262096271776</v>
      </c>
      <c r="L207" s="35">
        <v>4.2132989260262974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4.9785213535435462</v>
      </c>
      <c r="J208" s="35">
        <v>4.9886602565142448</v>
      </c>
      <c r="K208" s="35">
        <v>5.1265618495458689</v>
      </c>
      <c r="L208" s="35">
        <v>4.5676098765432096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5.0396589384568591</v>
      </c>
      <c r="J209" s="35">
        <v>5.0497978414275577</v>
      </c>
      <c r="K209" s="35">
        <v>5.2305384440835239</v>
      </c>
      <c r="L209" s="35">
        <v>4.7142524540800963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4.5305846202980842</v>
      </c>
      <c r="J210" s="35">
        <v>4.5407235232687819</v>
      </c>
      <c r="K210" s="35">
        <v>4.6284269693405635</v>
      </c>
      <c r="L210" s="35">
        <v>4.2437114523737831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4.0685548119233497</v>
      </c>
      <c r="J211" s="35">
        <v>4.0786937148940483</v>
      </c>
      <c r="K211" s="35">
        <v>4.2178540519655261</v>
      </c>
      <c r="L211" s="35">
        <v>3.8225531667168524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4.0482770059819533</v>
      </c>
      <c r="J212" s="35">
        <v>4.0584159089526519</v>
      </c>
      <c r="K212" s="35">
        <v>4.0126452650368734</v>
      </c>
      <c r="L212" s="35">
        <v>3.932560192713038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4.0616603579032757</v>
      </c>
      <c r="J213" s="35">
        <v>4.0717992608739735</v>
      </c>
      <c r="K213" s="35">
        <v>3.8894578554725889</v>
      </c>
      <c r="L213" s="35">
        <v>3.8416237277928333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4.0884270617459197</v>
      </c>
      <c r="J214" s="35">
        <v>4.0985659647166175</v>
      </c>
      <c r="K214" s="35">
        <v>3.8894578554725885</v>
      </c>
      <c r="L214" s="35">
        <v>3.8881960453678608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4.4774567687316233</v>
      </c>
      <c r="J215" s="35">
        <v>4.487595671702322</v>
      </c>
      <c r="K215" s="35">
        <v>3.9579125656213843</v>
      </c>
      <c r="L215" s="35">
        <v>4.1422359931747463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4.5037165274257331</v>
      </c>
      <c r="J216" s="35">
        <v>4.5138554303964318</v>
      </c>
      <c r="K216" s="35">
        <v>4.046820838938693</v>
      </c>
      <c r="L216" s="35">
        <v>4.2707113520024089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4.3831649711041267</v>
      </c>
      <c r="J217" s="35">
        <v>4.3933038740748254</v>
      </c>
      <c r="K217" s="35">
        <v>3.9783661287898973</v>
      </c>
      <c r="L217" s="35">
        <v>4.1664254943290171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4.3965483230254483</v>
      </c>
      <c r="J218" s="35">
        <v>4.4066872259961469</v>
      </c>
      <c r="K218" s="35">
        <v>4.334206346749446</v>
      </c>
      <c r="L218" s="35">
        <v>4.2599716149754085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4.8387058815776136</v>
      </c>
      <c r="J219" s="35">
        <v>4.8488447845483122</v>
      </c>
      <c r="K219" s="35">
        <v>4.9637100617864416</v>
      </c>
      <c r="L219" s="35">
        <v>4.4768741543711732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5.280863440129778</v>
      </c>
      <c r="J220" s="35">
        <v>5.2910023431004767</v>
      </c>
      <c r="K220" s="35">
        <v>5.4563561376984238</v>
      </c>
      <c r="L220" s="35">
        <v>4.8669173140620297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5.3476788107066815</v>
      </c>
      <c r="J221" s="35">
        <v>5.3578177136773801</v>
      </c>
      <c r="K221" s="35">
        <v>5.5605916380989733</v>
      </c>
      <c r="L221" s="35">
        <v>5.0192810599217097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4.9776088522761839</v>
      </c>
      <c r="J222" s="35">
        <v>4.9877477552468825</v>
      </c>
      <c r="K222" s="35">
        <v>5.0706381831610736</v>
      </c>
      <c r="L222" s="35">
        <v>4.6863492120847132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4.4812081628307814</v>
      </c>
      <c r="J223" s="35">
        <v>4.49134706580148</v>
      </c>
      <c r="K223" s="35">
        <v>4.6016561031174712</v>
      </c>
      <c r="L223" s="35">
        <v>4.2310646592391841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4.196406378383859</v>
      </c>
      <c r="J224" s="35">
        <v>4.2065452813545567</v>
      </c>
      <c r="K224" s="35">
        <v>4.1256835647757697</v>
      </c>
      <c r="L224" s="35">
        <v>4.0792027702499238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4.2100938973943025</v>
      </c>
      <c r="J225" s="35">
        <v>4.2202328003650011</v>
      </c>
      <c r="K225" s="35">
        <v>4.0066904301903445</v>
      </c>
      <c r="L225" s="35">
        <v>3.9886677908260566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4.2512578434553383</v>
      </c>
      <c r="J226" s="35">
        <v>4.2613967464260361</v>
      </c>
      <c r="K226" s="35">
        <v>3.9436727431622929</v>
      </c>
      <c r="L226" s="35">
        <v>4.0493924721469439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4.6735431521849335</v>
      </c>
      <c r="J227" s="35">
        <v>4.6836820551556322</v>
      </c>
      <c r="K227" s="35">
        <v>4.0976699504107934</v>
      </c>
      <c r="L227" s="35">
        <v>4.3363542306534182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4.6898667859677579</v>
      </c>
      <c r="J228" s="35">
        <v>4.7000056889384565</v>
      </c>
      <c r="K228" s="35">
        <v>4.174668554035045</v>
      </c>
      <c r="L228" s="35">
        <v>4.4549931948208368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4.552788817803914</v>
      </c>
      <c r="J229" s="35">
        <v>4.5629277207746126</v>
      </c>
      <c r="K229" s="35">
        <v>4.0347040445553208</v>
      </c>
      <c r="L229" s="35">
        <v>4.3343468031717345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4.5664763368143566</v>
      </c>
      <c r="J230" s="35">
        <v>4.5766152397850552</v>
      </c>
      <c r="K230" s="35">
        <v>4.4056643649077962</v>
      </c>
      <c r="L230" s="35">
        <v>4.4281940379403792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5.2243897505829873</v>
      </c>
      <c r="J231" s="35">
        <v>5.2345286535536859</v>
      </c>
      <c r="K231" s="35">
        <v>5.1966217760445987</v>
      </c>
      <c r="L231" s="35">
        <v>4.8586868613871319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5.5944597090134849</v>
      </c>
      <c r="J232" s="35">
        <v>5.6045986119841826</v>
      </c>
      <c r="K232" s="35">
        <v>5.7636256157793273</v>
      </c>
      <c r="L232" s="35">
        <v>5.1773659741041849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5.6672570323431009</v>
      </c>
      <c r="J233" s="35">
        <v>5.6773959353137995</v>
      </c>
      <c r="K233" s="35">
        <v>5.8744373250973467</v>
      </c>
      <c r="L233" s="35">
        <v>5.3355512596607451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5.1625424424617261</v>
      </c>
      <c r="J234" s="35">
        <v>5.1726813454324247</v>
      </c>
      <c r="K234" s="35">
        <v>5.2515098189778229</v>
      </c>
      <c r="L234" s="35">
        <v>4.8693262270400481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4.6301486474703442</v>
      </c>
      <c r="J235" s="35">
        <v>4.6402875504410428</v>
      </c>
      <c r="K235" s="35">
        <v>4.7144354969934748</v>
      </c>
      <c r="L235" s="35">
        <v>4.3785102077687439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4.307224587853594</v>
      </c>
      <c r="J236" s="35">
        <v>4.3173634908242926</v>
      </c>
      <c r="K236" s="35">
        <v>4.1344345829415392</v>
      </c>
      <c r="L236" s="35">
        <v>4.1889086821238584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4.2932329017540303</v>
      </c>
      <c r="J237" s="35">
        <v>4.3033718047247289</v>
      </c>
      <c r="K237" s="35">
        <v>4.0484778364612062</v>
      </c>
      <c r="L237" s="35">
        <v>4.0708719462009437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4.3353093490824293</v>
      </c>
      <c r="J238" s="35">
        <v>4.3454482520531279</v>
      </c>
      <c r="K238" s="35">
        <v>4.0412802534727916</v>
      </c>
      <c r="L238" s="35">
        <v>4.1326003412626715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4.6800320500861812</v>
      </c>
      <c r="J239" s="35">
        <v>4.6901709530568789</v>
      </c>
      <c r="K239" s="35">
        <v>4.084258626712959</v>
      </c>
      <c r="L239" s="35">
        <v>4.3427779985948005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4.755871044307006</v>
      </c>
      <c r="J240" s="35">
        <v>4.7660099472777047</v>
      </c>
      <c r="K240" s="35">
        <v>4.1773611750091266</v>
      </c>
      <c r="L240" s="35">
        <v>4.5203349593495936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4.5595818827942818</v>
      </c>
      <c r="J241" s="35">
        <v>4.5697207857649804</v>
      </c>
      <c r="K241" s="35">
        <v>4.0126452650368742</v>
      </c>
      <c r="L241" s="35">
        <v>4.341071685235371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4.6016583301226808</v>
      </c>
      <c r="J242" s="35">
        <v>4.6117972330933794</v>
      </c>
      <c r="K242" s="35">
        <v>4.3635662716014636</v>
      </c>
      <c r="L242" s="35">
        <v>4.4630229047475662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5.0223214143769646</v>
      </c>
      <c r="J243" s="35">
        <v>5.0324603173476632</v>
      </c>
      <c r="K243" s="35">
        <v>5.0581589205696513</v>
      </c>
      <c r="L243" s="35">
        <v>4.6586467128374984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5.4288914235019776</v>
      </c>
      <c r="J244" s="35">
        <v>5.4390303264726754</v>
      </c>
      <c r="K244" s="35">
        <v>5.5736922747613376</v>
      </c>
      <c r="L244" s="35">
        <v>5.0134595202248322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5.4966192953462434</v>
      </c>
      <c r="J245" s="35">
        <v>5.506758198316942</v>
      </c>
      <c r="K245" s="35">
        <v>5.628424974176828</v>
      </c>
      <c r="L245" s="35">
        <v>5.1667266084512695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4.9946422092669573</v>
      </c>
      <c r="J246" s="35">
        <v>5.004781112237656</v>
      </c>
      <c r="K246" s="35">
        <v>5.079026733118793</v>
      </c>
      <c r="L246" s="35">
        <v>4.7032116029308444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4.4966192953462434</v>
      </c>
      <c r="J247" s="35">
        <v>4.506758198316942</v>
      </c>
      <c r="K247" s="35">
        <v>4.5662377810737675</v>
      </c>
      <c r="L247" s="35">
        <v>4.2463211080999699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4.4782678809692795</v>
      </c>
      <c r="J248" s="35">
        <v>4.4884067839399782</v>
      </c>
      <c r="K248" s="35">
        <v>4.1560273319067793</v>
      </c>
      <c r="L248" s="35">
        <v>4.3582351902037537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4.4495747855622021</v>
      </c>
      <c r="J249" s="35">
        <v>4.4597136885328998</v>
      </c>
      <c r="K249" s="35">
        <v>4.1194180428937699</v>
      </c>
      <c r="L249" s="35">
        <v>4.2257449764127273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4.4782678809692795</v>
      </c>
      <c r="J250" s="35">
        <v>4.4884067839399782</v>
      </c>
      <c r="K250" s="35">
        <v>4.1413732600670592</v>
      </c>
      <c r="L250" s="35">
        <v>4.2741239787212688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4.870846203994728</v>
      </c>
      <c r="J251" s="35">
        <v>4.8809851069654266</v>
      </c>
      <c r="K251" s="35">
        <v>4.2073424739320862</v>
      </c>
      <c r="L251" s="35">
        <v>4.5316769246210979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4.8798698276386494</v>
      </c>
      <c r="J252" s="35">
        <v>4.890008730609348</v>
      </c>
      <c r="K252" s="35">
        <v>4.295163342625246</v>
      </c>
      <c r="L252" s="35">
        <v>4.643089149854462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4.7364043506032649</v>
      </c>
      <c r="J253" s="35">
        <v>4.7465432535739636</v>
      </c>
      <c r="K253" s="35">
        <v>4.1413732600670601</v>
      </c>
      <c r="L253" s="35">
        <v>4.5161193616380606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4.7508015928216567</v>
      </c>
      <c r="J254" s="35">
        <v>4.7609404957923553</v>
      </c>
      <c r="K254" s="35">
        <v>4.449056987528591</v>
      </c>
      <c r="L254" s="35">
        <v>4.6106691960252935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5.0807214954881887</v>
      </c>
      <c r="J255" s="35">
        <v>5.0908603984588865</v>
      </c>
      <c r="K255" s="35">
        <v>5.0643726612790729</v>
      </c>
      <c r="L255" s="35">
        <v>4.7164606243099465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5.5826985815674748</v>
      </c>
      <c r="J256" s="35">
        <v>5.5928374845381725</v>
      </c>
      <c r="K256" s="35">
        <v>5.7383046223884335</v>
      </c>
      <c r="L256" s="35">
        <v>5.1657228947104281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5.652657012065295</v>
      </c>
      <c r="J257" s="35">
        <v>5.6627959150359928</v>
      </c>
      <c r="K257" s="35">
        <v>5.9000690055237124</v>
      </c>
      <c r="L257" s="35">
        <v>5.3211981531667165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5.2418286636925888</v>
      </c>
      <c r="J258" s="35">
        <v>5.2519675666632875</v>
      </c>
      <c r="K258" s="35">
        <v>5.2855818305344853</v>
      </c>
      <c r="L258" s="35">
        <v>4.947917012947908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4.8239030832403937</v>
      </c>
      <c r="J259" s="35">
        <v>4.8340419862110915</v>
      </c>
      <c r="K259" s="35">
        <v>4.9183497546076635</v>
      </c>
      <c r="L259" s="35">
        <v>4.5703199036434805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4.4494733965324951</v>
      </c>
      <c r="J260" s="35">
        <v>4.4596122995031937</v>
      </c>
      <c r="K260" s="35">
        <v>4.191445653950483</v>
      </c>
      <c r="L260" s="35">
        <v>4.3297297199638658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4.4494733965324951</v>
      </c>
      <c r="J261" s="35">
        <v>4.4596122995031937</v>
      </c>
      <c r="K261" s="35">
        <v>4.0640639694073375</v>
      </c>
      <c r="L261" s="35">
        <v>4.225544233664559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4.4934762354253275</v>
      </c>
      <c r="J262" s="35">
        <v>4.5036151383960252</v>
      </c>
      <c r="K262" s="35">
        <v>4.0640121882347593</v>
      </c>
      <c r="L262" s="35">
        <v>4.2892800562079696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4.9213379407888063</v>
      </c>
      <c r="J263" s="35">
        <v>4.9314768437595049</v>
      </c>
      <c r="K263" s="35">
        <v>4.1464478149797541</v>
      </c>
      <c r="L263" s="35">
        <v>4.581762240289069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4.9190059931055456</v>
      </c>
      <c r="J264" s="35">
        <v>4.9291448960762443</v>
      </c>
      <c r="K264" s="35">
        <v>4.2139186828495578</v>
      </c>
      <c r="L264" s="35">
        <v>4.6818325002509287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4.8162989060123698</v>
      </c>
      <c r="J265" s="35">
        <v>4.8264378089830684</v>
      </c>
      <c r="K265" s="35">
        <v>4.0790287282825286</v>
      </c>
      <c r="L265" s="35">
        <v>4.5952120044163403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4.8603017449052013</v>
      </c>
      <c r="J266" s="35">
        <v>4.870440647875899</v>
      </c>
      <c r="K266" s="35">
        <v>4.4087194540899279</v>
      </c>
      <c r="L266" s="35">
        <v>4.7190702800361333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5.2858315025854203</v>
      </c>
      <c r="J267" s="35">
        <v>5.295970405556119</v>
      </c>
      <c r="K267" s="35">
        <v>5.2555487504389466</v>
      </c>
      <c r="L267" s="35">
        <v>4.9195119140821033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5.7700655084659846</v>
      </c>
      <c r="J268" s="35">
        <v>5.7802044114366824</v>
      </c>
      <c r="K268" s="35">
        <v>5.9150337643989026</v>
      </c>
      <c r="L268" s="35">
        <v>5.3512091940178665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5.8429642208253076</v>
      </c>
      <c r="J269" s="35">
        <v>5.8531031237960054</v>
      </c>
      <c r="K269" s="35">
        <v>6.1351555290301665</v>
      </c>
      <c r="L269" s="35">
        <v>5.5095952223225932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5.5427513038629224</v>
      </c>
      <c r="J270" s="35">
        <v>5.552890206833621</v>
      </c>
      <c r="K270" s="35">
        <v>5.5678927834325442</v>
      </c>
      <c r="L270" s="35">
        <v>5.2458192512295492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4.9536810412653356</v>
      </c>
      <c r="J271" s="35">
        <v>4.9638199442360333</v>
      </c>
      <c r="K271" s="35">
        <v>5.0235690972872042</v>
      </c>
      <c r="L271" s="35">
        <v>4.6987952624711431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4.6121014001825005</v>
      </c>
      <c r="J272" s="35">
        <v>4.6222403031531991</v>
      </c>
      <c r="K272" s="35">
        <v>4.3105941320536427</v>
      </c>
      <c r="L272" s="35">
        <v>4.4907254039947802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4.5970958237858666</v>
      </c>
      <c r="J273" s="35">
        <v>4.6072347267565643</v>
      </c>
      <c r="K273" s="35">
        <v>4.233957996637443</v>
      </c>
      <c r="L273" s="35">
        <v>4.371684954331025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4.5820902473892327</v>
      </c>
      <c r="J274" s="35">
        <v>4.5922291503599304</v>
      </c>
      <c r="K274" s="35">
        <v>4.2186307695542027</v>
      </c>
      <c r="L274" s="35">
        <v>4.3769042657833985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4.9567227121565445</v>
      </c>
      <c r="J275" s="35">
        <v>4.9668616151272431</v>
      </c>
      <c r="K275" s="35">
        <v>4.287603291428784</v>
      </c>
      <c r="L275" s="35">
        <v>4.6166914784703401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4.9573310463347875</v>
      </c>
      <c r="J276" s="35">
        <v>4.9674699493054852</v>
      </c>
      <c r="K276" s="35">
        <v>4.3565758133033636</v>
      </c>
      <c r="L276" s="35">
        <v>4.7197728796547223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4.882303164351617</v>
      </c>
      <c r="J277" s="35">
        <v>4.8924420673223157</v>
      </c>
      <c r="K277" s="35">
        <v>4.1879245342151439</v>
      </c>
      <c r="L277" s="35">
        <v>4.6605537689450962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4.9273198935415188</v>
      </c>
      <c r="J278" s="35">
        <v>4.9374587965122174</v>
      </c>
      <c r="K278" s="35">
        <v>4.4639699652312022</v>
      </c>
      <c r="L278" s="35">
        <v>4.7854157583057315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5.3326732343100476</v>
      </c>
      <c r="J279" s="35">
        <v>5.3428121372807462</v>
      </c>
      <c r="K279" s="35">
        <v>5.3148899742139246</v>
      </c>
      <c r="L279" s="35">
        <v>4.9658834889089629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5.6779028804623337</v>
      </c>
      <c r="J280" s="35">
        <v>5.6880417834330324</v>
      </c>
      <c r="K280" s="35">
        <v>5.8285592061927831</v>
      </c>
      <c r="L280" s="35">
        <v>5.2599716149754085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5.7473543658116188</v>
      </c>
      <c r="J281" s="35">
        <v>5.7574932687823175</v>
      </c>
      <c r="K281" s="35">
        <v>6.0408102325921131</v>
      </c>
      <c r="L281" s="35">
        <v>5.4148446451871921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5.6090597292912907</v>
      </c>
      <c r="J282" s="35">
        <v>5.6191986322619893</v>
      </c>
      <c r="K282" s="35">
        <v>5.5780936744305114</v>
      </c>
      <c r="L282" s="35">
        <v>5.3114621298805575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5.0253630852681743</v>
      </c>
      <c r="J283" s="35">
        <v>5.035501988238873</v>
      </c>
      <c r="K283" s="35">
        <v>5.1310668115601992</v>
      </c>
      <c r="L283" s="35">
        <v>4.76975782394861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4.7799002443475613</v>
      </c>
      <c r="J284" s="35">
        <v>4.79003914731826</v>
      </c>
      <c r="K284" s="35">
        <v>4.370349605209249</v>
      </c>
      <c r="L284" s="35">
        <v>4.6568400281039848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4.7491793683463452</v>
      </c>
      <c r="J285" s="35">
        <v>4.7593182713170439</v>
      </c>
      <c r="K285" s="35">
        <v>4.2762114334615102</v>
      </c>
      <c r="L285" s="35">
        <v>4.5222420154571914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4.7952099878333163</v>
      </c>
      <c r="J286" s="35">
        <v>4.8053488908040149</v>
      </c>
      <c r="K286" s="35">
        <v>4.3075390428715119</v>
      </c>
      <c r="L286" s="35">
        <v>4.5879852654822848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5.2367592122072395</v>
      </c>
      <c r="J287" s="35">
        <v>5.2468981151779381</v>
      </c>
      <c r="K287" s="35">
        <v>4.3860393005005385</v>
      </c>
      <c r="L287" s="35">
        <v>4.8939172136906546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5.2252008628206434</v>
      </c>
      <c r="J288" s="35">
        <v>5.2353397657913412</v>
      </c>
      <c r="K288" s="35">
        <v>4.4487463004931191</v>
      </c>
      <c r="L288" s="35">
        <v>4.9849540499849443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5.1637591108182095</v>
      </c>
      <c r="J289" s="35">
        <v>5.1738980137889081</v>
      </c>
      <c r="K289" s="35">
        <v>4.3781685622686046</v>
      </c>
      <c r="L289" s="35">
        <v>4.9391847034025895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5.1944799868194265</v>
      </c>
      <c r="J290" s="35">
        <v>5.2046188897901242</v>
      </c>
      <c r="K290" s="35">
        <v>4.6447898198753741</v>
      </c>
      <c r="L290" s="35">
        <v>5.0498943290173637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5.5783388532900746</v>
      </c>
      <c r="J291" s="35">
        <v>5.5884777562607724</v>
      </c>
      <c r="K291" s="35">
        <v>5.5780418932579332</v>
      </c>
      <c r="L291" s="35">
        <v>5.2090833283147644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5.9622991087904289</v>
      </c>
      <c r="J292" s="35">
        <v>5.9724380117611267</v>
      </c>
      <c r="K292" s="35">
        <v>6.0643188849427592</v>
      </c>
      <c r="L292" s="35">
        <v>5.5415133192813402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6.0211047460204812</v>
      </c>
      <c r="J293" s="35">
        <v>6.0312436489911798</v>
      </c>
      <c r="K293" s="35">
        <v>6.059192548857486</v>
      </c>
      <c r="L293" s="35">
        <v>5.6859477265883767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5.989674146811315</v>
      </c>
      <c r="J294" s="35">
        <v>5.9998130497820137</v>
      </c>
      <c r="K294" s="35">
        <v>5.8024097140406345</v>
      </c>
      <c r="L294" s="35">
        <v>5.688256268192311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5.4903331755044107</v>
      </c>
      <c r="J295" s="35">
        <v>5.5004720784751093</v>
      </c>
      <c r="K295" s="35">
        <v>5.5777829873950413</v>
      </c>
      <c r="L295" s="35">
        <v>5.2300609454983435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5.0000158278414277</v>
      </c>
      <c r="J296" s="35">
        <v>5.0101547308121264</v>
      </c>
      <c r="K296" s="35">
        <v>4.5107283640696005</v>
      </c>
      <c r="L296" s="35">
        <v>4.87474628124059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5.0000158278414277</v>
      </c>
      <c r="J297" s="35">
        <v>5.0101547308121264</v>
      </c>
      <c r="K297" s="35">
        <v>4.5267805275689392</v>
      </c>
      <c r="L297" s="35">
        <v>4.7706611663153664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5.1257382246780896</v>
      </c>
      <c r="J298" s="35">
        <v>5.1358771276487882</v>
      </c>
      <c r="K298" s="35">
        <v>4.5428326910682797</v>
      </c>
      <c r="L298" s="35">
        <v>4.9150955736224029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5.5115234827131712</v>
      </c>
      <c r="J299" s="35">
        <v>5.5216623856838689</v>
      </c>
      <c r="K299" s="35">
        <v>4.6150156456427283</v>
      </c>
      <c r="L299" s="35">
        <v>5.1659236374585964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5.518417936733246</v>
      </c>
      <c r="J300" s="35">
        <v>5.5285568397039446</v>
      </c>
      <c r="K300" s="35">
        <v>4.6952764631394244</v>
      </c>
      <c r="L300" s="35">
        <v>5.2752280638361935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5.4242275281354564</v>
      </c>
      <c r="J301" s="35">
        <v>5.4343664311061541</v>
      </c>
      <c r="K301" s="35">
        <v>4.7032507637165164</v>
      </c>
      <c r="L301" s="35">
        <v>5.1970387634246711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5.4712720379194977</v>
      </c>
      <c r="J302" s="35">
        <v>5.4814109408901963</v>
      </c>
      <c r="K302" s="35">
        <v>4.9519557356111186</v>
      </c>
      <c r="L302" s="35">
        <v>5.3239081802669874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5.8954837382135263</v>
      </c>
      <c r="J303" s="35">
        <v>5.9056226411842241</v>
      </c>
      <c r="K303" s="35">
        <v>5.9307752408627712</v>
      </c>
      <c r="L303" s="35">
        <v>5.5230449864498645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6.2254036408800566</v>
      </c>
      <c r="J304" s="35">
        <v>6.2355425438507552</v>
      </c>
      <c r="K304" s="35">
        <v>6.3159236025017584</v>
      </c>
      <c r="L304" s="35">
        <v>5.8019770350296094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6.3527482621920308</v>
      </c>
      <c r="J305" s="35">
        <v>6.3628871651627295</v>
      </c>
      <c r="K305" s="35">
        <v>6.2721685116729136</v>
      </c>
      <c r="L305" s="35">
        <v>6.0141621198434203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6.1920466501064588</v>
      </c>
      <c r="J306" s="35">
        <v>6.2021855530771575</v>
      </c>
      <c r="K306" s="35">
        <v>5.6648271384995219</v>
      </c>
      <c r="L306" s="35">
        <v>5.8884971594901128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5.652555623035588</v>
      </c>
      <c r="J307" s="35">
        <v>5.6626945260062866</v>
      </c>
      <c r="K307" s="35">
        <v>5.4103744564487046</v>
      </c>
      <c r="L307" s="35">
        <v>5.3906551440329213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5.3885385896785971</v>
      </c>
      <c r="J308" s="35">
        <v>5.3986774926492958</v>
      </c>
      <c r="K308" s="35">
        <v>4.8029813021027339</v>
      </c>
      <c r="L308" s="35">
        <v>5.2592690153568196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5.3885385896785971</v>
      </c>
      <c r="J309" s="35">
        <v>5.3986774926492958</v>
      </c>
      <c r="K309" s="35">
        <v>4.8276291402501075</v>
      </c>
      <c r="L309" s="35">
        <v>5.155183900431596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5.4688387012065292</v>
      </c>
      <c r="J310" s="35">
        <v>5.4789776041772278</v>
      </c>
      <c r="K310" s="35">
        <v>4.8358623466900905</v>
      </c>
      <c r="L310" s="35">
        <v>5.254752303523035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5.9246837787691371</v>
      </c>
      <c r="J311" s="35">
        <v>5.9348226817398357</v>
      </c>
      <c r="K311" s="35">
        <v>4.934350136934424</v>
      </c>
      <c r="L311" s="35">
        <v>5.5749369868513501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5.9188032150461325</v>
      </c>
      <c r="J312" s="35">
        <v>5.9289421180168311</v>
      </c>
      <c r="K312" s="35">
        <v>5.0081900890313857</v>
      </c>
      <c r="L312" s="35">
        <v>5.671594620094349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5.7581016029605596</v>
      </c>
      <c r="J313" s="35">
        <v>5.7682405059312583</v>
      </c>
      <c r="K313" s="35">
        <v>4.9753608256166082</v>
      </c>
      <c r="L313" s="35">
        <v>5.5275616982836491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5.8385031035181996</v>
      </c>
      <c r="J314" s="35">
        <v>5.8486420064888982</v>
      </c>
      <c r="K314" s="35">
        <v>5.2872906092295757</v>
      </c>
      <c r="L314" s="35">
        <v>5.6874532971996388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6.2884676173578029</v>
      </c>
      <c r="J315" s="35">
        <v>6.2986065203285007</v>
      </c>
      <c r="K315" s="35">
        <v>6.3624230954772631</v>
      </c>
      <c r="L315" s="35">
        <v>5.9120844323998796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6.6580306306397654</v>
      </c>
      <c r="J316" s="35">
        <v>6.6681695336104632</v>
      </c>
      <c r="K316" s="35">
        <v>6.7317781994798054</v>
      </c>
      <c r="L316" s="35">
        <v>6.2302616882465118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6.7227168315928214</v>
      </c>
      <c r="J317" s="35">
        <v>6.73285573456352</v>
      </c>
      <c r="K317" s="35">
        <v>6.7035574604245145</v>
      </c>
      <c r="L317" s="35">
        <v>6.3804172638763417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6.6405917175301639</v>
      </c>
      <c r="J318" s="35">
        <v>6.6507306205008616</v>
      </c>
      <c r="K318" s="35">
        <v>6.4686780616083759</v>
      </c>
      <c r="L318" s="35">
        <v>6.3325401184382208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6.0597339663388423</v>
      </c>
      <c r="J319" s="35">
        <v>6.069872869309541</v>
      </c>
      <c r="K319" s="35">
        <v>5.7220971153713593</v>
      </c>
      <c r="L319" s="35">
        <v>5.7937465823547125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5.7536404856534524</v>
      </c>
      <c r="J320" s="35">
        <v>5.7637793886241502</v>
      </c>
      <c r="K320" s="35">
        <v>5.2104473491230614</v>
      </c>
      <c r="L320" s="35">
        <v>5.620806704807789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5.7372154628409211</v>
      </c>
      <c r="J321" s="35">
        <v>5.7473543658116188</v>
      </c>
      <c r="K321" s="35">
        <v>5.185281699249904</v>
      </c>
      <c r="L321" s="35">
        <v>5.500361055906855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5.8029155540910473</v>
      </c>
      <c r="J322" s="35">
        <v>5.8130544570617459</v>
      </c>
      <c r="K322" s="35">
        <v>5.2020587991653429</v>
      </c>
      <c r="L322" s="35">
        <v>5.5854759811301813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6.2658578637331441</v>
      </c>
      <c r="J323" s="35">
        <v>6.2759967667038428</v>
      </c>
      <c r="K323" s="35">
        <v>5.2775557487848159</v>
      </c>
      <c r="L323" s="35">
        <v>5.9126866606443844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6.2628161928419344</v>
      </c>
      <c r="J324" s="35">
        <v>6.272955095812633</v>
      </c>
      <c r="K324" s="35">
        <v>5.3362238173162719</v>
      </c>
      <c r="L324" s="35">
        <v>6.0121546923617384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6.0821409419040862</v>
      </c>
      <c r="J325" s="35">
        <v>6.0922798448747848</v>
      </c>
      <c r="K325" s="35">
        <v>5.2942810675276757</v>
      </c>
      <c r="L325" s="35">
        <v>5.8483486098564681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6.1478410331542133</v>
      </c>
      <c r="J326" s="35">
        <v>6.1579799361249119</v>
      </c>
      <c r="K326" s="35">
        <v>5.4284978668511847</v>
      </c>
      <c r="L326" s="35">
        <v>5.993686359530261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6.3942163753421877</v>
      </c>
      <c r="J327" s="35">
        <v>6.4043552783128863</v>
      </c>
      <c r="K327" s="35">
        <v>6.3260727123271474</v>
      </c>
      <c r="L327" s="35">
        <v>6.016771775569608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6.8868656706884313</v>
      </c>
      <c r="J328" s="35">
        <v>6.8970045736591299</v>
      </c>
      <c r="K328" s="35">
        <v>6.7622773101285505</v>
      </c>
      <c r="L328" s="35">
        <v>6.4567998795543504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7.0386450481597898</v>
      </c>
      <c r="J329" s="35">
        <v>7.0487839511304875</v>
      </c>
      <c r="K329" s="35">
        <v>6.7650217122752112</v>
      </c>
      <c r="L329" s="35">
        <v>6.6932748368965163</v>
      </c>
      <c r="M329" s="104">
        <f t="shared" ref="M329:M340" si="13">YEAR(H329)</f>
        <v>2042</v>
      </c>
    </row>
    <row r="330" spans="8:15">
      <c r="H330" s="31">
        <v>51898</v>
      </c>
      <c r="I330" s="35">
        <v>6.870846203994728</v>
      </c>
      <c r="J330" s="35">
        <v>6.8809851069654266</v>
      </c>
      <c r="K330" s="35">
        <v>6.4307742432809025</v>
      </c>
      <c r="L330" s="35">
        <v>6.5604835089832374</v>
      </c>
      <c r="M330" s="104">
        <f t="shared" si="13"/>
        <v>2042</v>
      </c>
    </row>
    <row r="331" spans="8:15">
      <c r="H331" s="31">
        <v>51926</v>
      </c>
      <c r="I331" s="35">
        <v>6.2134397353746325</v>
      </c>
      <c r="J331" s="35">
        <v>6.2235786383453311</v>
      </c>
      <c r="K331" s="35">
        <v>5.8563656958674466</v>
      </c>
      <c r="L331" s="35">
        <v>5.9459095854662252</v>
      </c>
      <c r="M331" s="104">
        <f t="shared" si="13"/>
        <v>2042</v>
      </c>
    </row>
    <row r="332" spans="8:15">
      <c r="H332" s="31">
        <v>51957</v>
      </c>
      <c r="I332" s="35">
        <v>6.0483783950116594</v>
      </c>
      <c r="J332" s="35">
        <v>6.0585172979823581</v>
      </c>
      <c r="K332" s="35">
        <v>5.4019859064909852</v>
      </c>
      <c r="L332" s="35">
        <v>5.9124859178962152</v>
      </c>
      <c r="M332" s="104">
        <f t="shared" si="13"/>
        <v>2042</v>
      </c>
    </row>
    <row r="333" spans="8:15">
      <c r="H333" s="31">
        <v>51987</v>
      </c>
      <c r="I333" s="35">
        <v>6.0819381638446721</v>
      </c>
      <c r="J333" s="35">
        <v>6.0920770668153708</v>
      </c>
      <c r="K333" s="35">
        <v>5.4191254746144732</v>
      </c>
      <c r="L333" s="35">
        <v>5.8416237277928333</v>
      </c>
      <c r="M333" s="104">
        <f t="shared" si="13"/>
        <v>2042</v>
      </c>
    </row>
    <row r="334" spans="8:15">
      <c r="H334" s="31">
        <v>52018</v>
      </c>
      <c r="I334" s="35">
        <v>6.1490577015106966</v>
      </c>
      <c r="J334" s="35">
        <v>6.1591966044813953</v>
      </c>
      <c r="K334" s="35">
        <v>5.4448607173859953</v>
      </c>
      <c r="L334" s="35">
        <v>5.9281438522533367</v>
      </c>
      <c r="M334" s="104">
        <f t="shared" si="13"/>
        <v>2042</v>
      </c>
    </row>
    <row r="335" spans="8:15">
      <c r="H335" s="31">
        <v>52048</v>
      </c>
      <c r="I335" s="35">
        <v>6.6694875909966544</v>
      </c>
      <c r="J335" s="35">
        <v>6.6796264939673531</v>
      </c>
      <c r="K335" s="35">
        <v>5.5820290435464788</v>
      </c>
      <c r="L335" s="35">
        <v>6.3123654722473157</v>
      </c>
      <c r="M335" s="104">
        <f t="shared" si="13"/>
        <v>2042</v>
      </c>
    </row>
    <row r="336" spans="8:15">
      <c r="H336" s="31">
        <v>52079</v>
      </c>
      <c r="I336" s="35">
        <v>6.6693862019669474</v>
      </c>
      <c r="J336" s="35">
        <v>6.6795251049376452</v>
      </c>
      <c r="K336" s="35">
        <v>5.6420434225649769</v>
      </c>
      <c r="L336" s="35">
        <v>6.4146439024390238</v>
      </c>
      <c r="M336" s="104">
        <f t="shared" si="13"/>
        <v>2042</v>
      </c>
    </row>
    <row r="337" spans="8:13">
      <c r="H337" s="31">
        <v>52110</v>
      </c>
      <c r="I337" s="35">
        <v>6.5183165477035381</v>
      </c>
      <c r="J337" s="35">
        <v>6.5284554506742367</v>
      </c>
      <c r="K337" s="35">
        <v>5.5991686116699668</v>
      </c>
      <c r="L337" s="35">
        <v>6.2801462611663146</v>
      </c>
      <c r="M337" s="104">
        <f t="shared" si="13"/>
        <v>2042</v>
      </c>
    </row>
    <row r="338" spans="8:13">
      <c r="H338" s="31">
        <v>52140</v>
      </c>
      <c r="I338" s="35">
        <v>6.5854360853695635</v>
      </c>
      <c r="J338" s="35">
        <v>6.5955749883402612</v>
      </c>
      <c r="K338" s="35">
        <v>5.8392261277439585</v>
      </c>
      <c r="L338" s="35">
        <v>6.4268892100772854</v>
      </c>
      <c r="M338" s="104">
        <f t="shared" si="13"/>
        <v>2042</v>
      </c>
    </row>
    <row r="339" spans="8:13">
      <c r="H339" s="31">
        <v>52171</v>
      </c>
      <c r="I339" s="35">
        <v>7.1394257436885331</v>
      </c>
      <c r="J339" s="35">
        <v>7.1495646466592317</v>
      </c>
      <c r="K339" s="35">
        <v>6.7993526296947655</v>
      </c>
      <c r="L339" s="35">
        <v>6.7545013750878242</v>
      </c>
      <c r="M339" s="104">
        <f t="shared" si="13"/>
        <v>2042</v>
      </c>
    </row>
    <row r="340" spans="8:13">
      <c r="H340" s="31">
        <v>52201</v>
      </c>
      <c r="I340" s="35">
        <v>7.4918540109500151</v>
      </c>
      <c r="J340" s="35">
        <v>7.5019929139207138</v>
      </c>
      <c r="K340" s="35">
        <v>7.1936662588801505</v>
      </c>
      <c r="L340" s="35">
        <v>7.0557158687142429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04" t="s">
        <v>158</v>
      </c>
      <c r="C1" s="404"/>
      <c r="D1" s="404"/>
      <c r="E1" s="404"/>
      <c r="F1" s="404"/>
      <c r="G1" s="404"/>
      <c r="H1" s="404"/>
      <c r="I1" s="404"/>
      <c r="J1" s="404"/>
      <c r="K1" s="404"/>
      <c r="M1" s="358"/>
    </row>
    <row r="2" spans="1:14">
      <c r="B2" s="165"/>
      <c r="C2" s="165"/>
      <c r="D2" s="165"/>
      <c r="E2" s="165"/>
      <c r="F2" s="165"/>
      <c r="G2" s="165"/>
      <c r="H2" s="165"/>
      <c r="I2" s="165"/>
      <c r="J2" s="165"/>
      <c r="K2" s="165"/>
      <c r="M2" s="165"/>
    </row>
    <row r="3" spans="1:14">
      <c r="A3" s="355" t="s">
        <v>102</v>
      </c>
      <c r="B3" s="356">
        <v>2024</v>
      </c>
      <c r="C3" s="356">
        <v>2030</v>
      </c>
      <c r="D3" s="356">
        <v>2024</v>
      </c>
      <c r="E3" s="356">
        <v>2024</v>
      </c>
      <c r="F3" s="356">
        <v>2024</v>
      </c>
      <c r="G3" s="356">
        <v>2024</v>
      </c>
      <c r="H3" s="356">
        <v>2029</v>
      </c>
      <c r="I3" s="356">
        <v>2024</v>
      </c>
      <c r="J3" s="356">
        <v>2030</v>
      </c>
      <c r="K3" s="356">
        <v>2026</v>
      </c>
      <c r="L3" s="356">
        <v>2029</v>
      </c>
      <c r="M3" s="356">
        <v>2032</v>
      </c>
    </row>
    <row r="4" spans="1:14" ht="51">
      <c r="B4" s="212" t="s">
        <v>157</v>
      </c>
      <c r="C4" s="212" t="s">
        <v>166</v>
      </c>
      <c r="D4" s="212" t="s">
        <v>165</v>
      </c>
      <c r="E4" s="212" t="s">
        <v>164</v>
      </c>
      <c r="F4" s="212" t="s">
        <v>162</v>
      </c>
      <c r="G4" s="212" t="s">
        <v>163</v>
      </c>
      <c r="H4" s="212" t="s">
        <v>163</v>
      </c>
      <c r="I4" s="212" t="s">
        <v>161</v>
      </c>
      <c r="J4" s="212" t="s">
        <v>161</v>
      </c>
      <c r="K4" s="212" t="s">
        <v>167</v>
      </c>
      <c r="L4" s="212" t="s">
        <v>172</v>
      </c>
      <c r="M4" s="212" t="s">
        <v>171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WYAE Wind_2024'!$J$10:$J$36,MATCH($A11,'Table 3 WYAE Wind_2024'!$B$10:$B$36,0),1)</f>
        <v>43.795627401653867</v>
      </c>
      <c r="C11" s="130"/>
      <c r="D11" s="130">
        <f>INDEX('Table 3 PV wS YK_2024'!$I$10:$I$33,MATCH($A11,'Table 3 PV wS YK_2024'!$B$10:$B$33,0),1)</f>
        <v>41.313858991533067</v>
      </c>
      <c r="E11" s="130">
        <f>INDEX('Table 3 PV wS SO_2024'!$I$10:$I$33,MATCH($A11,'Table 3 PV wS SO_2024'!$B$10:$B$33,0),1)</f>
        <v>36.045245201634806</v>
      </c>
      <c r="F11" s="130">
        <f>INDEX('Table 3 PV wS UTN_2024'!$I$10:$I$33,MATCH($A11,'Table 3 PV wS UTN_2024'!$B$10:$B$33,0),1)</f>
        <v>35.262348618903602</v>
      </c>
      <c r="G11" s="130">
        <f>INDEX('Table 3 PV wS JB_2024'!$I$10:$I$33,MATCH($A11,'Table 3 PV wS JB_2024'!$B$10:$B$33,0),1)</f>
        <v>34.243515764468007</v>
      </c>
      <c r="H11" s="130"/>
      <c r="I11" s="130">
        <f>INDEX('Table 3 PV wS UTS_2024'!$I$10:$I$36,MATCH($A11,'Table 3 PV wS UTS_2024'!$B$10:$B$36,0),1)</f>
        <v>32.278512108421658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WYAE Wind_2024'!$J$10:$J$36,MATCH($A12,'Table 3 WYAE Wind_2024'!$B$10:$B$36,0),1)</f>
        <v>44.8033723800148</v>
      </c>
      <c r="C12" s="130"/>
      <c r="D12" s="130">
        <f>INDEX('Table 3 PV wS YK_2024'!$I$10:$I$33,MATCH($A12,'Table 3 PV wS YK_2024'!$B$10:$B$33,0),1)</f>
        <v>42.263786441868632</v>
      </c>
      <c r="E12" s="130">
        <f>INDEX('Table 3 PV wS SO_2024'!$I$10:$I$33,MATCH($A12,'Table 3 PV wS SO_2024'!$B$10:$B$33,0),1)</f>
        <v>36.875605368756055</v>
      </c>
      <c r="F12" s="130">
        <f>INDEX('Table 3 PV wS UTN_2024'!$I$10:$I$33,MATCH($A12,'Table 3 PV wS UTN_2024'!$B$10:$B$33,0),1)</f>
        <v>36.074576374034805</v>
      </c>
      <c r="G12" s="130">
        <f>INDEX('Table 3 PV wS JB_2024'!$I$10:$I$33,MATCH($A12,'Table 3 PV wS JB_2024'!$B$10:$B$33,0),1)</f>
        <v>35.031629727392712</v>
      </c>
      <c r="H12" s="130"/>
      <c r="I12" s="130">
        <f>INDEX('Table 3 PV wS UTS_2024'!$I$10:$I$36,MATCH($A12,'Table 3 PV wS UTS_2024'!$B$10:$B$36,0),1)</f>
        <v>33.020723568668778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WYAE Wind_2024'!$J$10:$J$36,MATCH($A13,'Table 3 WYAE Wind_2024'!$B$10:$B$36,0),1)</f>
        <v>45.829695071076486</v>
      </c>
      <c r="C13" s="130"/>
      <c r="D13" s="130">
        <f>INDEX('Table 3 PV wS YK_2024'!$I$10:$I$33,MATCH($A13,'Table 3 PV wS YK_2024'!$B$10:$B$33,0),1)</f>
        <v>43.238496663154194</v>
      </c>
      <c r="E13" s="130">
        <f>INDEX('Table 3 PV wS SO_2024'!$I$10:$I$33,MATCH($A13,'Table 3 PV wS SO_2024'!$B$10:$B$33,0),1)</f>
        <v>37.725043432805997</v>
      </c>
      <c r="F13" s="130">
        <f>INDEX('Table 3 PV wS UTN_2024'!$I$10:$I$33,MATCH($A13,'Table 3 PV wS UTN_2024'!$B$10:$B$33,0),1)</f>
        <v>36.905141158087957</v>
      </c>
      <c r="G13" s="130">
        <f>INDEX('Table 3 PV wS JB_2024'!$I$10:$I$33,MATCH($A13,'Table 3 PV wS JB_2024'!$B$10:$B$33,0),1)</f>
        <v>35.839439311882771</v>
      </c>
      <c r="H13" s="130"/>
      <c r="I13" s="130">
        <f>INDEX('Table 3 PV wS UTS_2024'!$I$10:$I$36,MATCH($A13,'Table 3 PV wS UTS_2024'!$B$10:$B$36,0),1)</f>
        <v>33.782929399367745</v>
      </c>
      <c r="J13" s="130"/>
      <c r="K13" s="130">
        <f>INDEX('Table 3 185 MW (NTN) 2026)'!$K$14:$K$41,MATCH($A13,'Table 3 185 MW (NTN) 2026)'!$B$14:$B$41,0),1)</f>
        <v>73.239999999999995</v>
      </c>
      <c r="L13" s="130"/>
      <c r="M13" s="130"/>
      <c r="N13" t="s">
        <v>168</v>
      </c>
    </row>
    <row r="14" spans="1:14">
      <c r="A14" s="135">
        <f t="shared" si="0"/>
        <v>2027</v>
      </c>
      <c r="B14" s="130">
        <f>INDEX('Table 3 WYAE Wind_2024'!$J$10:$J$36,MATCH($A14,'Table 3 WYAE Wind_2024'!$B$10:$B$36,0),1)</f>
        <v>47.882254705849491</v>
      </c>
      <c r="C14" s="130"/>
      <c r="D14" s="130">
        <f>INDEX('Table 3 PV wS YK_2024'!$I$10:$I$33,MATCH($A14,'Table 3 PV wS YK_2024'!$B$10:$B$33,0),1)</f>
        <v>44.235159817351601</v>
      </c>
      <c r="E14" s="130">
        <f>INDEX('Table 3 PV wS SO_2024'!$I$10:$I$33,MATCH($A14,'Table 3 PV wS SO_2024'!$B$10:$B$33,0),1)</f>
        <v>38.593699552603667</v>
      </c>
      <c r="F14" s="130">
        <f>INDEX('Table 3 PV wS UTN_2024'!$I$10:$I$33,MATCH($A14,'Table 3 PV wS UTN_2024'!$B$10:$B$33,0),1)</f>
        <v>37.754668608443701</v>
      </c>
      <c r="G14" s="130">
        <f>INDEX('Table 3 PV wS JB_2024'!$I$10:$I$33,MATCH($A14,'Table 3 PV wS JB_2024'!$B$10:$B$33,0),1)</f>
        <v>36.662419029414885</v>
      </c>
      <c r="H14" s="130"/>
      <c r="I14" s="130">
        <f>INDEX('Table 3 PV wS UTS_2024'!$I$10:$I$36,MATCH($A14,'Table 3 PV wS UTS_2024'!$B$10:$B$36,0),1)</f>
        <v>34.562697576396204</v>
      </c>
      <c r="J14" s="130"/>
      <c r="K14" s="130">
        <f>INDEX('Table 3 185 MW (NTN) 2026)'!$K$14:$K$41,MATCH($A14,'Table 3 185 MW (NTN) 2026)'!$B$14:$B$41,0),1)</f>
        <v>75.12</v>
      </c>
      <c r="L14" s="130"/>
      <c r="M14" s="130"/>
      <c r="N14" s="281">
        <v>2.2750000000000006E-2</v>
      </c>
    </row>
    <row r="15" spans="1:14">
      <c r="A15" s="135">
        <f t="shared" si="0"/>
        <v>2028</v>
      </c>
      <c r="B15" s="130">
        <f>INDEX('Table 3 WYAE Wind_2024'!$J$10:$J$36,MATCH($A15,'Table 3 WYAE Wind_2024'!$B$10:$B$36,0),1)</f>
        <v>48.960942191012805</v>
      </c>
      <c r="C15" s="130"/>
      <c r="D15" s="130">
        <f>INDEX('Table 3 PV wS YK_2024'!$I$10:$I$33,MATCH($A15,'Table 3 PV wS YK_2024'!$B$10:$B$33,0),1)</f>
        <v>45.253775904460838</v>
      </c>
      <c r="E15" s="130">
        <f>INDEX('Table 3 PV wS SO_2024'!$I$10:$I$33,MATCH($A15,'Table 3 PV wS SO_2024'!$B$10:$B$33,0),1)</f>
        <v>39.481573728149073</v>
      </c>
      <c r="F15" s="130">
        <f>INDEX('Table 3 PV wS UTN_2024'!$I$10:$I$33,MATCH($A15,'Table 3 PV wS UTN_2024'!$B$10:$B$33,0),1)</f>
        <v>38.623158725102023</v>
      </c>
      <c r="G15" s="130">
        <f>INDEX('Table 3 PV wS JB_2024'!$I$10:$I$33,MATCH($A15,'Table 3 PV wS JB_2024'!$B$10:$B$33,0),1)</f>
        <v>37.508153946510113</v>
      </c>
      <c r="H15" s="130"/>
      <c r="I15" s="130">
        <f>INDEX('Table 3 PV wS UTS_2024'!$I$10:$I$36,MATCH($A15,'Table 3 PV wS UTS_2024'!$B$10:$B$36,0),1)</f>
        <v>35.360028099754132</v>
      </c>
      <c r="J15" s="130"/>
      <c r="K15" s="130">
        <f>INDEX('Table 3 185 MW (NTN) 2026)'!$K$14:$K$41,MATCH($A15,'Table 3 185 MW (NTN) 2026)'!$B$14:$B$41,0),1)</f>
        <v>78.41</v>
      </c>
      <c r="L15" s="130"/>
      <c r="M15" s="130"/>
    </row>
    <row r="16" spans="1:14">
      <c r="A16" s="135">
        <f t="shared" si="0"/>
        <v>2029</v>
      </c>
      <c r="B16" s="130">
        <f>INDEX('Table 3 WYAE Wind_2024'!$J$10:$J$36,MATCH($A16,'Table 3 WYAE Wind_2024'!$B$10:$B$36,0),1)</f>
        <v>50.09982191606273</v>
      </c>
      <c r="C16" s="130"/>
      <c r="D16" s="130">
        <f>INDEX('Table 3 PV wS YK_2024'!$I$10:$I$33,MATCH($A16,'Table 3 PV wS YK_2024'!$B$10:$B$33,0),1)</f>
        <v>46.33825079030558</v>
      </c>
      <c r="E16" s="130">
        <f>INDEX('Table 3 PV wS SO_2024'!$I$10:$I$33,MATCH($A16,'Table 3 PV wS SO_2024'!$B$10:$B$33,0),1)</f>
        <v>40.427102070937686</v>
      </c>
      <c r="F16" s="130">
        <f>INDEX('Table 3 PV wS UTN_2024'!$I$10:$I$33,MATCH($A16,'Table 3 PV wS UTN_2024'!$B$10:$B$33,0),1)</f>
        <v>39.548536840668099</v>
      </c>
      <c r="G16" s="130">
        <f>INDEX('Table 3 PV wS JB_2024'!$I$10:$I$33,MATCH($A16,'Table 3 PV wS JB_2024'!$B$10:$B$33,0),1)</f>
        <v>38.406984329252566</v>
      </c>
      <c r="H16" s="130">
        <f>INDEX('Table 3 PV wS JB_2029'!$I$10:$I$33,MATCH($A16,'Table 3 PV wS JB_2029'!$B$10:$B$33,0),1)</f>
        <v>35.182923154716029</v>
      </c>
      <c r="I16" s="130">
        <f>INDEX('Table 3 PV wS UTS_2024'!$I$10:$I$36,MATCH($A16,'Table 3 PV wS UTS_2024'!$B$10:$B$36,0),1)</f>
        <v>36.206533192834563</v>
      </c>
      <c r="J16" s="130"/>
      <c r="K16" s="130">
        <f>INDEX('Table 3 185 MW (NTN) 2026)'!$K$14:$K$41,MATCH($A16,'Table 3 185 MW (NTN) 2026)'!$B$14:$B$41,0),1)</f>
        <v>82.94</v>
      </c>
      <c r="L16" s="130">
        <f>INDEX('Table 3 YK Wind wS_2029'!$I$10:$I$33,MATCH($A16,'Table 3 YK Wind wS_2029'!$B$10:$B$33,0),1)</f>
        <v>56.828924791790222</v>
      </c>
      <c r="M16" s="130"/>
    </row>
    <row r="17" spans="1:13">
      <c r="A17" s="135">
        <f t="shared" si="0"/>
        <v>2030</v>
      </c>
      <c r="B17" s="130">
        <f>INDEX('Table 3 WYAE Wind_2024'!$J$10:$J$36,MATCH($A17,'Table 3 WYAE Wind_2024'!$B$10:$B$36,0),1)</f>
        <v>51.225692262578015</v>
      </c>
      <c r="C17" s="130">
        <f>IF($A17&lt;C$3,0,INDEX('Table 3 ID Wind_2030'!$I$10:$I$33,MATCH($A17,'Table 3 ID Wind_2030'!$B$10:$B$33,0),1))</f>
        <v>41.937525924556674</v>
      </c>
      <c r="D17" s="130">
        <f>INDEX('Table 3 PV wS YK_2024'!$I$10:$I$33,MATCH($A17,'Table 3 PV wS YK_2024'!$B$10:$B$33,0),1)</f>
        <v>47.405163329820866</v>
      </c>
      <c r="E17" s="130">
        <f>INDEX('Table 3 PV wS SO_2024'!$I$10:$I$33,MATCH($A17,'Table 3 PV wS SO_2024'!$B$10:$B$33,0),1)</f>
        <v>41.357255969128119</v>
      </c>
      <c r="F17" s="130">
        <f>INDEX('Table 3 PV wS UTN_2024'!$I$10:$I$33,MATCH($A17,'Table 3 PV wS UTN_2024'!$B$10:$B$33,0),1)</f>
        <v>40.458744823192099</v>
      </c>
      <c r="G17" s="130">
        <f>INDEX('Table 3 PV wS JB_2024'!$I$10:$I$33,MATCH($A17,'Table 3 PV wS JB_2024'!$B$10:$B$33,0),1)</f>
        <v>39.290644578952957</v>
      </c>
      <c r="H17" s="130">
        <f>INDEX('Table 3 PV wS JB_2029'!$I$10:$I$33,MATCH($A17,'Table 3 PV wS JB_2029'!$B$10:$B$33,0),1)</f>
        <v>35.991140642303435</v>
      </c>
      <c r="I17" s="130">
        <f>INDEX('Table 3 PV wS UTS_2024'!$I$10:$I$36,MATCH($A17,'Table 3 PV wS UTS_2024'!$B$10:$B$36,0),1)</f>
        <v>37.038988408851424</v>
      </c>
      <c r="J17" s="130">
        <f>INDEX('Table 3 PV wS UTS_2030'!$I$10:$I$36,MATCH($A17,'Table 3 PV wS UTS_2030'!$B$10:$B$36,0),1)</f>
        <v>47.464452808570286</v>
      </c>
      <c r="K17" s="130">
        <f>INDEX('Table 3 185 MW (NTN) 2026)'!$K$14:$K$41,MATCH($A17,'Table 3 185 MW (NTN) 2026)'!$B$14:$B$41,0),1)</f>
        <v>85.48</v>
      </c>
      <c r="L17" s="130">
        <f>INDEX('Table 3 YK Wind wS_2029'!$I$10:$I$33,MATCH($A17,'Table 3 YK Wind wS_2029'!$B$10:$B$33,0),1)</f>
        <v>58.114464203138702</v>
      </c>
      <c r="M17" s="130"/>
    </row>
    <row r="18" spans="1:13">
      <c r="A18" s="135">
        <f t="shared" si="0"/>
        <v>2031</v>
      </c>
      <c r="B18" s="130">
        <f>INDEX('Table 3 WYAE Wind_2024'!$J$10:$J$36,MATCH($A18,'Table 3 WYAE Wind_2024'!$B$10:$B$36,0),1)</f>
        <v>52.37769045948361</v>
      </c>
      <c r="C18" s="130">
        <f>IF($A18&lt;C$3,0,INDEX('Table 3 ID Wind_2030'!$I$10:$I$33,MATCH($A18,'Table 3 ID Wind_2030'!$B$10:$B$33,0),1))</f>
        <v>42.902079509892665</v>
      </c>
      <c r="D18" s="130">
        <f>INDEX('Table 3 PV wS YK_2024'!$I$10:$I$33,MATCH($A18,'Table 3 PV wS YK_2024'!$B$10:$B$33,0),1)</f>
        <v>48.498419388830342</v>
      </c>
      <c r="E18" s="130">
        <f>INDEX('Table 3 PV wS SO_2024'!$I$10:$I$33,MATCH($A18,'Table 3 PV wS SO_2024'!$B$10:$B$33,0),1)</f>
        <v>42.310471534215829</v>
      </c>
      <c r="F18" s="130">
        <f>INDEX('Table 3 PV wS UTN_2024'!$I$10:$I$33,MATCH($A18,'Table 3 PV wS UTN_2024'!$B$10:$B$33,0),1)</f>
        <v>41.391708005279213</v>
      </c>
      <c r="G18" s="130">
        <f>INDEX('Table 3 PV wS JB_2024'!$I$10:$I$33,MATCH($A18,'Table 3 PV wS JB_2024'!$B$10:$B$33,0),1)</f>
        <v>40.197060028216455</v>
      </c>
      <c r="H18" s="130">
        <f>INDEX('Table 3 PV wS JB_2029'!$I$10:$I$33,MATCH($A18,'Table 3 PV wS JB_2029'!$B$10:$B$33,0),1)</f>
        <v>36.821705426356594</v>
      </c>
      <c r="I18" s="130">
        <f>INDEX('Table 3 PV wS UTS_2024'!$I$10:$I$36,MATCH($A18,'Table 3 PV wS UTS_2024'!$B$10:$B$36,0),1)</f>
        <v>37.892518440463647</v>
      </c>
      <c r="J18" s="130">
        <f>INDEX('Table 3 PV wS UTS_2030'!$I$10:$I$36,MATCH($A18,'Table 3 PV wS UTS_2030'!$B$10:$B$36,0),1)</f>
        <v>48.556375131717601</v>
      </c>
      <c r="K18" s="130">
        <f>INDEX('Table 3 185 MW (NTN) 2026)'!$K$14:$K$41,MATCH($A18,'Table 3 185 MW (NTN) 2026)'!$B$14:$B$41,0),1)</f>
        <v>87.66</v>
      </c>
      <c r="L18" s="130">
        <f>INDEX('Table 3 YK Wind wS_2029'!$I$10:$I$33,MATCH($A18,'Table 3 YK Wind wS_2029'!$B$10:$B$33,0),1)</f>
        <v>59.461321671525766</v>
      </c>
      <c r="M18" s="130"/>
    </row>
    <row r="19" spans="1:13">
      <c r="A19" s="135">
        <f t="shared" si="0"/>
        <v>2032</v>
      </c>
      <c r="B19" s="130">
        <f>INDEX('Table 3 WYAE Wind_2024'!$J$10:$J$36,MATCH($A19,'Table 3 WYAE Wind_2024'!$B$10:$B$36,0),1)</f>
        <v>53.555952873430805</v>
      </c>
      <c r="C19" s="130">
        <f>IF($A19&lt;C$3,0,INDEX('Table 3 ID Wind_2030'!$I$10:$I$33,MATCH($A19,'Table 3 ID Wind_2030'!$B$10:$B$33,0),1))</f>
        <v>43.883675040324057</v>
      </c>
      <c r="D19" s="130">
        <f>INDEX('Table 3 PV wS YK_2024'!$I$10:$I$33,MATCH($A19,'Table 3 PV wS YK_2024'!$B$10:$B$33,0),1)</f>
        <v>49.613628380751663</v>
      </c>
      <c r="E19" s="130">
        <f>INDEX('Table 3 PV wS SO_2024'!$I$10:$I$33,MATCH($A19,'Table 3 PV wS SO_2024'!$B$10:$B$33,0),1)</f>
        <v>43.282905155051274</v>
      </c>
      <c r="F19" s="130">
        <f>INDEX('Table 3 PV wS UTN_2024'!$I$10:$I$33,MATCH($A19,'Table 3 PV wS UTN_2024'!$B$10:$B$33,0),1)</f>
        <v>42.343633853668898</v>
      </c>
      <c r="G19" s="130">
        <f>INDEX('Table 3 PV wS JB_2024'!$I$10:$I$33,MATCH($A19,'Table 3 PV wS JB_2024'!$B$10:$B$33,0),1)</f>
        <v>41.122438143782524</v>
      </c>
      <c r="H19" s="130">
        <f>INDEX('Table 3 PV wS JB_2029'!$I$10:$I$33,MATCH($A19,'Table 3 PV wS JB_2029'!$B$10:$B$33,0),1)</f>
        <v>37.667440343451815</v>
      </c>
      <c r="I19" s="130">
        <f>INDEX('Table 3 PV wS UTS_2024'!$I$10:$I$36,MATCH($A19,'Table 3 PV wS UTS_2024'!$B$10:$B$36,0),1)</f>
        <v>38.76361081840534</v>
      </c>
      <c r="J19" s="130">
        <f>INDEX('Table 3 PV wS UTS_2030'!$I$10:$I$36,MATCH($A19,'Table 3 PV wS UTS_2030'!$B$10:$B$36,0),1)</f>
        <v>49.673340358271872</v>
      </c>
      <c r="K19" s="130">
        <f>INDEX('Table 3 185 MW (NTN) 2026)'!$K$14:$K$41,MATCH($A19,'Table 3 185 MW (NTN) 2026)'!$B$14:$B$41,0),1)</f>
        <v>89.47</v>
      </c>
      <c r="L19" s="130">
        <f>INDEX('Table 3 YK Wind wS_2029'!$I$10:$I$33,MATCH($A19,'Table 3 YK Wind wS_2029'!$B$10:$B$33,0),1)</f>
        <v>60.836640905596077</v>
      </c>
      <c r="M19" s="130">
        <f>INDEX('Table 3 ID Wind wS_2032'!$I$10:$I$33,MATCH($A19,'Table 3 ID Wind wS_2032'!$B$10:$B$33,0),1)</f>
        <v>47.608568784015191</v>
      </c>
    </row>
    <row r="20" spans="1:13">
      <c r="A20" s="135">
        <f t="shared" si="0"/>
        <v>2033</v>
      </c>
      <c r="B20" s="130">
        <f>INDEX('Table 3 WYAE Wind_2024'!$J$10:$J$36,MATCH($A20,'Table 3 WYAE Wind_2024'!$B$10:$B$36,0),1)</f>
        <v>54.76296137747336</v>
      </c>
      <c r="C20" s="130">
        <f>IF($A20&lt;C$3,0,INDEX('Table 3 ID Wind_2030'!$I$10:$I$33,MATCH($A20,'Table 3 ID Wind_2030'!$B$10:$B$33,0),1))</f>
        <v>44.889651845763858</v>
      </c>
      <c r="D20" s="130">
        <f>INDEX('Table 3 PV wS YK_2024'!$I$10:$I$33,MATCH($A20,'Table 3 PV wS YK_2024'!$B$10:$B$33,0),1)</f>
        <v>50.755180892167196</v>
      </c>
      <c r="E20" s="130">
        <f>INDEX('Table 3 PV wS SO_2024'!$I$10:$I$33,MATCH($A20,'Table 3 PV wS SO_2024'!$B$10:$B$33,0),1)</f>
        <v>44.278400442784012</v>
      </c>
      <c r="F20" s="130">
        <f>INDEX('Table 3 PV wS UTN_2024'!$I$10:$I$33,MATCH($A20,'Table 3 PV wS UTN_2024'!$B$10:$B$33,0),1)</f>
        <v>43.31831490162169</v>
      </c>
      <c r="G20" s="130">
        <f>INDEX('Table 3 PV wS JB_2024'!$I$10:$I$33,MATCH($A20,'Table 3 PV wS JB_2024'!$B$10:$B$33,0),1)</f>
        <v>42.066778925651185</v>
      </c>
      <c r="H20" s="130">
        <f>INDEX('Table 3 PV wS JB_2029'!$I$10:$I$33,MATCH($A20,'Table 3 PV wS JB_2029'!$B$10:$B$33,0),1)</f>
        <v>38.535930460110137</v>
      </c>
      <c r="I20" s="130">
        <f>INDEX('Table 3 PV wS UTS_2024'!$I$10:$I$36,MATCH($A20,'Table 3 PV wS UTS_2024'!$B$10:$B$36,0),1)</f>
        <v>39.655778011942395</v>
      </c>
      <c r="J20" s="130">
        <f>INDEX('Table 3 PV wS UTS_2030'!$I$10:$I$36,MATCH($A20,'Table 3 PV wS UTS_2030'!$B$10:$B$36,0),1)</f>
        <v>50.814892869687384</v>
      </c>
      <c r="K20" s="130">
        <f>INDEX('Table 3 185 MW (NTN) 2026)'!$K$14:$K$41,MATCH($A20,'Table 3 185 MW (NTN) 2026)'!$B$14:$B$41,0),1)</f>
        <v>92.96</v>
      </c>
      <c r="L20" s="130">
        <f>INDEX('Table 3 YK Wind wS_2029'!$I$10:$I$33,MATCH($A20,'Table 3 YK Wind wS_2029'!$B$10:$B$33,0),1)</f>
        <v>62.230421905349672</v>
      </c>
      <c r="M20" s="130">
        <f>INDEX('Table 3 ID Wind wS_2032'!$I$10:$I$33,MATCH($A20,'Table 3 ID Wind wS_2032'!$B$10:$B$33,0),1)</f>
        <v>48.701485801272014</v>
      </c>
    </row>
    <row r="21" spans="1:13">
      <c r="A21" s="135">
        <f t="shared" si="0"/>
        <v>2034</v>
      </c>
      <c r="B21" s="130">
        <f>INDEX('Table 3 WYAE Wind_2024'!$J$10:$J$36,MATCH($A21,'Table 3 WYAE Wind_2024'!$B$10:$B$36,0),1)</f>
        <v>55.996097731906211</v>
      </c>
      <c r="C21" s="130">
        <f>IF($A21&lt;C$3,0,INDEX('Table 3 ID Wind_2030'!$I$10:$I$33,MATCH($A21,'Table 3 ID Wind_2030'!$B$10:$B$33,0),1))</f>
        <v>45.920601877144605</v>
      </c>
      <c r="D21" s="130">
        <f>INDEX('Table 3 PV wS YK_2024'!$I$10:$I$33,MATCH($A21,'Table 3 PV wS YK_2024'!$B$10:$B$33,0),1)</f>
        <v>51.923076923076927</v>
      </c>
      <c r="E21" s="130">
        <f>INDEX('Table 3 PV wS SO_2024'!$I$10:$I$33,MATCH($A21,'Table 3 PV wS SO_2024'!$B$10:$B$33,0),1)</f>
        <v>45.296957397414019</v>
      </c>
      <c r="F21" s="130">
        <f>INDEX('Table 3 PV wS UTN_2024'!$I$10:$I$33,MATCH($A21,'Table 3 PV wS UTN_2024'!$B$10:$B$33,0),1)</f>
        <v>44.315751149137576</v>
      </c>
      <c r="G21" s="130">
        <f>INDEX('Table 3 PV wS JB_2024'!$I$10:$I$33,MATCH($A21,'Table 3 PV wS JB_2024'!$B$10:$B$33,0),1)</f>
        <v>43.033874907082939</v>
      </c>
      <c r="H21" s="130">
        <f>INDEX('Table 3 PV wS JB_2029'!$I$10:$I$33,MATCH($A21,'Table 3 PV wS JB_2029'!$B$10:$B$33,0),1)</f>
        <v>39.423383243071044</v>
      </c>
      <c r="I21" s="130">
        <f>INDEX('Table 3 PV wS UTS_2024'!$I$10:$I$36,MATCH($A21,'Table 3 PV wS UTS_2024'!$B$10:$B$36,0),1)</f>
        <v>40.569020021074813</v>
      </c>
      <c r="J21" s="130">
        <f>INDEX('Table 3 PV wS UTS_2030'!$I$10:$I$36,MATCH($A21,'Table 3 PV wS UTS_2030'!$B$10:$B$36,0),1)</f>
        <v>51.984545135230064</v>
      </c>
      <c r="K21" s="130">
        <f>INDEX('Table 3 185 MW (NTN) 2026)'!$K$14:$K$41,MATCH($A21,'Table 3 185 MW (NTN) 2026)'!$B$14:$B$41,0),1)</f>
        <v>94.61</v>
      </c>
      <c r="L21" s="130">
        <f>INDEX('Table 3 YK Wind wS_2029'!$I$10:$I$33,MATCH($A21,'Table 3 YK Wind wS_2029'!$B$10:$B$33,0),1)</f>
        <v>63.655741631733754</v>
      </c>
      <c r="M21" s="130">
        <f>INDEX('Table 3 ID Wind wS_2032'!$I$10:$I$33,MATCH($A21,'Table 3 ID Wind wS_2032'!$B$10:$B$33,0),1)</f>
        <v>49.821234682134452</v>
      </c>
    </row>
    <row r="22" spans="1:13">
      <c r="A22" s="135">
        <f t="shared" si="0"/>
        <v>2035</v>
      </c>
      <c r="B22" s="130">
        <f>INDEX('Table 3 WYAE Wind_2024'!$J$10:$J$36,MATCH($A22,'Table 3 WYAE Wind_2024'!$B$10:$B$36,0),1)</f>
        <v>57.258116543085755</v>
      </c>
      <c r="C22" s="130">
        <f>IF($A22&lt;C$3,0,INDEX('Table 3 ID Wind_2030'!$I$10:$I$33,MATCH($A22,'Table 3 ID Wind_2030'!$B$10:$B$33,0),1))</f>
        <v>46.972856222586557</v>
      </c>
      <c r="D22" s="130">
        <f>INDEX('Table 3 PV wS YK_2024'!$I$10:$I$33,MATCH($A22,'Table 3 PV wS YK_2024'!$B$10:$B$33,0),1)</f>
        <v>53.117316473480848</v>
      </c>
      <c r="E22" s="130">
        <f>INDEX('Table 3 PV wS SO_2024'!$I$10:$I$33,MATCH($A22,'Table 3 PV wS SO_2024'!$B$10:$B$33,0),1)</f>
        <v>46.342419630090866</v>
      </c>
      <c r="F22" s="130">
        <f>INDEX('Table 3 PV wS UTN_2024'!$I$10:$I$33,MATCH($A22,'Table 3 PV wS UTN_2024'!$B$10:$B$33,0),1)</f>
        <v>45.335942596216569</v>
      </c>
      <c r="G22" s="130">
        <f>INDEX('Table 3 PV wS JB_2024'!$I$10:$I$33,MATCH($A22,'Table 3 PV wS JB_2024'!$B$10:$B$33,0),1)</f>
        <v>44.023726088077801</v>
      </c>
      <c r="H22" s="130">
        <f>INDEX('Table 3 PV wS JB_2029'!$I$10:$I$33,MATCH($A22,'Table 3 PV wS JB_2029'!$B$10:$B$33,0),1)</f>
        <v>40.33359122559505</v>
      </c>
      <c r="I22" s="130">
        <f>INDEX('Table 3 PV wS UTS_2024'!$I$10:$I$36,MATCH($A22,'Table 3 PV wS UTS_2024'!$B$10:$B$36,0),1)</f>
        <v>41.5033368458026</v>
      </c>
      <c r="J22" s="130">
        <f>INDEX('Table 3 PV wS UTS_2030'!$I$10:$I$36,MATCH($A22,'Table 3 PV wS UTS_2030'!$B$10:$B$36,0),1)</f>
        <v>53.182297154899906</v>
      </c>
      <c r="K22" s="130">
        <f>INDEX('Table 3 185 MW (NTN) 2026)'!$K$14:$K$41,MATCH($A22,'Table 3 185 MW (NTN) 2026)'!$B$14:$B$41,0),1)</f>
        <v>96.39</v>
      </c>
      <c r="L22" s="130">
        <f>INDEX('Table 3 YK Wind wS_2029'!$I$10:$I$33,MATCH($A22,'Table 3 YK Wind wS_2029'!$B$10:$B$33,0),1)</f>
        <v>64.782600084748296</v>
      </c>
      <c r="M22" s="130">
        <f>INDEX('Table 3 ID Wind wS_2032'!$I$10:$I$33,MATCH($A22,'Table 3 ID Wind wS_2032'!$B$10:$B$33,0),1)</f>
        <v>50.96252228962738</v>
      </c>
    </row>
    <row r="23" spans="1:13">
      <c r="A23" s="135">
        <f t="shared" si="0"/>
        <v>2036</v>
      </c>
      <c r="B23" s="130">
        <f>INDEX('Table 3 WYAE Wind_2024'!$J$10:$J$36,MATCH($A23,'Table 3 WYAE Wind_2024'!$B$10:$B$36,0),1)</f>
        <v>58.551472410735485</v>
      </c>
      <c r="C23" s="130">
        <f>IF($A23&lt;C$3,0,INDEX('Table 3 ID Wind_2030'!$I$10:$I$33,MATCH($A23,'Table 3 ID Wind_2030'!$B$10:$B$33,0),1))</f>
        <v>48.052747573165739</v>
      </c>
      <c r="D23" s="130">
        <f>INDEX('Table 3 PV wS YK_2024'!$I$10:$I$33,MATCH($A23,'Table 3 PV wS YK_2024'!$B$10:$B$33,0),1)</f>
        <v>54.337899543378995</v>
      </c>
      <c r="E23" s="130">
        <f>INDEX('Table 3 PV wS SO_2024'!$I$10:$I$33,MATCH($A23,'Table 3 PV wS SO_2024'!$B$10:$B$33,0),1)</f>
        <v>47.407099918515449</v>
      </c>
      <c r="F23" s="130">
        <f>INDEX('Table 3 PV wS UTN_2024'!$I$10:$I$33,MATCH($A23,'Table 3 PV wS UTN_2024'!$B$10:$B$33,0),1)</f>
        <v>46.378889242858669</v>
      </c>
      <c r="G23" s="130">
        <f>INDEX('Table 3 PV wS JB_2024'!$I$10:$I$33,MATCH($A23,'Table 3 PV wS JB_2024'!$B$10:$B$33,0),1)</f>
        <v>45.036332468635756</v>
      </c>
      <c r="H23" s="130">
        <f>INDEX('Table 3 PV wS JB_2029'!$I$10:$I$33,MATCH($A23,'Table 3 PV wS JB_2029'!$B$10:$B$33,0),1)</f>
        <v>41.258969341161126</v>
      </c>
      <c r="I23" s="130">
        <f>INDEX('Table 3 PV wS UTS_2024'!$I$10:$I$36,MATCH($A23,'Table 3 PV wS UTS_2024'!$B$10:$B$36,0),1)</f>
        <v>42.455216016859858</v>
      </c>
      <c r="J23" s="130">
        <f>INDEX('Table 3 PV wS UTS_2030'!$I$10:$I$36,MATCH($A23,'Table 3 PV wS UTS_2030'!$B$10:$B$36,0),1)</f>
        <v>54.404636459430975</v>
      </c>
      <c r="K23" s="130">
        <f>INDEX('Table 3 185 MW (NTN) 2026)'!$K$14:$K$41,MATCH($A23,'Table 3 185 MW (NTN) 2026)'!$B$14:$B$41,0),1)</f>
        <v>98.58</v>
      </c>
      <c r="L23" s="130">
        <f>INDEX('Table 3 YK Wind wS_2029'!$I$10:$I$33,MATCH($A23,'Table 3 YK Wind wS_2029'!$B$10:$B$33,0),1)</f>
        <v>65.930997264393341</v>
      </c>
      <c r="M23" s="130">
        <f>INDEX('Table 3 ID Wind wS_2032'!$I$10:$I$33,MATCH($A23,'Table 3 ID Wind wS_2032'!$B$10:$B$33,0),1)</f>
        <v>52.130442929954761</v>
      </c>
    </row>
    <row r="24" spans="1:13">
      <c r="A24" s="135">
        <f t="shared" si="0"/>
        <v>2037</v>
      </c>
      <c r="B24" s="130">
        <f>INDEX('Table 3 WYAE Wind_2024'!$J$10:$J$36,MATCH($A24,'Table 3 WYAE Wind_2024'!$B$10:$B$36,0),1)</f>
        <v>59.871119768757069</v>
      </c>
      <c r="C24" s="130">
        <f>IF($A24&lt;C$3,0,INDEX('Table 3 ID Wind_2030'!$I$10:$I$33,MATCH($A24,'Table 3 ID Wind_2030'!$B$10:$B$33,0),1))</f>
        <v>49.154356419557047</v>
      </c>
      <c r="D24" s="130">
        <f>INDEX('Table 3 PV wS YK_2024'!$I$10:$I$33,MATCH($A24,'Table 3 PV wS YK_2024'!$B$10:$B$33,0),1)</f>
        <v>55.584826132771326</v>
      </c>
      <c r="E24" s="130">
        <f>INDEX('Table 3 PV wS SO_2024'!$I$10:$I$33,MATCH($A24,'Table 3 PV wS SO_2024'!$B$10:$B$33,0),1)</f>
        <v>48.494841873837309</v>
      </c>
      <c r="F24" s="130">
        <f>INDEX('Table 3 PV wS UTN_2024'!$I$10:$I$33,MATCH($A24,'Table 3 PV wS UTN_2024'!$B$10:$B$33,0),1)</f>
        <v>47.444591089063856</v>
      </c>
      <c r="G24" s="130">
        <f>INDEX('Table 3 PV wS JB_2024'!$I$10:$I$33,MATCH($A24,'Table 3 PV wS JB_2024'!$B$10:$B$33,0),1)</f>
        <v>46.071694048756811</v>
      </c>
      <c r="H24" s="130">
        <f>INDEX('Table 3 PV wS JB_2029'!$I$10:$I$33,MATCH($A24,'Table 3 PV wS JB_2029'!$B$10:$B$33,0),1)</f>
        <v>42.207102656290296</v>
      </c>
      <c r="I24" s="130">
        <f>INDEX('Table 3 PV wS UTS_2024'!$I$10:$I$36,MATCH($A24,'Table 3 PV wS UTS_2024'!$B$10:$B$36,0),1)</f>
        <v>43.431682472778363</v>
      </c>
      <c r="J24" s="130">
        <f>INDEX('Table 3 PV wS UTS_2030'!$I$10:$I$36,MATCH($A24,'Table 3 PV wS UTS_2030'!$B$10:$B$36,0),1)</f>
        <v>55.655075518089227</v>
      </c>
      <c r="K24" s="130">
        <f>INDEX('Table 3 185 MW (NTN) 2026)'!$K$14:$K$41,MATCH($A24,'Table 3 185 MW (NTN) 2026)'!$B$14:$B$41,0),1)</f>
        <v>100.72</v>
      </c>
      <c r="L24" s="130">
        <f>INDEX('Table 3 YK Wind wS_2029'!$I$10:$I$33,MATCH($A24,'Table 3 YK Wind wS_2029'!$B$10:$B$33,0),1)</f>
        <v>67.132330731354685</v>
      </c>
      <c r="M24" s="130">
        <f>INDEX('Table 3 ID Wind wS_2032'!$I$10:$I$33,MATCH($A24,'Table 3 ID Wind wS_2032'!$B$10:$B$33,0),1)</f>
        <v>53.333167870267836</v>
      </c>
    </row>
    <row r="25" spans="1:13">
      <c r="A25" s="135">
        <f t="shared" si="0"/>
        <v>2038</v>
      </c>
      <c r="B25" s="130">
        <f>INDEX('Table 3 WYAE Wind_2024'!$J$10:$J$36,MATCH($A25,'Table 3 WYAE Wind_2024'!$B$10:$B$36,0),1)</f>
        <v>61.222104183248859</v>
      </c>
      <c r="C25" s="130">
        <f>IF($A25&lt;C$3,0,INDEX('Table 3 ID Wind_2030'!$I$10:$I$33,MATCH($A25,'Table 3 ID Wind_2030'!$B$10:$B$33,0),1))</f>
        <v>50.283898246551836</v>
      </c>
      <c r="D25" s="130">
        <f>INDEX('Table 3 PV wS YK_2024'!$I$10:$I$33,MATCH($A25,'Table 3 PV wS YK_2024'!$B$10:$B$33,0),1)</f>
        <v>56.862486828240257</v>
      </c>
      <c r="E25" s="130">
        <f>INDEX('Table 3 PV wS SO_2024'!$I$10:$I$33,MATCH($A25,'Table 3 PV wS SO_2024'!$B$10:$B$33,0),1)</f>
        <v>49.609489107206002</v>
      </c>
      <c r="F25" s="130">
        <f>INDEX('Table 3 PV wS UTN_2024'!$I$10:$I$33,MATCH($A25,'Table 3 PV wS UTN_2024'!$B$10:$B$33,0),1)</f>
        <v>48.536840668092665</v>
      </c>
      <c r="G25" s="130">
        <f>INDEX('Table 3 PV wS JB_2024'!$I$10:$I$33,MATCH($A25,'Table 3 PV wS JB_2024'!$B$10:$B$33,0),1)</f>
        <v>47.129810828440974</v>
      </c>
      <c r="H25" s="130">
        <f>INDEX('Table 3 PV wS JB_2029'!$I$10:$I$33,MATCH($A25,'Table 3 PV wS JB_2029'!$B$10:$B$33,0),1)</f>
        <v>43.17799117098258</v>
      </c>
      <c r="I25" s="130">
        <f>INDEX('Table 3 PV wS UTS_2024'!$I$10:$I$36,MATCH($A25,'Table 3 PV wS UTS_2024'!$B$10:$B$36,0),1)</f>
        <v>44.43273621355813</v>
      </c>
      <c r="J25" s="130">
        <f>INDEX('Table 3 PV wS UTS_2030'!$I$10:$I$36,MATCH($A25,'Table 3 PV wS UTS_2030'!$B$10:$B$36,0),1)</f>
        <v>56.933614330874605</v>
      </c>
      <c r="K25" s="130">
        <f>INDEX('Table 3 185 MW (NTN) 2026)'!$K$14:$K$41,MATCH($A25,'Table 3 185 MW (NTN) 2026)'!$B$14:$B$41,0),1)</f>
        <v>103.75</v>
      </c>
      <c r="L25" s="130">
        <f>INDEX('Table 3 YK Wind wS_2029'!$I$10:$I$33,MATCH($A25,'Table 3 YK Wind wS_2029'!$B$10:$B$33,0),1)</f>
        <v>68.355202924946525</v>
      </c>
      <c r="M25" s="130">
        <f>INDEX('Table 3 ID Wind wS_2032'!$I$10:$I$33,MATCH($A25,'Table 3 ID Wind wS_2032'!$B$10:$B$33,0),1)</f>
        <v>54.557431537211379</v>
      </c>
    </row>
    <row r="26" spans="1:13">
      <c r="A26" s="135">
        <f t="shared" si="0"/>
        <v>2039</v>
      </c>
      <c r="B26" s="352">
        <f>B25*(1+$N$14)</f>
        <v>62.614907053417774</v>
      </c>
      <c r="C26" s="352">
        <f t="shared" ref="C26:C40" si="1">C25*(1+$N$14)</f>
        <v>51.427856931660891</v>
      </c>
      <c r="D26" s="352">
        <f t="shared" ref="D26:D40" si="2">D25*(1+$N$14)</f>
        <v>58.156108403582728</v>
      </c>
      <c r="E26" s="352">
        <f t="shared" ref="E26:E40" si="3">E25*(1+$N$14)</f>
        <v>50.738104984394944</v>
      </c>
      <c r="F26" s="352">
        <f t="shared" ref="F26:F40" si="4">F25*(1+$N$14)</f>
        <v>49.641053793291775</v>
      </c>
      <c r="G26" s="352">
        <f t="shared" ref="G26:G40" si="5">G25*(1+$N$14)</f>
        <v>48.202014024788006</v>
      </c>
      <c r="H26" s="352">
        <f t="shared" ref="H26:H40" si="6">H25*(1+$N$14)</f>
        <v>44.160290470122433</v>
      </c>
      <c r="I26" s="352">
        <f t="shared" ref="I26:I40" si="7">I25*(1+$N$14)</f>
        <v>45.443580962416583</v>
      </c>
      <c r="J26" s="352">
        <f t="shared" ref="J26:J40" si="8">J25*(1+$N$14)</f>
        <v>58.228854056902001</v>
      </c>
      <c r="K26" s="352">
        <f t="shared" ref="K26:K40" si="9">K25*(1+$N$14)</f>
        <v>106.11031250000001</v>
      </c>
      <c r="L26" s="352">
        <f t="shared" ref="L26:L40" si="10">L25*(1+$N$14)</f>
        <v>69.910283791489064</v>
      </c>
      <c r="M26" s="352">
        <f t="shared" ref="M26:M46" si="11">M25*(1+$N$14)</f>
        <v>55.798613104682943</v>
      </c>
    </row>
    <row r="27" spans="1:13">
      <c r="A27" s="135">
        <f t="shared" si="0"/>
        <v>2040</v>
      </c>
      <c r="B27" s="352">
        <f t="shared" ref="B27:B40" si="12">B26*(1+$N$14)</f>
        <v>64.039396188883032</v>
      </c>
      <c r="C27" s="352">
        <f t="shared" si="1"/>
        <v>52.59784067685618</v>
      </c>
      <c r="D27" s="352">
        <f t="shared" si="2"/>
        <v>59.479159869764239</v>
      </c>
      <c r="E27" s="352">
        <f t="shared" si="3"/>
        <v>51.892396872789931</v>
      </c>
      <c r="F27" s="352">
        <f t="shared" si="4"/>
        <v>50.770387767089169</v>
      </c>
      <c r="G27" s="352">
        <f t="shared" si="5"/>
        <v>49.298609843851935</v>
      </c>
      <c r="H27" s="352">
        <f t="shared" si="6"/>
        <v>45.16493707831772</v>
      </c>
      <c r="I27" s="352">
        <f t="shared" si="7"/>
        <v>46.477422429311559</v>
      </c>
      <c r="J27" s="352">
        <f t="shared" si="8"/>
        <v>59.553560486696526</v>
      </c>
      <c r="K27" s="352">
        <f t="shared" si="9"/>
        <v>108.52432210937501</v>
      </c>
      <c r="L27" s="352">
        <f t="shared" si="10"/>
        <v>71.500742747745448</v>
      </c>
      <c r="M27" s="352">
        <f t="shared" si="11"/>
        <v>57.068031552814482</v>
      </c>
    </row>
    <row r="28" spans="1:13">
      <c r="A28" s="135">
        <f t="shared" si="0"/>
        <v>2041</v>
      </c>
      <c r="B28" s="352">
        <f t="shared" si="12"/>
        <v>65.496292452180128</v>
      </c>
      <c r="C28" s="352">
        <f t="shared" si="1"/>
        <v>53.794441552254661</v>
      </c>
      <c r="D28" s="352">
        <f t="shared" si="2"/>
        <v>60.832310756801377</v>
      </c>
      <c r="E28" s="352">
        <f t="shared" si="3"/>
        <v>53.072948901645901</v>
      </c>
      <c r="F28" s="352">
        <f t="shared" si="4"/>
        <v>51.925414088790447</v>
      </c>
      <c r="G28" s="352">
        <f t="shared" si="5"/>
        <v>50.420153217799566</v>
      </c>
      <c r="H28" s="352">
        <f t="shared" si="6"/>
        <v>46.192439396849451</v>
      </c>
      <c r="I28" s="352">
        <f t="shared" si="7"/>
        <v>47.534783789578398</v>
      </c>
      <c r="J28" s="352">
        <f t="shared" si="8"/>
        <v>60.908403987768878</v>
      </c>
      <c r="K28" s="352">
        <f t="shared" si="9"/>
        <v>110.99325043736329</v>
      </c>
      <c r="L28" s="352">
        <f t="shared" si="10"/>
        <v>73.127384645256654</v>
      </c>
      <c r="M28" s="352">
        <f t="shared" si="11"/>
        <v>58.36632927064101</v>
      </c>
    </row>
    <row r="29" spans="1:13">
      <c r="A29" s="135">
        <f t="shared" si="0"/>
        <v>2042</v>
      </c>
      <c r="B29" s="352">
        <f t="shared" si="12"/>
        <v>66.986333105467224</v>
      </c>
      <c r="C29" s="352">
        <f t="shared" si="1"/>
        <v>55.01826509756846</v>
      </c>
      <c r="D29" s="352">
        <f t="shared" si="2"/>
        <v>62.216245826518609</v>
      </c>
      <c r="E29" s="352">
        <f t="shared" si="3"/>
        <v>54.280358489158345</v>
      </c>
      <c r="F29" s="352">
        <f t="shared" si="4"/>
        <v>53.106717259310429</v>
      </c>
      <c r="G29" s="352">
        <f t="shared" si="5"/>
        <v>51.567211703504512</v>
      </c>
      <c r="H29" s="352">
        <f t="shared" si="6"/>
        <v>47.243317393127782</v>
      </c>
      <c r="I29" s="352">
        <f t="shared" si="7"/>
        <v>48.616200120791312</v>
      </c>
      <c r="J29" s="352">
        <f t="shared" si="8"/>
        <v>62.294070178490621</v>
      </c>
      <c r="K29" s="352">
        <f t="shared" si="9"/>
        <v>113.51834688481331</v>
      </c>
      <c r="L29" s="352">
        <f t="shared" si="10"/>
        <v>74.791032645936241</v>
      </c>
      <c r="M29" s="352">
        <f t="shared" si="11"/>
        <v>59.694163261548098</v>
      </c>
    </row>
    <row r="30" spans="1:13">
      <c r="A30" s="135">
        <f t="shared" si="0"/>
        <v>2043</v>
      </c>
      <c r="B30" s="352">
        <f t="shared" si="12"/>
        <v>68.510272183616607</v>
      </c>
      <c r="C30" s="352">
        <f t="shared" si="1"/>
        <v>56.269930628538141</v>
      </c>
      <c r="D30" s="352">
        <f t="shared" si="2"/>
        <v>63.631665419071908</v>
      </c>
      <c r="E30" s="352">
        <f t="shared" si="3"/>
        <v>55.515236644786704</v>
      </c>
      <c r="F30" s="352">
        <f t="shared" si="4"/>
        <v>54.314895076959743</v>
      </c>
      <c r="G30" s="352">
        <f t="shared" si="5"/>
        <v>52.740365769759244</v>
      </c>
      <c r="H30" s="352">
        <f t="shared" si="6"/>
        <v>48.318102863821444</v>
      </c>
      <c r="I30" s="352">
        <f t="shared" si="7"/>
        <v>49.722218673539317</v>
      </c>
      <c r="J30" s="352">
        <f t="shared" si="8"/>
        <v>63.711260275051288</v>
      </c>
      <c r="K30" s="352">
        <f t="shared" si="9"/>
        <v>116.10088927644281</v>
      </c>
      <c r="L30" s="352">
        <f t="shared" si="10"/>
        <v>76.492528638631299</v>
      </c>
      <c r="M30" s="352">
        <f t="shared" si="11"/>
        <v>61.052205475748323</v>
      </c>
    </row>
    <row r="31" spans="1:13">
      <c r="A31" s="135">
        <f t="shared" si="0"/>
        <v>2044</v>
      </c>
      <c r="B31" s="352">
        <f t="shared" si="12"/>
        <v>70.068880875793894</v>
      </c>
      <c r="C31" s="352">
        <f t="shared" si="1"/>
        <v>57.550071550337385</v>
      </c>
      <c r="D31" s="352">
        <f t="shared" si="2"/>
        <v>65.079285807355802</v>
      </c>
      <c r="E31" s="352">
        <f t="shared" si="3"/>
        <v>56.778208278455601</v>
      </c>
      <c r="F31" s="352">
        <f t="shared" si="4"/>
        <v>55.550558939960581</v>
      </c>
      <c r="G31" s="352">
        <f t="shared" si="5"/>
        <v>53.940209091021266</v>
      </c>
      <c r="H31" s="352">
        <f t="shared" si="6"/>
        <v>49.417339703973383</v>
      </c>
      <c r="I31" s="352">
        <f t="shared" si="7"/>
        <v>50.853399148362335</v>
      </c>
      <c r="J31" s="352">
        <f t="shared" si="8"/>
        <v>65.160691446308704</v>
      </c>
      <c r="K31" s="352">
        <f t="shared" si="9"/>
        <v>118.74218450748189</v>
      </c>
      <c r="L31" s="352">
        <f t="shared" si="10"/>
        <v>78.232733665160168</v>
      </c>
      <c r="M31" s="352">
        <f t="shared" si="11"/>
        <v>62.441143150321601</v>
      </c>
    </row>
    <row r="32" spans="1:13">
      <c r="A32" s="135">
        <f t="shared" si="0"/>
        <v>2045</v>
      </c>
      <c r="B32" s="352">
        <f t="shared" si="12"/>
        <v>71.662947915718206</v>
      </c>
      <c r="C32" s="352">
        <f t="shared" si="1"/>
        <v>58.859335678107563</v>
      </c>
      <c r="D32" s="352">
        <f t="shared" si="2"/>
        <v>66.559839559473147</v>
      </c>
      <c r="E32" s="352">
        <f t="shared" si="3"/>
        <v>58.069912516790467</v>
      </c>
      <c r="F32" s="352">
        <f t="shared" si="4"/>
        <v>56.814334155844683</v>
      </c>
      <c r="G32" s="352">
        <f t="shared" si="5"/>
        <v>55.167348847842</v>
      </c>
      <c r="H32" s="352">
        <f t="shared" si="6"/>
        <v>50.541584182238779</v>
      </c>
      <c r="I32" s="352">
        <f t="shared" si="7"/>
        <v>52.010313978987583</v>
      </c>
      <c r="J32" s="352">
        <f t="shared" si="8"/>
        <v>66.643097176712232</v>
      </c>
      <c r="K32" s="352">
        <f t="shared" si="9"/>
        <v>121.44356920502712</v>
      </c>
      <c r="L32" s="352">
        <f t="shared" si="10"/>
        <v>80.012528356042566</v>
      </c>
      <c r="M32" s="352">
        <f t="shared" si="11"/>
        <v>63.861679156991421</v>
      </c>
    </row>
    <row r="33" spans="1:13">
      <c r="A33" s="135">
        <f t="shared" si="0"/>
        <v>2046</v>
      </c>
      <c r="B33" s="352">
        <f t="shared" si="12"/>
        <v>73.293279980800804</v>
      </c>
      <c r="C33" s="352">
        <f t="shared" si="1"/>
        <v>60.198385564784516</v>
      </c>
      <c r="D33" s="352">
        <f t="shared" si="2"/>
        <v>68.074075909451167</v>
      </c>
      <c r="E33" s="352">
        <f t="shared" si="3"/>
        <v>59.391003026547452</v>
      </c>
      <c r="F33" s="352">
        <f t="shared" si="4"/>
        <v>58.106860257890155</v>
      </c>
      <c r="G33" s="352">
        <f t="shared" si="5"/>
        <v>56.422406034130411</v>
      </c>
      <c r="H33" s="352">
        <f t="shared" si="6"/>
        <v>51.691405222384716</v>
      </c>
      <c r="I33" s="352">
        <f t="shared" si="7"/>
        <v>53.193548622009551</v>
      </c>
      <c r="J33" s="352">
        <f t="shared" si="8"/>
        <v>68.159227637482445</v>
      </c>
      <c r="K33" s="352">
        <f t="shared" si="9"/>
        <v>124.20641040444148</v>
      </c>
      <c r="L33" s="352">
        <f t="shared" si="10"/>
        <v>81.832813376142539</v>
      </c>
      <c r="M33" s="352">
        <f t="shared" si="11"/>
        <v>65.314532357812979</v>
      </c>
    </row>
    <row r="34" spans="1:13">
      <c r="A34" s="135">
        <f t="shared" si="0"/>
        <v>2047</v>
      </c>
      <c r="B34" s="352">
        <f t="shared" si="12"/>
        <v>74.960702100364031</v>
      </c>
      <c r="C34" s="352">
        <f t="shared" si="1"/>
        <v>61.567898836383364</v>
      </c>
      <c r="D34" s="352">
        <f t="shared" si="2"/>
        <v>69.62276113639119</v>
      </c>
      <c r="E34" s="352">
        <f t="shared" si="3"/>
        <v>60.742148345401411</v>
      </c>
      <c r="F34" s="352">
        <f t="shared" si="4"/>
        <v>59.428791328757157</v>
      </c>
      <c r="G34" s="352">
        <f t="shared" si="5"/>
        <v>57.706015771406882</v>
      </c>
      <c r="H34" s="352">
        <f t="shared" si="6"/>
        <v>52.867384691193969</v>
      </c>
      <c r="I34" s="352">
        <f t="shared" si="7"/>
        <v>54.403701853160271</v>
      </c>
      <c r="J34" s="352">
        <f t="shared" si="8"/>
        <v>69.709850066235177</v>
      </c>
      <c r="K34" s="352">
        <f t="shared" si="9"/>
        <v>127.03210624114253</v>
      </c>
      <c r="L34" s="352">
        <f t="shared" si="10"/>
        <v>83.694509880449786</v>
      </c>
      <c r="M34" s="352">
        <f t="shared" si="11"/>
        <v>66.800437968953233</v>
      </c>
    </row>
    <row r="35" spans="1:13">
      <c r="A35" s="135">
        <f t="shared" si="0"/>
        <v>2048</v>
      </c>
      <c r="B35" s="352">
        <f t="shared" si="12"/>
        <v>76.666058073147312</v>
      </c>
      <c r="C35" s="352">
        <f t="shared" si="1"/>
        <v>62.968568534911086</v>
      </c>
      <c r="D35" s="352">
        <f t="shared" si="2"/>
        <v>71.20667895224409</v>
      </c>
      <c r="E35" s="352">
        <f t="shared" si="3"/>
        <v>62.124032220259295</v>
      </c>
      <c r="F35" s="352">
        <f t="shared" si="4"/>
        <v>60.780796331486385</v>
      </c>
      <c r="G35" s="352">
        <f t="shared" si="5"/>
        <v>59.018827630206388</v>
      </c>
      <c r="H35" s="352">
        <f t="shared" si="6"/>
        <v>54.070117692918636</v>
      </c>
      <c r="I35" s="352">
        <f t="shared" si="7"/>
        <v>55.641386070319669</v>
      </c>
      <c r="J35" s="352">
        <f t="shared" si="8"/>
        <v>71.295749155242035</v>
      </c>
      <c r="K35" s="352">
        <f t="shared" si="9"/>
        <v>129.92208665812853</v>
      </c>
      <c r="L35" s="352">
        <f t="shared" si="10"/>
        <v>85.598559980230021</v>
      </c>
      <c r="M35" s="352">
        <f t="shared" si="11"/>
        <v>68.32014793274692</v>
      </c>
    </row>
    <row r="36" spans="1:13">
      <c r="A36" s="135">
        <f t="shared" si="0"/>
        <v>2049</v>
      </c>
      <c r="B36" s="352">
        <f t="shared" si="12"/>
        <v>78.410210894311419</v>
      </c>
      <c r="C36" s="352">
        <f t="shared" si="1"/>
        <v>64.401103469080311</v>
      </c>
      <c r="D36" s="352">
        <f t="shared" si="2"/>
        <v>72.826630898407643</v>
      </c>
      <c r="E36" s="352">
        <f t="shared" si="3"/>
        <v>63.537353953270198</v>
      </c>
      <c r="F36" s="352">
        <f t="shared" si="4"/>
        <v>62.163559448027705</v>
      </c>
      <c r="G36" s="352">
        <f t="shared" si="5"/>
        <v>60.361505958793586</v>
      </c>
      <c r="H36" s="352">
        <f t="shared" si="6"/>
        <v>55.300212870432539</v>
      </c>
      <c r="I36" s="352">
        <f t="shared" si="7"/>
        <v>56.907227603419443</v>
      </c>
      <c r="J36" s="352">
        <f t="shared" si="8"/>
        <v>72.917727448523792</v>
      </c>
      <c r="K36" s="352">
        <f t="shared" si="9"/>
        <v>132.87781412960098</v>
      </c>
      <c r="L36" s="352">
        <f t="shared" si="10"/>
        <v>87.545927219780253</v>
      </c>
      <c r="M36" s="352">
        <f t="shared" si="11"/>
        <v>69.874431298216919</v>
      </c>
    </row>
    <row r="37" spans="1:13">
      <c r="A37" s="135">
        <f t="shared" si="0"/>
        <v>2050</v>
      </c>
      <c r="B37" s="352">
        <f t="shared" si="12"/>
        <v>80.194043192157011</v>
      </c>
      <c r="C37" s="352">
        <f t="shared" si="1"/>
        <v>65.866228573001891</v>
      </c>
      <c r="D37" s="352">
        <f t="shared" si="2"/>
        <v>74.483436751346417</v>
      </c>
      <c r="E37" s="352">
        <f t="shared" si="3"/>
        <v>64.982828755707104</v>
      </c>
      <c r="F37" s="352">
        <f t="shared" si="4"/>
        <v>63.577780425470337</v>
      </c>
      <c r="G37" s="352">
        <f t="shared" si="5"/>
        <v>61.734730219356145</v>
      </c>
      <c r="H37" s="352">
        <f t="shared" si="6"/>
        <v>56.558292713234884</v>
      </c>
      <c r="I37" s="352">
        <f t="shared" si="7"/>
        <v>58.201867031397235</v>
      </c>
      <c r="J37" s="352">
        <f t="shared" si="8"/>
        <v>74.576605747977709</v>
      </c>
      <c r="K37" s="352">
        <f t="shared" si="9"/>
        <v>135.90078440104941</v>
      </c>
      <c r="L37" s="352">
        <f t="shared" si="10"/>
        <v>89.537597064030265</v>
      </c>
      <c r="M37" s="352">
        <f t="shared" si="11"/>
        <v>71.464074610251359</v>
      </c>
    </row>
    <row r="38" spans="1:13">
      <c r="A38" s="135">
        <f t="shared" si="0"/>
        <v>2051</v>
      </c>
      <c r="B38" s="352">
        <f t="shared" si="12"/>
        <v>82.018457674778588</v>
      </c>
      <c r="C38" s="352">
        <f t="shared" si="1"/>
        <v>67.364685273037693</v>
      </c>
      <c r="D38" s="352">
        <f t="shared" si="2"/>
        <v>76.177934937439545</v>
      </c>
      <c r="E38" s="352">
        <f t="shared" si="3"/>
        <v>66.461188109899439</v>
      </c>
      <c r="F38" s="352">
        <f t="shared" si="4"/>
        <v>65.024174930149783</v>
      </c>
      <c r="G38" s="352">
        <f t="shared" si="5"/>
        <v>63.139195331846501</v>
      </c>
      <c r="H38" s="352">
        <f t="shared" si="6"/>
        <v>57.844993872460982</v>
      </c>
      <c r="I38" s="352">
        <f t="shared" si="7"/>
        <v>59.525959506361524</v>
      </c>
      <c r="J38" s="352">
        <f t="shared" si="8"/>
        <v>76.273223528744211</v>
      </c>
      <c r="K38" s="352">
        <f t="shared" si="9"/>
        <v>138.9925272461733</v>
      </c>
      <c r="L38" s="352">
        <f t="shared" si="10"/>
        <v>91.574577397236965</v>
      </c>
      <c r="M38" s="352">
        <f t="shared" si="11"/>
        <v>73.089882307634582</v>
      </c>
    </row>
    <row r="39" spans="1:13">
      <c r="A39" s="135">
        <f t="shared" si="0"/>
        <v>2052</v>
      </c>
      <c r="B39" s="352">
        <f t="shared" si="12"/>
        <v>83.884377586879808</v>
      </c>
      <c r="C39" s="352">
        <f t="shared" si="1"/>
        <v>68.897231862999305</v>
      </c>
      <c r="D39" s="352">
        <f t="shared" si="2"/>
        <v>77.910982957266299</v>
      </c>
      <c r="E39" s="352">
        <f t="shared" si="3"/>
        <v>67.973180139399659</v>
      </c>
      <c r="F39" s="352">
        <f t="shared" si="4"/>
        <v>66.503474909810691</v>
      </c>
      <c r="G39" s="352">
        <f t="shared" si="5"/>
        <v>64.575612025646009</v>
      </c>
      <c r="H39" s="352">
        <f t="shared" si="6"/>
        <v>59.160967483059473</v>
      </c>
      <c r="I39" s="352">
        <f t="shared" si="7"/>
        <v>60.880175085131249</v>
      </c>
      <c r="J39" s="352">
        <f t="shared" si="8"/>
        <v>78.008439364023147</v>
      </c>
      <c r="K39" s="352">
        <f t="shared" si="9"/>
        <v>142.15460724102374</v>
      </c>
      <c r="L39" s="352">
        <f t="shared" si="10"/>
        <v>93.657899033024108</v>
      </c>
      <c r="M39" s="352">
        <f t="shared" si="11"/>
        <v>74.752677130133279</v>
      </c>
    </row>
    <row r="40" spans="1:13">
      <c r="A40" s="135">
        <f t="shared" si="0"/>
        <v>2053</v>
      </c>
      <c r="B40" s="352">
        <f t="shared" si="12"/>
        <v>85.792747176981322</v>
      </c>
      <c r="C40" s="352">
        <f t="shared" si="1"/>
        <v>70.464643887882545</v>
      </c>
      <c r="D40" s="352">
        <f t="shared" si="2"/>
        <v>79.683457819544117</v>
      </c>
      <c r="E40" s="352">
        <f t="shared" si="3"/>
        <v>69.519569987571003</v>
      </c>
      <c r="F40" s="352">
        <f t="shared" si="4"/>
        <v>68.016428964008881</v>
      </c>
      <c r="G40" s="352">
        <f t="shared" si="5"/>
        <v>66.044707199229464</v>
      </c>
      <c r="H40" s="352">
        <f t="shared" si="6"/>
        <v>60.506879493299081</v>
      </c>
      <c r="I40" s="352">
        <f t="shared" si="7"/>
        <v>62.26519906831799</v>
      </c>
      <c r="J40" s="352">
        <f t="shared" si="8"/>
        <v>79.783131359554673</v>
      </c>
      <c r="K40" s="352">
        <f t="shared" si="9"/>
        <v>145.38862455575705</v>
      </c>
      <c r="L40" s="352">
        <f t="shared" si="10"/>
        <v>95.788616236025405</v>
      </c>
      <c r="M40" s="352">
        <f t="shared" si="11"/>
        <v>76.453300534843819</v>
      </c>
    </row>
    <row r="41" spans="1:13">
      <c r="A41" s="135">
        <f t="shared" si="0"/>
        <v>2054</v>
      </c>
      <c r="B41" s="352"/>
      <c r="C41" s="352">
        <f t="shared" ref="C41:C46" si="13">C40*(1+$N$14)</f>
        <v>72.067714536331877</v>
      </c>
      <c r="D41" s="352"/>
      <c r="E41" s="352"/>
      <c r="F41" s="352"/>
      <c r="G41" s="352"/>
      <c r="H41" s="352">
        <f t="shared" ref="H41:H45" si="14">H40*(1+$N$14)</f>
        <v>61.883411001771641</v>
      </c>
      <c r="I41" s="352"/>
      <c r="J41" s="352">
        <f t="shared" ref="J41:J46" si="15">J40*(1+$N$14)</f>
        <v>81.598197597984552</v>
      </c>
      <c r="K41" s="352">
        <f>K40*(1+$N$14)</f>
        <v>148.69621576440053</v>
      </c>
      <c r="L41" s="352">
        <f>L40*(1+$N$14)</f>
        <v>97.967807255394987</v>
      </c>
      <c r="M41" s="352">
        <f t="shared" si="11"/>
        <v>78.192613122011522</v>
      </c>
    </row>
    <row r="42" spans="1:13">
      <c r="A42" s="135">
        <f t="shared" si="0"/>
        <v>2055</v>
      </c>
      <c r="B42" s="352"/>
      <c r="C42" s="352">
        <f t="shared" si="13"/>
        <v>73.707255042033424</v>
      </c>
      <c r="D42" s="352"/>
      <c r="E42" s="352"/>
      <c r="F42" s="352"/>
      <c r="G42" s="352"/>
      <c r="H42" s="352">
        <f t="shared" si="14"/>
        <v>63.291258602061951</v>
      </c>
      <c r="I42" s="352"/>
      <c r="J42" s="352">
        <f t="shared" si="15"/>
        <v>83.454556593338708</v>
      </c>
      <c r="K42" s="352">
        <f>K41*(1+$N$14)</f>
        <v>152.07905467304064</v>
      </c>
      <c r="L42" s="352">
        <f>L41*(1+$N$14)</f>
        <v>100.19657487045522</v>
      </c>
      <c r="M42" s="352">
        <f t="shared" si="11"/>
        <v>79.971495070537287</v>
      </c>
    </row>
    <row r="43" spans="1:13">
      <c r="A43" s="135">
        <f t="shared" si="0"/>
        <v>2056</v>
      </c>
      <c r="B43" s="352"/>
      <c r="C43" s="352">
        <f t="shared" si="13"/>
        <v>75.384095094239683</v>
      </c>
      <c r="D43" s="352"/>
      <c r="E43" s="352"/>
      <c r="F43" s="352"/>
      <c r="G43" s="352"/>
      <c r="H43" s="352">
        <f t="shared" si="14"/>
        <v>64.731134735258863</v>
      </c>
      <c r="I43" s="352"/>
      <c r="J43" s="352">
        <f t="shared" si="15"/>
        <v>85.353147755837171</v>
      </c>
      <c r="K43" s="357"/>
      <c r="L43" s="352">
        <f>L42*(1+$N$14)</f>
        <v>102.47604694875808</v>
      </c>
      <c r="M43" s="352">
        <f t="shared" si="11"/>
        <v>81.79084658339201</v>
      </c>
    </row>
    <row r="44" spans="1:13">
      <c r="A44" s="135">
        <f t="shared" si="0"/>
        <v>2057</v>
      </c>
      <c r="B44" s="352"/>
      <c r="C44" s="352">
        <f t="shared" si="13"/>
        <v>77.099083257633637</v>
      </c>
      <c r="D44" s="352"/>
      <c r="E44" s="352"/>
      <c r="F44" s="352"/>
      <c r="G44" s="352"/>
      <c r="H44" s="352">
        <f t="shared" si="14"/>
        <v>66.203768050486005</v>
      </c>
      <c r="I44" s="352"/>
      <c r="J44" s="352">
        <f t="shared" si="15"/>
        <v>87.294931867282472</v>
      </c>
      <c r="K44" s="357"/>
      <c r="L44" s="352">
        <f>L43*(1+$N$14)</f>
        <v>104.80737701684234</v>
      </c>
      <c r="M44" s="352">
        <f t="shared" si="11"/>
        <v>83.651588343164178</v>
      </c>
    </row>
    <row r="45" spans="1:13">
      <c r="A45" s="135">
        <f t="shared" si="0"/>
        <v>2058</v>
      </c>
      <c r="B45" s="352"/>
      <c r="C45" s="352">
        <f t="shared" si="13"/>
        <v>78.853087401744801</v>
      </c>
      <c r="D45" s="352"/>
      <c r="E45" s="352"/>
      <c r="F45" s="352"/>
      <c r="G45" s="352"/>
      <c r="H45" s="352">
        <f t="shared" si="14"/>
        <v>67.709903773634565</v>
      </c>
      <c r="I45" s="352"/>
      <c r="J45" s="352">
        <f t="shared" si="15"/>
        <v>89.280891567263154</v>
      </c>
      <c r="K45" s="357"/>
      <c r="L45" s="352">
        <f>L44*(1+$N$14)</f>
        <v>107.1917448439755</v>
      </c>
      <c r="M45" s="352">
        <f t="shared" si="11"/>
        <v>85.554661977971165</v>
      </c>
    </row>
    <row r="46" spans="1:13">
      <c r="A46" s="135">
        <f t="shared" si="0"/>
        <v>2059</v>
      </c>
      <c r="B46" s="352"/>
      <c r="C46" s="352">
        <f t="shared" si="13"/>
        <v>80.646995140134493</v>
      </c>
      <c r="D46" s="352"/>
      <c r="E46" s="352"/>
      <c r="F46" s="352"/>
      <c r="G46" s="352"/>
      <c r="H46" s="352"/>
      <c r="I46" s="352"/>
      <c r="J46" s="352">
        <f t="shared" si="15"/>
        <v>91.312031850418393</v>
      </c>
      <c r="K46" s="357"/>
      <c r="L46" s="357"/>
      <c r="M46" s="352">
        <f t="shared" si="11"/>
        <v>87.50103053797001</v>
      </c>
    </row>
    <row r="47" spans="1:13">
      <c r="A47" s="135">
        <f t="shared" ref="A47:A48" si="16">A46+1</f>
        <v>2060</v>
      </c>
      <c r="B47" s="352"/>
      <c r="C47" s="352">
        <f t="shared" ref="C47:C48" si="17">C46*(1+$N$14)</f>
        <v>82.481714279572557</v>
      </c>
      <c r="D47" s="352"/>
      <c r="E47" s="352"/>
      <c r="F47" s="352"/>
      <c r="G47" s="352"/>
      <c r="H47" s="352"/>
      <c r="I47" s="352"/>
      <c r="J47" s="352"/>
      <c r="K47" s="357"/>
      <c r="L47" s="357"/>
      <c r="M47" s="352">
        <f t="shared" ref="M47:M48" si="18">M46*(1+$N$14)</f>
        <v>89.491678982708834</v>
      </c>
    </row>
    <row r="48" spans="1:13">
      <c r="A48" s="135">
        <f t="shared" si="16"/>
        <v>2061</v>
      </c>
      <c r="B48" s="352"/>
      <c r="C48" s="352">
        <f t="shared" si="17"/>
        <v>84.358173279432833</v>
      </c>
      <c r="D48" s="352"/>
      <c r="E48" s="352"/>
      <c r="F48" s="352"/>
      <c r="G48" s="352"/>
      <c r="H48" s="352"/>
      <c r="I48" s="352"/>
      <c r="J48" s="352"/>
      <c r="K48" s="357"/>
      <c r="L48" s="357"/>
      <c r="M48" s="352">
        <f t="shared" si="18"/>
        <v>91.52761467956546</v>
      </c>
    </row>
    <row r="49" spans="1:13" ht="12" customHeight="1">
      <c r="A49" s="135"/>
    </row>
    <row r="50" spans="1:13" ht="12" customHeight="1">
      <c r="A50" s="353" t="s">
        <v>160</v>
      </c>
      <c r="B50" s="354">
        <f>PMT(Discount_Rate,30,-NPV(Discount_Rate,Table3ACsummary!B$11:B$40))</f>
        <v>56.452672190849398</v>
      </c>
      <c r="C50" s="354">
        <f>PMT(Discount_Rate,30,-NPV(Discount_Rate,Table3ACsummary!C$17:C$46))</f>
        <v>53.194647722737948</v>
      </c>
      <c r="D50" s="354">
        <f>PMT(Discount_Rate,30,-NPV(Discount_Rate,Table3ACsummary!D$11:D$40))</f>
        <v>52.498822531098781</v>
      </c>
      <c r="E50" s="354">
        <f>PMT(Discount_Rate,30,-NPV(Discount_Rate,Table3ACsummary!E$11:E$40))</f>
        <v>45.802377066675561</v>
      </c>
      <c r="F50" s="354">
        <f>PMT(Discount_Rate,30,-NPV(Discount_Rate,Table3ACsummary!F$11:F$40))</f>
        <v>44.809408475957021</v>
      </c>
      <c r="G50" s="354">
        <f>PMT(Discount_Rate,30,-NPV(Discount_Rate,Table3ACsummary!G$11:G$40))</f>
        <v>43.513070243437816</v>
      </c>
      <c r="H50" s="354">
        <f>PMT(Discount_Rate,30,-NPV(Discount_Rate,Table3ACsummary!H$16:H$45))</f>
        <v>44.651286160599007</v>
      </c>
      <c r="I50" s="354">
        <f>PMT(Discount_Rate,30,-NPV(Discount_Rate,Table3ACsummary!I$11:I$40))</f>
        <v>41.020332252745924</v>
      </c>
      <c r="J50" s="354">
        <f>PMT(Discount_Rate,30,-NPV(Discount_Rate,Table3ACsummary!J$11:J$40))</f>
        <v>53.630245441041929</v>
      </c>
      <c r="K50" s="354">
        <f>PMT(Discount_Rate,30,-NPV(Discount_Rate,Table3ACsummary!K$13:K$42))</f>
        <v>98.841169558044996</v>
      </c>
      <c r="L50" s="354">
        <f>PMT(Discount_Rate,30,-NPV(Discount_Rate,Table3ACsummary!L$16:L$45))</f>
        <v>71.227429727284957</v>
      </c>
      <c r="M50" s="354">
        <f>PMT(Discount_Rate,30,-NPV(Discount_Rate,Table3ACsummary!M$19:M$48))</f>
        <v>60.379073008290256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25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G18" sqref="G18"/>
    </sheetView>
  </sheetViews>
  <sheetFormatPr defaultColWidth="9.33203125" defaultRowHeight="12.75" zeroHeight="1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Tesoro Non Firm - 25.0 MW and 85.0% CF</v>
      </c>
      <c r="C4" s="83"/>
      <c r="D4" s="83"/>
      <c r="E4" s="83"/>
      <c r="F4" s="83"/>
      <c r="G4" s="83"/>
      <c r="K4" s="56">
        <f>MIN(K13:K24)</f>
        <v>44562</v>
      </c>
      <c r="M4" s="399" t="s">
        <v>235</v>
      </c>
      <c r="P4" s="218" t="s">
        <v>230</v>
      </c>
      <c r="Q4" s="218" t="s">
        <v>231</v>
      </c>
      <c r="R4" s="218" t="s">
        <v>232</v>
      </c>
      <c r="S4" s="218" t="s">
        <v>233</v>
      </c>
    </row>
    <row r="5" spans="1:19">
      <c r="B5" s="83" t="str">
        <f>TEXT($K$5,"MMMM YYYY")&amp;"  through  "&amp;TEXT($K$6,"MMMM YYYY")</f>
        <v>January 2022  through  December 2036</v>
      </c>
      <c r="C5" s="83"/>
      <c r="D5" s="83"/>
      <c r="E5" s="83"/>
      <c r="F5" s="83"/>
      <c r="G5" s="83"/>
      <c r="J5" s="56" t="s">
        <v>38</v>
      </c>
      <c r="K5" s="188">
        <f>MIN(K13:K24)</f>
        <v>44562</v>
      </c>
      <c r="M5" s="56" t="s">
        <v>39</v>
      </c>
      <c r="O5" s="3" t="s">
        <v>79</v>
      </c>
      <c r="P5" s="5">
        <f>13+12</f>
        <v>25</v>
      </c>
      <c r="Q5" s="5">
        <f>13+12*3</f>
        <v>49</v>
      </c>
      <c r="R5" s="5">
        <v>21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8">
        <f>EDATE(K5,15*12-1)</f>
        <v>50010</v>
      </c>
      <c r="M6" s="57">
        <v>25</v>
      </c>
      <c r="N6" s="56" t="s">
        <v>32</v>
      </c>
      <c r="O6" s="5" t="s">
        <v>80</v>
      </c>
      <c r="P6">
        <f>P5+15*12-1</f>
        <v>204</v>
      </c>
      <c r="Q6">
        <f>Q5+15*12-1</f>
        <v>228</v>
      </c>
      <c r="R6">
        <f>R5+15*12-1</f>
        <v>200</v>
      </c>
      <c r="S6">
        <f>S5+15*1-1</f>
        <v>27</v>
      </c>
    </row>
    <row r="7" spans="1:19">
      <c r="A7" s="107"/>
      <c r="C7" s="58"/>
      <c r="D7" s="58"/>
      <c r="E7" s="58"/>
      <c r="F7" s="388"/>
      <c r="G7" s="91"/>
      <c r="M7" s="389">
        <f ca="1">SUM(OFFSET(F12,MATCH(K5,B13:B24,0),0,12))/(EDATE(K5,12)-K5)/24/Study_MW</f>
        <v>0.85</v>
      </c>
      <c r="N7" s="88" t="s">
        <v>34</v>
      </c>
    </row>
    <row r="8" spans="1:19">
      <c r="A8" s="107"/>
      <c r="B8" s="107" t="str">
        <f>"Nominal NPV at "&amp;TEXT(J9,"0.00%")&amp;" Discount Rate"</f>
        <v>Nominal NPV at 6.92% Discount Rate</v>
      </c>
      <c r="J8" s="56" t="str">
        <f>'Table 1'!I42</f>
        <v>Discount Rate - 2019 IRP Update</v>
      </c>
    </row>
    <row r="9" spans="1:19">
      <c r="A9" s="107" t="str">
        <f>S4</f>
        <v>15 Year</v>
      </c>
      <c r="C9" s="58">
        <f ca="1">NPV($K$9,INDIRECT("C"&amp;$S$5&amp;":C"&amp;$S$6))</f>
        <v>4492368.6944547901</v>
      </c>
      <c r="D9" s="58">
        <f ca="1">NPV($K$9,INDIRECT("d"&amp;$S$5&amp;":d"&amp;$S$6))</f>
        <v>0</v>
      </c>
      <c r="E9" s="58">
        <f ca="1">NPV($K$9,INDIRECT("e"&amp;$S$5&amp;":e"&amp;$S$6))</f>
        <v>4492368.6944547901</v>
      </c>
      <c r="F9" s="388">
        <f ca="1">NPV($K$9,INDIRECT("f"&amp;$S$5&amp;":f"&amp;$S$6))</f>
        <v>179531.23044264715</v>
      </c>
      <c r="G9" s="91">
        <f ca="1">($C9+D9)/$F9</f>
        <v>25.022770040502326</v>
      </c>
      <c r="J9" s="110">
        <f>'Table 1'!I43</f>
        <v>6.9199999999999998E-2</v>
      </c>
      <c r="K9" s="93">
        <f>((1+J9)^(1/12))-1</f>
        <v>5.5914663265468345E-3</v>
      </c>
    </row>
    <row r="10" spans="1:19">
      <c r="A10" s="107"/>
      <c r="C10" s="58"/>
      <c r="D10" s="58"/>
      <c r="E10" s="58"/>
      <c r="F10" s="388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0.0% CF</v>
      </c>
      <c r="E12" s="66" t="s">
        <v>50</v>
      </c>
      <c r="F12" s="67" t="s">
        <v>46</v>
      </c>
      <c r="G12" s="65" t="str">
        <f>D12</f>
        <v>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70</v>
      </c>
      <c r="R12" s="56" t="s">
        <v>71</v>
      </c>
    </row>
    <row r="13" spans="1:19">
      <c r="B13" s="74">
        <v>44562</v>
      </c>
      <c r="C13" s="69">
        <v>380675.8446290195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380675.8446290195</v>
      </c>
      <c r="F13" s="69">
        <v>15810</v>
      </c>
      <c r="G13" s="72">
        <f t="shared" ref="G13:G17" si="1">IF(ISNUMBER($F13),E13/$F13,"")</f>
        <v>24.078168540734946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v>361</v>
      </c>
      <c r="M13" s="56" t="s">
        <v>49</v>
      </c>
    </row>
    <row r="14" spans="1:19">
      <c r="B14" s="78">
        <f t="shared" ref="B14:B77" si="3">EDATE(B13,1)</f>
        <v>44593</v>
      </c>
      <c r="C14" s="75">
        <v>366232.21637678146</v>
      </c>
      <c r="D14" s="71">
        <f>IF(ISNUMBER($F14),VLOOKUP($J14,'Table 1'!$B$13:$C$33,2,FALSE)/12*1000*Study_MW,"")</f>
        <v>0</v>
      </c>
      <c r="E14" s="71">
        <f t="shared" si="0"/>
        <v>366232.21637678146</v>
      </c>
      <c r="F14" s="75">
        <v>14280</v>
      </c>
      <c r="G14" s="76">
        <f t="shared" si="1"/>
        <v>25.646513751875453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v>462</v>
      </c>
      <c r="M14" s="90" t="s">
        <v>251</v>
      </c>
    </row>
    <row r="15" spans="1:19">
      <c r="B15" s="78">
        <f t="shared" si="3"/>
        <v>44621</v>
      </c>
      <c r="C15" s="75">
        <v>344758.89806945622</v>
      </c>
      <c r="D15" s="71">
        <f>IF(ISNUMBER($F15),VLOOKUP($J15,'Table 1'!$B$13:$C$33,2,FALSE)/12*1000*Study_MW,"")</f>
        <v>0</v>
      </c>
      <c r="E15" s="71">
        <f t="shared" si="0"/>
        <v>344758.89806945622</v>
      </c>
      <c r="F15" s="75">
        <v>15810</v>
      </c>
      <c r="G15" s="76">
        <f t="shared" si="1"/>
        <v>21.806381914576612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v>260333.15355008841</v>
      </c>
      <c r="D16" s="71">
        <f>IF(ISNUMBER($F16),VLOOKUP($J16,'Table 1'!$B$13:$C$33,2,FALSE)/12*1000*Study_MW,"")</f>
        <v>0</v>
      </c>
      <c r="E16" s="71">
        <f t="shared" si="0"/>
        <v>260333.15355008841</v>
      </c>
      <c r="F16" s="75">
        <v>15300</v>
      </c>
      <c r="G16" s="76">
        <f t="shared" si="1"/>
        <v>17.015238794123427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>SUMIF($J$13:$J$264,L16,$C$13:$C$264)</f>
        <v>4662223.0278503001</v>
      </c>
      <c r="N16" s="56">
        <f>SUMIF($J$13:$J$264,L16,$D$13:$D$264)</f>
        <v>0</v>
      </c>
      <c r="O16" s="56">
        <f t="shared" ref="O16:O25" si="6">SUMIF($J$13:$J$264,L16,$F$13:$F$264)</f>
        <v>186150</v>
      </c>
      <c r="P16" s="113">
        <f t="shared" ref="P16:P25" si="7">(M16+N16)/O16</f>
        <v>25.045517205749665</v>
      </c>
      <c r="Q16" s="166">
        <f>M16/O16</f>
        <v>25.045517205749665</v>
      </c>
      <c r="R16" s="166">
        <f>IFERROR(N16/O16,0)</f>
        <v>0</v>
      </c>
    </row>
    <row r="17" spans="2:20">
      <c r="B17" s="78">
        <f t="shared" si="3"/>
        <v>44682</v>
      </c>
      <c r="C17" s="75">
        <v>257724.62500958145</v>
      </c>
      <c r="D17" s="71">
        <f>IF(ISNUMBER($F17),VLOOKUP($J17,'Table 1'!$B$13:$C$33,2,FALSE)/12*1000*Study_MW,"")</f>
        <v>0</v>
      </c>
      <c r="E17" s="71">
        <f t="shared" si="0"/>
        <v>257724.62500958145</v>
      </c>
      <c r="F17" s="75">
        <v>15810</v>
      </c>
      <c r="G17" s="76">
        <f t="shared" si="1"/>
        <v>16.301367805792626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>
        <f>L16+1</f>
        <v>2023</v>
      </c>
      <c r="M17" s="56">
        <f>SUMIF($J$13:$J$264,L17,$C$13:$C$264)</f>
        <v>0</v>
      </c>
      <c r="N17" s="56">
        <f t="shared" ref="N17:N36" si="8">SUMIF($J$13:$J$264,L17,$D$13:$D$264)</f>
        <v>0</v>
      </c>
      <c r="O17" s="56">
        <f t="shared" si="6"/>
        <v>0</v>
      </c>
      <c r="P17" s="113" t="e">
        <f t="shared" si="7"/>
        <v>#DIV/0!</v>
      </c>
      <c r="Q17" s="166" t="e">
        <f t="shared" ref="Q17:Q33" si="9">M17/O17</f>
        <v>#DIV/0!</v>
      </c>
      <c r="R17" s="166">
        <f t="shared" ref="R17:R33" si="10">IFERROR(N17/O17,0)</f>
        <v>0</v>
      </c>
    </row>
    <row r="18" spans="2:20">
      <c r="B18" s="78">
        <f t="shared" si="3"/>
        <v>44713</v>
      </c>
      <c r="C18" s="75">
        <v>323365.68703614175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323365.68703614175</v>
      </c>
      <c r="F18" s="75">
        <v>15300</v>
      </c>
      <c r="G18" s="76">
        <f t="shared" ref="G18:G19" si="12">IF(ISNUMBER($F18),E18/$F18,"")</f>
        <v>21.135012224584429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>
        <f t="shared" ref="L18:L42" si="13">L17+1</f>
        <v>2024</v>
      </c>
      <c r="M18" s="56">
        <f t="shared" ref="M18:M36" si="14">SUMIF($J$13:$J$264,L18,$C$13:$C$264)</f>
        <v>0</v>
      </c>
      <c r="N18" s="56">
        <f t="shared" si="8"/>
        <v>0</v>
      </c>
      <c r="O18" s="56">
        <f t="shared" si="6"/>
        <v>0</v>
      </c>
      <c r="P18" s="113" t="e">
        <f t="shared" si="7"/>
        <v>#DIV/0!</v>
      </c>
      <c r="Q18" s="166" t="e">
        <f t="shared" si="9"/>
        <v>#DIV/0!</v>
      </c>
      <c r="R18" s="166">
        <f t="shared" si="10"/>
        <v>0</v>
      </c>
    </row>
    <row r="19" spans="2:20">
      <c r="B19" s="78">
        <f t="shared" si="3"/>
        <v>44743</v>
      </c>
      <c r="C19" s="75">
        <v>587604.93859243393</v>
      </c>
      <c r="D19" s="71">
        <f>IF(ISNUMBER($F19),VLOOKUP($J19,'Table 1'!$B$13:$C$33,2,FALSE)/12*1000*Study_MW,"")</f>
        <v>0</v>
      </c>
      <c r="E19" s="71">
        <f t="shared" si="11"/>
        <v>587604.93859243393</v>
      </c>
      <c r="F19" s="75">
        <v>15810</v>
      </c>
      <c r="G19" s="76">
        <f t="shared" si="12"/>
        <v>37.166662782570143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>
        <f t="shared" si="13"/>
        <v>2025</v>
      </c>
      <c r="M19" s="56">
        <f t="shared" si="14"/>
        <v>0</v>
      </c>
      <c r="N19" s="56">
        <f t="shared" si="8"/>
        <v>0</v>
      </c>
      <c r="O19" s="56">
        <f t="shared" si="6"/>
        <v>0</v>
      </c>
      <c r="P19" s="113" t="e">
        <f t="shared" si="7"/>
        <v>#DIV/0!</v>
      </c>
      <c r="Q19" s="166" t="e">
        <f t="shared" si="9"/>
        <v>#DIV/0!</v>
      </c>
      <c r="R19" s="166">
        <f t="shared" si="10"/>
        <v>0</v>
      </c>
    </row>
    <row r="20" spans="2:20">
      <c r="B20" s="78">
        <f t="shared" si="3"/>
        <v>44774</v>
      </c>
      <c r="C20" s="75">
        <v>698521.59055957198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698521.59055957198</v>
      </c>
      <c r="F20" s="75">
        <v>15810</v>
      </c>
      <c r="G20" s="76">
        <f t="shared" ref="G20:G77" si="16">IF(ISNUMBER($F20),E20/$F20,"")</f>
        <v>44.182263792509296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>
        <f t="shared" si="13"/>
        <v>2026</v>
      </c>
      <c r="M20" s="56">
        <f t="shared" si="14"/>
        <v>0</v>
      </c>
      <c r="N20" s="56">
        <f t="shared" si="8"/>
        <v>0</v>
      </c>
      <c r="O20" s="56">
        <f t="shared" si="6"/>
        <v>0</v>
      </c>
      <c r="P20" s="113" t="e">
        <f t="shared" si="7"/>
        <v>#DIV/0!</v>
      </c>
      <c r="Q20" s="166" t="e">
        <f t="shared" si="9"/>
        <v>#DIV/0!</v>
      </c>
      <c r="R20" s="166">
        <f t="shared" si="10"/>
        <v>0</v>
      </c>
    </row>
    <row r="21" spans="2:20">
      <c r="B21" s="78">
        <f t="shared" si="3"/>
        <v>44805</v>
      </c>
      <c r="C21" s="75">
        <v>440731.3521887958</v>
      </c>
      <c r="D21" s="71">
        <f>IF(ISNUMBER($F21),VLOOKUP($J21,'Table 1'!$B$13:$C$33,2,FALSE)/12*1000*Study_MW,"")</f>
        <v>0</v>
      </c>
      <c r="E21" s="71">
        <f t="shared" si="15"/>
        <v>440731.3521887958</v>
      </c>
      <c r="F21" s="75">
        <v>15300</v>
      </c>
      <c r="G21" s="76">
        <f t="shared" si="16"/>
        <v>28.805970731293844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>
        <f t="shared" si="13"/>
        <v>2027</v>
      </c>
      <c r="M21" s="56">
        <f t="shared" si="14"/>
        <v>0</v>
      </c>
      <c r="N21" s="56">
        <f t="shared" si="8"/>
        <v>0</v>
      </c>
      <c r="O21" s="56">
        <f t="shared" si="6"/>
        <v>0</v>
      </c>
      <c r="P21" s="113" t="e">
        <f t="shared" si="7"/>
        <v>#DIV/0!</v>
      </c>
      <c r="Q21" s="166" t="e">
        <f t="shared" si="9"/>
        <v>#DIV/0!</v>
      </c>
      <c r="R21" s="166">
        <f t="shared" si="10"/>
        <v>0</v>
      </c>
    </row>
    <row r="22" spans="2:20">
      <c r="B22" s="78">
        <f t="shared" si="3"/>
        <v>44835</v>
      </c>
      <c r="C22" s="75">
        <v>311973.87433718145</v>
      </c>
      <c r="D22" s="71">
        <f>IF(ISNUMBER($F22),VLOOKUP($J22,'Table 1'!$B$13:$C$33,2,FALSE)/12*1000*Study_MW,"")</f>
        <v>0</v>
      </c>
      <c r="E22" s="71">
        <f t="shared" si="15"/>
        <v>311973.87433718145</v>
      </c>
      <c r="F22" s="75">
        <v>15810</v>
      </c>
      <c r="G22" s="76">
        <f t="shared" si="16"/>
        <v>19.732692873952022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>
        <f t="shared" si="13"/>
        <v>2028</v>
      </c>
      <c r="M22" s="56">
        <f t="shared" si="14"/>
        <v>0</v>
      </c>
      <c r="N22" s="56">
        <f t="shared" si="8"/>
        <v>0</v>
      </c>
      <c r="O22" s="56">
        <f t="shared" si="6"/>
        <v>0</v>
      </c>
      <c r="P22" s="113" t="e">
        <f t="shared" si="7"/>
        <v>#DIV/0!</v>
      </c>
      <c r="Q22" s="166" t="e">
        <f t="shared" si="9"/>
        <v>#DIV/0!</v>
      </c>
      <c r="R22" s="166">
        <f t="shared" si="10"/>
        <v>0</v>
      </c>
    </row>
    <row r="23" spans="2:20">
      <c r="B23" s="78">
        <f t="shared" si="3"/>
        <v>44866</v>
      </c>
      <c r="C23" s="75">
        <v>314668.11967276037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314668.11967276037</v>
      </c>
      <c r="F23" s="75">
        <v>15300</v>
      </c>
      <c r="G23" s="76">
        <f t="shared" ref="G23" si="18">IF(ISNUMBER($F23),E23/$F23,"")</f>
        <v>20.566543769461461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>
        <f t="shared" si="13"/>
        <v>2029</v>
      </c>
      <c r="M23" s="56">
        <f t="shared" si="14"/>
        <v>0</v>
      </c>
      <c r="N23" s="56">
        <f t="shared" si="8"/>
        <v>0</v>
      </c>
      <c r="O23" s="56">
        <f t="shared" si="6"/>
        <v>0</v>
      </c>
      <c r="P23" s="113" t="e">
        <f t="shared" si="7"/>
        <v>#DIV/0!</v>
      </c>
      <c r="Q23" s="166" t="e">
        <f t="shared" si="9"/>
        <v>#DIV/0!</v>
      </c>
      <c r="R23" s="166">
        <f t="shared" si="10"/>
        <v>0</v>
      </c>
      <c r="T23" s="41">
        <v>2.1999999999999999E-2</v>
      </c>
    </row>
    <row r="24" spans="2:20">
      <c r="B24" s="82">
        <f t="shared" si="3"/>
        <v>44896</v>
      </c>
      <c r="C24" s="79">
        <v>375632.72782848775</v>
      </c>
      <c r="D24" s="80">
        <f>IF(F24&lt;&gt;0,VLOOKUP($J24,'Table 1'!$B$13:$C$33,2,FALSE)/12*1000*Study_MW,0)</f>
        <v>0</v>
      </c>
      <c r="E24" s="80">
        <f t="shared" ref="E24" si="19">IF(ISNUMBER(C24+D24),C24+D24,"")</f>
        <v>375632.72782848775</v>
      </c>
      <c r="F24" s="79">
        <v>15810</v>
      </c>
      <c r="G24" s="81">
        <f t="shared" ref="G24" si="20">IF(ISNUMBER($F24),E24/$F24,"")</f>
        <v>23.759185820903717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>
        <f t="shared" si="13"/>
        <v>2030</v>
      </c>
      <c r="M24" s="56">
        <f t="shared" si="14"/>
        <v>0</v>
      </c>
      <c r="N24" s="56">
        <f t="shared" si="8"/>
        <v>0</v>
      </c>
      <c r="O24" s="56">
        <f t="shared" si="6"/>
        <v>0</v>
      </c>
      <c r="P24" s="113" t="e">
        <f t="shared" si="7"/>
        <v>#DIV/0!</v>
      </c>
      <c r="Q24" s="166" t="e">
        <f t="shared" si="9"/>
        <v>#DIV/0!</v>
      </c>
      <c r="R24" s="166">
        <f t="shared" si="10"/>
        <v>0</v>
      </c>
    </row>
    <row r="25" spans="2:20" hidden="1" outlineLevel="1">
      <c r="B25" s="74">
        <f t="shared" si="3"/>
        <v>44927</v>
      </c>
      <c r="C25" s="69">
        <v>0</v>
      </c>
      <c r="D25" s="70">
        <f>IF(F25&lt;&gt;0,VLOOKUP($J25,'Table 1'!$B$13:$C$33,2,FALSE)/12*1000*Study_MW,0)</f>
        <v>0</v>
      </c>
      <c r="E25" s="70">
        <f t="shared" ref="E25:E77" si="21">C25+D25</f>
        <v>0</v>
      </c>
      <c r="F25" s="69">
        <v>0</v>
      </c>
      <c r="G25" s="72" t="e">
        <f t="shared" si="16"/>
        <v>#DIV/0!</v>
      </c>
      <c r="I25" s="60">
        <f>I13+13</f>
        <v>14</v>
      </c>
      <c r="J25" s="73">
        <f t="shared" si="4"/>
        <v>2023</v>
      </c>
      <c r="K25" s="74" t="str">
        <f>IF(ISNUMBER(F25),IF(F25&lt;&gt;0,B25,""),"")</f>
        <v/>
      </c>
      <c r="L25" s="73">
        <f t="shared" si="13"/>
        <v>2031</v>
      </c>
      <c r="M25" s="56">
        <f t="shared" si="14"/>
        <v>0</v>
      </c>
      <c r="N25" s="56">
        <f t="shared" si="8"/>
        <v>0</v>
      </c>
      <c r="O25" s="56">
        <f t="shared" si="6"/>
        <v>0</v>
      </c>
      <c r="P25" s="113" t="e">
        <f t="shared" si="7"/>
        <v>#DIV/0!</v>
      </c>
      <c r="Q25" s="166" t="e">
        <f t="shared" si="9"/>
        <v>#DIV/0!</v>
      </c>
      <c r="R25" s="166">
        <f t="shared" si="10"/>
        <v>0</v>
      </c>
    </row>
    <row r="26" spans="2:20" hidden="1" outlineLevel="1">
      <c r="B26" s="78">
        <f t="shared" si="3"/>
        <v>44958</v>
      </c>
      <c r="C26" s="75">
        <v>0</v>
      </c>
      <c r="D26" s="71">
        <f>IF(F26&lt;&gt;0,VLOOKUP($J26,'Table 1'!$B$13:$C$33,2,FALSE)/12*1000*Study_MW,0)</f>
        <v>0</v>
      </c>
      <c r="E26" s="71">
        <f t="shared" si="21"/>
        <v>0</v>
      </c>
      <c r="F26" s="75">
        <v>0</v>
      </c>
      <c r="G26" s="76" t="e">
        <f t="shared" si="16"/>
        <v>#DIV/0!</v>
      </c>
      <c r="I26" s="77">
        <f t="shared" ref="I26:I89" si="22">I14+13</f>
        <v>15</v>
      </c>
      <c r="J26" s="73">
        <f t="shared" si="4"/>
        <v>2023</v>
      </c>
      <c r="K26" s="78" t="str">
        <f t="shared" ref="K26:K89" si="23">IF(ISNUMBER(F26),IF(F26&lt;&gt;0,B26,""),"")</f>
        <v/>
      </c>
      <c r="L26" s="73">
        <f t="shared" si="13"/>
        <v>2032</v>
      </c>
      <c r="M26" s="56">
        <f t="shared" si="14"/>
        <v>0</v>
      </c>
      <c r="N26" s="56">
        <f t="shared" si="8"/>
        <v>0</v>
      </c>
      <c r="O26" s="56">
        <f>SUMIF($J$13:$J$264,L26,$F$13:$F$264)</f>
        <v>0</v>
      </c>
      <c r="P26" s="113" t="e">
        <f>(M26+N26)/O26</f>
        <v>#DIV/0!</v>
      </c>
      <c r="Q26" s="166" t="e">
        <f t="shared" si="9"/>
        <v>#DIV/0!</v>
      </c>
      <c r="R26" s="166">
        <f t="shared" si="10"/>
        <v>0</v>
      </c>
    </row>
    <row r="27" spans="2:20" hidden="1" outlineLevel="1">
      <c r="B27" s="78">
        <f t="shared" si="3"/>
        <v>44986</v>
      </c>
      <c r="C27" s="75">
        <v>0</v>
      </c>
      <c r="D27" s="71">
        <f>IF(F27&lt;&gt;0,VLOOKUP($J27,'Table 1'!$B$13:$C$33,2,FALSE)/12*1000*Study_MW,0)</f>
        <v>0</v>
      </c>
      <c r="E27" s="71">
        <f t="shared" si="21"/>
        <v>0</v>
      </c>
      <c r="F27" s="75">
        <v>0</v>
      </c>
      <c r="G27" s="76" t="e">
        <f t="shared" si="16"/>
        <v>#DIV/0!</v>
      </c>
      <c r="I27" s="77">
        <f t="shared" si="22"/>
        <v>16</v>
      </c>
      <c r="J27" s="73">
        <f t="shared" si="4"/>
        <v>2023</v>
      </c>
      <c r="K27" s="78" t="str">
        <f t="shared" si="23"/>
        <v/>
      </c>
      <c r="L27" s="73">
        <f t="shared" si="13"/>
        <v>2033</v>
      </c>
      <c r="M27" s="56">
        <f t="shared" si="14"/>
        <v>0</v>
      </c>
      <c r="N27" s="56">
        <f t="shared" si="8"/>
        <v>0</v>
      </c>
      <c r="O27" s="56">
        <f t="shared" ref="O27:O31" si="24">SUMIF($J$13:$J$264,L27,$F$13:$F$264)</f>
        <v>0</v>
      </c>
      <c r="P27" s="113" t="e">
        <f t="shared" ref="P27:P31" si="25">(M27+N27)/O27</f>
        <v>#DIV/0!</v>
      </c>
      <c r="Q27" s="166" t="e">
        <f t="shared" si="9"/>
        <v>#DIV/0!</v>
      </c>
      <c r="R27" s="166">
        <f t="shared" si="10"/>
        <v>0</v>
      </c>
    </row>
    <row r="28" spans="2:20" hidden="1" outlineLevel="1">
      <c r="B28" s="78">
        <f t="shared" si="3"/>
        <v>45017</v>
      </c>
      <c r="C28" s="75">
        <v>0</v>
      </c>
      <c r="D28" s="71">
        <f>IF(F28&lt;&gt;0,VLOOKUP($J28,'Table 1'!$B$13:$C$33,2,FALSE)/12*1000*Study_MW,0)</f>
        <v>0</v>
      </c>
      <c r="E28" s="71">
        <f t="shared" si="21"/>
        <v>0</v>
      </c>
      <c r="F28" s="75">
        <v>0</v>
      </c>
      <c r="G28" s="76" t="e">
        <f t="shared" si="16"/>
        <v>#DIV/0!</v>
      </c>
      <c r="I28" s="77">
        <f t="shared" si="22"/>
        <v>17</v>
      </c>
      <c r="J28" s="73">
        <f t="shared" si="4"/>
        <v>2023</v>
      </c>
      <c r="K28" s="78" t="str">
        <f t="shared" si="23"/>
        <v/>
      </c>
      <c r="L28" s="73">
        <f t="shared" si="13"/>
        <v>2034</v>
      </c>
      <c r="M28" s="56">
        <f t="shared" si="14"/>
        <v>0</v>
      </c>
      <c r="N28" s="56">
        <f t="shared" si="8"/>
        <v>0</v>
      </c>
      <c r="O28" s="56">
        <f t="shared" si="24"/>
        <v>0</v>
      </c>
      <c r="P28" s="113" t="e">
        <f t="shared" si="25"/>
        <v>#DIV/0!</v>
      </c>
      <c r="Q28" s="166" t="e">
        <f t="shared" si="9"/>
        <v>#DIV/0!</v>
      </c>
      <c r="R28" s="166">
        <f t="shared" si="10"/>
        <v>0</v>
      </c>
    </row>
    <row r="29" spans="2:20" hidden="1" outlineLevel="1">
      <c r="B29" s="78">
        <f t="shared" si="3"/>
        <v>45047</v>
      </c>
      <c r="C29" s="75">
        <v>0</v>
      </c>
      <c r="D29" s="71">
        <f>IF(F29&lt;&gt;0,VLOOKUP($J29,'Table 1'!$B$13:$C$33,2,FALSE)/12*1000*Study_MW,0)</f>
        <v>0</v>
      </c>
      <c r="E29" s="71">
        <f t="shared" si="21"/>
        <v>0</v>
      </c>
      <c r="F29" s="75">
        <v>0</v>
      </c>
      <c r="G29" s="76" t="e">
        <f t="shared" si="16"/>
        <v>#DIV/0!</v>
      </c>
      <c r="I29" s="77">
        <f t="shared" si="22"/>
        <v>18</v>
      </c>
      <c r="J29" s="73">
        <f t="shared" si="4"/>
        <v>2023</v>
      </c>
      <c r="K29" s="78" t="str">
        <f t="shared" si="23"/>
        <v/>
      </c>
      <c r="L29" s="73">
        <f t="shared" si="13"/>
        <v>2035</v>
      </c>
      <c r="M29" s="56">
        <f t="shared" si="14"/>
        <v>0</v>
      </c>
      <c r="N29" s="56">
        <f t="shared" si="8"/>
        <v>0</v>
      </c>
      <c r="O29" s="56">
        <f t="shared" si="24"/>
        <v>0</v>
      </c>
      <c r="P29" s="113" t="e">
        <f t="shared" si="25"/>
        <v>#DIV/0!</v>
      </c>
      <c r="Q29" s="166" t="e">
        <f t="shared" si="9"/>
        <v>#DIV/0!</v>
      </c>
      <c r="R29" s="166">
        <f t="shared" si="10"/>
        <v>0</v>
      </c>
    </row>
    <row r="30" spans="2:20" hidden="1" outlineLevel="1">
      <c r="B30" s="78">
        <f t="shared" si="3"/>
        <v>45078</v>
      </c>
      <c r="C30" s="75">
        <v>0</v>
      </c>
      <c r="D30" s="71">
        <f>IF(F30&lt;&gt;0,VLOOKUP($J30,'Table 1'!$B$13:$C$33,2,FALSE)/12*1000*Study_MW,0)</f>
        <v>0</v>
      </c>
      <c r="E30" s="71">
        <f t="shared" si="21"/>
        <v>0</v>
      </c>
      <c r="F30" s="75">
        <v>0</v>
      </c>
      <c r="G30" s="76" t="e">
        <f t="shared" si="16"/>
        <v>#DIV/0!</v>
      </c>
      <c r="I30" s="77">
        <f t="shared" si="22"/>
        <v>19</v>
      </c>
      <c r="J30" s="73">
        <f t="shared" si="4"/>
        <v>2023</v>
      </c>
      <c r="K30" s="78" t="str">
        <f t="shared" si="23"/>
        <v/>
      </c>
      <c r="L30" s="73">
        <f t="shared" si="13"/>
        <v>2036</v>
      </c>
      <c r="M30" s="56">
        <f t="shared" si="14"/>
        <v>0</v>
      </c>
      <c r="N30" s="56">
        <f t="shared" si="8"/>
        <v>0</v>
      </c>
      <c r="O30" s="56">
        <f t="shared" si="24"/>
        <v>0</v>
      </c>
      <c r="P30" s="113" t="e">
        <f t="shared" si="25"/>
        <v>#DIV/0!</v>
      </c>
      <c r="Q30" s="166" t="e">
        <f t="shared" si="9"/>
        <v>#DIV/0!</v>
      </c>
      <c r="R30" s="166">
        <f t="shared" si="10"/>
        <v>0</v>
      </c>
    </row>
    <row r="31" spans="2:20" hidden="1" outlineLevel="1">
      <c r="B31" s="78">
        <f t="shared" si="3"/>
        <v>45108</v>
      </c>
      <c r="C31" s="75">
        <v>0</v>
      </c>
      <c r="D31" s="71">
        <f>IF(F31&lt;&gt;0,VLOOKUP($J31,'Table 1'!$B$13:$C$33,2,FALSE)/12*1000*Study_MW,0)</f>
        <v>0</v>
      </c>
      <c r="E31" s="71">
        <f t="shared" si="21"/>
        <v>0</v>
      </c>
      <c r="F31" s="75">
        <v>0</v>
      </c>
      <c r="G31" s="76" t="e">
        <f t="shared" si="16"/>
        <v>#DIV/0!</v>
      </c>
      <c r="I31" s="77">
        <f t="shared" si="22"/>
        <v>20</v>
      </c>
      <c r="J31" s="73">
        <f t="shared" si="4"/>
        <v>2023</v>
      </c>
      <c r="K31" s="78" t="str">
        <f t="shared" si="23"/>
        <v/>
      </c>
      <c r="L31" s="73">
        <f t="shared" si="13"/>
        <v>2037</v>
      </c>
      <c r="M31" s="56">
        <f t="shared" si="14"/>
        <v>0</v>
      </c>
      <c r="N31" s="56">
        <f t="shared" si="8"/>
        <v>0</v>
      </c>
      <c r="O31" s="56">
        <f t="shared" si="24"/>
        <v>0</v>
      </c>
      <c r="P31" s="113" t="e">
        <f t="shared" si="25"/>
        <v>#DIV/0!</v>
      </c>
      <c r="Q31" s="166" t="e">
        <f t="shared" si="9"/>
        <v>#DIV/0!</v>
      </c>
      <c r="R31" s="166">
        <f t="shared" si="10"/>
        <v>0</v>
      </c>
    </row>
    <row r="32" spans="2:20" hidden="1" outlineLevel="1">
      <c r="B32" s="78">
        <f t="shared" si="3"/>
        <v>45139</v>
      </c>
      <c r="C32" s="75">
        <v>0</v>
      </c>
      <c r="D32" s="71">
        <f>IF(F32&lt;&gt;0,VLOOKUP($J32,'Table 1'!$B$13:$C$33,2,FALSE)/12*1000*Study_MW,0)</f>
        <v>0</v>
      </c>
      <c r="E32" s="71">
        <f t="shared" si="21"/>
        <v>0</v>
      </c>
      <c r="F32" s="75">
        <v>0</v>
      </c>
      <c r="G32" s="76" t="e">
        <f t="shared" si="16"/>
        <v>#DIV/0!</v>
      </c>
      <c r="I32" s="77">
        <f t="shared" si="22"/>
        <v>21</v>
      </c>
      <c r="J32" s="73">
        <f t="shared" si="4"/>
        <v>2023</v>
      </c>
      <c r="K32" s="78" t="str">
        <f t="shared" si="23"/>
        <v/>
      </c>
      <c r="L32" s="73">
        <f t="shared" si="13"/>
        <v>2038</v>
      </c>
      <c r="M32" s="56">
        <f t="shared" si="14"/>
        <v>0</v>
      </c>
      <c r="N32" s="56">
        <f t="shared" si="8"/>
        <v>0</v>
      </c>
      <c r="O32" s="56">
        <f t="shared" ref="O32:O35" si="26">SUMIF($J$13:$J$264,L32,$F$13:$F$264)</f>
        <v>0</v>
      </c>
      <c r="P32" s="113" t="e">
        <f t="shared" ref="P32:P34" si="27">(M32+N32)/O32</f>
        <v>#DIV/0!</v>
      </c>
      <c r="Q32" s="166" t="e">
        <f t="shared" si="9"/>
        <v>#DIV/0!</v>
      </c>
      <c r="R32" s="166">
        <f t="shared" si="10"/>
        <v>0</v>
      </c>
    </row>
    <row r="33" spans="2:20" hidden="1" outlineLevel="1">
      <c r="B33" s="78">
        <f t="shared" si="3"/>
        <v>45170</v>
      </c>
      <c r="C33" s="75">
        <v>0</v>
      </c>
      <c r="D33" s="71">
        <f>IF(F33&lt;&gt;0,VLOOKUP($J33,'Table 1'!$B$13:$C$33,2,FALSE)/12*1000*Study_MW,0)</f>
        <v>0</v>
      </c>
      <c r="E33" s="71">
        <f t="shared" si="21"/>
        <v>0</v>
      </c>
      <c r="F33" s="75">
        <v>0</v>
      </c>
      <c r="G33" s="76" t="e">
        <f t="shared" si="16"/>
        <v>#DIV/0!</v>
      </c>
      <c r="I33" s="77">
        <f t="shared" si="22"/>
        <v>22</v>
      </c>
      <c r="J33" s="73">
        <f t="shared" si="4"/>
        <v>2023</v>
      </c>
      <c r="K33" s="78" t="str">
        <f t="shared" si="23"/>
        <v/>
      </c>
      <c r="L33" s="73">
        <f t="shared" si="13"/>
        <v>2039</v>
      </c>
      <c r="M33" s="56">
        <f t="shared" si="14"/>
        <v>0</v>
      </c>
      <c r="N33" s="56">
        <f t="shared" si="8"/>
        <v>0</v>
      </c>
      <c r="O33" s="56">
        <f t="shared" si="26"/>
        <v>0</v>
      </c>
      <c r="P33" s="113" t="e">
        <f t="shared" si="27"/>
        <v>#DIV/0!</v>
      </c>
      <c r="Q33" s="166" t="e">
        <f t="shared" si="9"/>
        <v>#DIV/0!</v>
      </c>
      <c r="R33" s="166">
        <f t="shared" si="10"/>
        <v>0</v>
      </c>
    </row>
    <row r="34" spans="2:20" hidden="1" outlineLevel="1">
      <c r="B34" s="78">
        <f t="shared" si="3"/>
        <v>45200</v>
      </c>
      <c r="C34" s="75">
        <v>0</v>
      </c>
      <c r="D34" s="71">
        <f>IF(F34&lt;&gt;0,VLOOKUP($J34,'Table 1'!$B$13:$C$33,2,FALSE)/12*1000*Study_MW,0)</f>
        <v>0</v>
      </c>
      <c r="E34" s="71">
        <f t="shared" si="21"/>
        <v>0</v>
      </c>
      <c r="F34" s="75">
        <v>0</v>
      </c>
      <c r="G34" s="76" t="e">
        <f t="shared" si="16"/>
        <v>#DIV/0!</v>
      </c>
      <c r="I34" s="77">
        <f t="shared" si="22"/>
        <v>23</v>
      </c>
      <c r="J34" s="73">
        <f t="shared" si="4"/>
        <v>2023</v>
      </c>
      <c r="K34" s="78" t="str">
        <f t="shared" si="23"/>
        <v/>
      </c>
      <c r="L34" s="73">
        <f t="shared" si="13"/>
        <v>2040</v>
      </c>
      <c r="M34" s="56">
        <f t="shared" si="14"/>
        <v>0</v>
      </c>
      <c r="N34" s="56">
        <f t="shared" si="8"/>
        <v>0</v>
      </c>
      <c r="O34" s="56">
        <f t="shared" si="26"/>
        <v>0</v>
      </c>
      <c r="P34" s="113" t="e">
        <f t="shared" si="27"/>
        <v>#DIV/0!</v>
      </c>
      <c r="Q34" s="166" t="e">
        <f t="shared" ref="Q34" si="28">M34/O34</f>
        <v>#DIV/0!</v>
      </c>
      <c r="R34" s="166">
        <f t="shared" ref="R34" si="29">IFERROR(N34/O34,0)</f>
        <v>0</v>
      </c>
    </row>
    <row r="35" spans="2:20" hidden="1" outlineLevel="1">
      <c r="B35" s="78">
        <f t="shared" si="3"/>
        <v>45231</v>
      </c>
      <c r="C35" s="75">
        <v>0</v>
      </c>
      <c r="D35" s="71">
        <f>IF(F35&lt;&gt;0,VLOOKUP($J35,'Table 1'!$B$13:$C$33,2,FALSE)/12*1000*Study_MW,0)</f>
        <v>0</v>
      </c>
      <c r="E35" s="71">
        <f t="shared" si="21"/>
        <v>0</v>
      </c>
      <c r="F35" s="75">
        <v>0</v>
      </c>
      <c r="G35" s="76" t="e">
        <f t="shared" si="16"/>
        <v>#DIV/0!</v>
      </c>
      <c r="I35" s="77">
        <f t="shared" si="22"/>
        <v>24</v>
      </c>
      <c r="J35" s="73">
        <f t="shared" si="4"/>
        <v>2023</v>
      </c>
      <c r="K35" s="78" t="str">
        <f t="shared" si="23"/>
        <v/>
      </c>
      <c r="L35" s="73">
        <f t="shared" si="13"/>
        <v>2041</v>
      </c>
      <c r="M35" s="56">
        <f t="shared" si="14"/>
        <v>0</v>
      </c>
      <c r="N35" s="56">
        <f t="shared" si="8"/>
        <v>0</v>
      </c>
      <c r="O35" s="56">
        <f t="shared" si="26"/>
        <v>0</v>
      </c>
      <c r="P35" s="113" t="e">
        <f t="shared" ref="P35" si="30">(M35+N35)/O35</f>
        <v>#DIV/0!</v>
      </c>
      <c r="Q35" s="166" t="e">
        <f t="shared" ref="Q35" si="31">M35/O35</f>
        <v>#DIV/0!</v>
      </c>
      <c r="R35" s="166">
        <f t="shared" ref="R35" si="32">IFERROR(N35/O35,0)</f>
        <v>0</v>
      </c>
    </row>
    <row r="36" spans="2:20" hidden="1" outlineLevel="1">
      <c r="B36" s="82">
        <f t="shared" si="3"/>
        <v>45261</v>
      </c>
      <c r="C36" s="79">
        <v>0</v>
      </c>
      <c r="D36" s="80">
        <f>IF(F36&lt;&gt;0,VLOOKUP($J36,'Table 1'!$B$13:$C$33,2,FALSE)/12*1000*Study_MW,0)</f>
        <v>0</v>
      </c>
      <c r="E36" s="80">
        <f t="shared" si="21"/>
        <v>0</v>
      </c>
      <c r="F36" s="79">
        <v>0</v>
      </c>
      <c r="G36" s="81" t="e">
        <f t="shared" si="16"/>
        <v>#DIV/0!</v>
      </c>
      <c r="I36" s="64">
        <f t="shared" si="22"/>
        <v>25</v>
      </c>
      <c r="J36" s="73">
        <f t="shared" si="4"/>
        <v>2023</v>
      </c>
      <c r="K36" s="82" t="str">
        <f t="shared" si="23"/>
        <v/>
      </c>
      <c r="L36" s="73">
        <f t="shared" si="13"/>
        <v>2042</v>
      </c>
      <c r="M36" s="56">
        <f t="shared" si="14"/>
        <v>0</v>
      </c>
      <c r="N36" s="56">
        <f t="shared" si="8"/>
        <v>0</v>
      </c>
      <c r="O36" s="56">
        <f t="shared" ref="O36" si="33">SUMIF($J$13:$J$264,L36,$F$13:$F$264)</f>
        <v>0</v>
      </c>
      <c r="P36" s="113" t="e">
        <f t="shared" ref="P36" si="34">(M36+N36)/O36</f>
        <v>#DIV/0!</v>
      </c>
      <c r="Q36" s="166" t="e">
        <f t="shared" ref="Q36" si="35">M36/O36</f>
        <v>#DIV/0!</v>
      </c>
      <c r="R36" s="166">
        <f t="shared" ref="R36" si="36">IFERROR(N36/O36,0)</f>
        <v>0</v>
      </c>
    </row>
    <row r="37" spans="2:20" hidden="1" outlineLevel="1">
      <c r="B37" s="74">
        <f t="shared" si="3"/>
        <v>45292</v>
      </c>
      <c r="C37" s="69">
        <v>0</v>
      </c>
      <c r="D37" s="70">
        <f>IF(F37&lt;&gt;0,VLOOKUP($J37,'Table 1'!$B$13:$C$33,2,FALSE)/12*1000*Study_MW,0)</f>
        <v>0</v>
      </c>
      <c r="E37" s="70">
        <f t="shared" si="21"/>
        <v>0</v>
      </c>
      <c r="F37" s="69">
        <v>0</v>
      </c>
      <c r="G37" s="72" t="e">
        <f t="shared" si="16"/>
        <v>#DIV/0!</v>
      </c>
      <c r="I37" s="60">
        <f>I25+13</f>
        <v>27</v>
      </c>
      <c r="J37" s="73">
        <f t="shared" si="4"/>
        <v>2024</v>
      </c>
      <c r="K37" s="74" t="str">
        <f t="shared" si="23"/>
        <v/>
      </c>
      <c r="L37" s="73">
        <f t="shared" si="13"/>
        <v>2043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3" t="e">
        <f t="shared" ref="P37" si="37">(M37+N37)/O37</f>
        <v>#DIV/0!</v>
      </c>
      <c r="Q37" s="166" t="e">
        <f t="shared" ref="Q37" si="38">M37/O37</f>
        <v>#DIV/0!</v>
      </c>
      <c r="R37" s="166">
        <f t="shared" ref="R37" si="39">IFERROR(N37/O37,0)</f>
        <v>0</v>
      </c>
    </row>
    <row r="38" spans="2:20" hidden="1" outlineLevel="1">
      <c r="B38" s="78">
        <f t="shared" si="3"/>
        <v>45323</v>
      </c>
      <c r="C38" s="75">
        <v>0</v>
      </c>
      <c r="D38" s="71">
        <f>IF(F38&lt;&gt;0,VLOOKUP($J38,'Table 1'!$B$13:$C$33,2,FALSE)/12*1000*Study_MW,0)</f>
        <v>0</v>
      </c>
      <c r="E38" s="71">
        <f t="shared" si="21"/>
        <v>0</v>
      </c>
      <c r="F38" s="75">
        <v>0</v>
      </c>
      <c r="G38" s="76" t="e">
        <f t="shared" si="16"/>
        <v>#DIV/0!</v>
      </c>
      <c r="I38" s="77">
        <f t="shared" si="22"/>
        <v>28</v>
      </c>
      <c r="J38" s="73">
        <f t="shared" si="4"/>
        <v>2024</v>
      </c>
      <c r="K38" s="78" t="str">
        <f t="shared" si="23"/>
        <v/>
      </c>
      <c r="L38" s="73">
        <f t="shared" si="13"/>
        <v>2044</v>
      </c>
      <c r="M38" s="56">
        <f t="shared" ref="M38" si="40">SUMIF($J$13:$J$288,L38,$C$13:$C$288)</f>
        <v>0</v>
      </c>
      <c r="N38" s="56">
        <f t="shared" ref="N38" si="41">SUMIF($J$13:$J$288,L38,$D$13:$D$288)</f>
        <v>0</v>
      </c>
      <c r="O38" s="56">
        <f t="shared" ref="O38" si="42">SUMIF($J$13:$J$288,L38,$F$13:$F$288)</f>
        <v>0</v>
      </c>
      <c r="P38" s="113" t="e">
        <f t="shared" ref="P38:P41" si="43">(M38+N38)/O38</f>
        <v>#DIV/0!</v>
      </c>
      <c r="Q38" s="166" t="e">
        <f t="shared" ref="Q38:Q41" si="44">M38/O38</f>
        <v>#DIV/0!</v>
      </c>
      <c r="R38" s="166">
        <f t="shared" ref="R38:R41" si="45">IFERROR(N38/O38,0)</f>
        <v>0</v>
      </c>
    </row>
    <row r="39" spans="2:20" hidden="1" outlineLevel="1">
      <c r="B39" s="78">
        <f t="shared" si="3"/>
        <v>45352</v>
      </c>
      <c r="C39" s="75">
        <v>0</v>
      </c>
      <c r="D39" s="71">
        <f>IF(F39&lt;&gt;0,VLOOKUP($J39,'Table 1'!$B$13:$C$33,2,FALSE)/12*1000*Study_MW,0)</f>
        <v>0</v>
      </c>
      <c r="E39" s="71">
        <f t="shared" si="21"/>
        <v>0</v>
      </c>
      <c r="F39" s="75">
        <v>0</v>
      </c>
      <c r="G39" s="76" t="e">
        <f t="shared" si="16"/>
        <v>#DIV/0!</v>
      </c>
      <c r="I39" s="77">
        <f t="shared" si="22"/>
        <v>29</v>
      </c>
      <c r="J39" s="73">
        <f t="shared" si="4"/>
        <v>2024</v>
      </c>
      <c r="K39" s="78" t="str">
        <f t="shared" si="23"/>
        <v/>
      </c>
      <c r="L39" s="73">
        <f t="shared" si="13"/>
        <v>2045</v>
      </c>
      <c r="M39" s="56">
        <f>SUMIF($J$13:$J$400,L39,$C$13:$C$400)</f>
        <v>0</v>
      </c>
      <c r="N39" s="56">
        <f>SUMIF($J$13:$J$400,L39,$D$13:$D$400)</f>
        <v>0</v>
      </c>
      <c r="O39" s="56">
        <f>SUMIF($J$13:$J$400,L39,$F$13:$F$400)</f>
        <v>0</v>
      </c>
      <c r="P39" s="113" t="e">
        <f t="shared" si="43"/>
        <v>#DIV/0!</v>
      </c>
      <c r="Q39" s="166" t="e">
        <f t="shared" si="44"/>
        <v>#DIV/0!</v>
      </c>
      <c r="R39" s="166">
        <f t="shared" si="45"/>
        <v>0</v>
      </c>
    </row>
    <row r="40" spans="2:20" hidden="1" outlineLevel="1">
      <c r="B40" s="78">
        <f t="shared" si="3"/>
        <v>45383</v>
      </c>
      <c r="C40" s="75">
        <v>0</v>
      </c>
      <c r="D40" s="71">
        <f>IF(F40&lt;&gt;0,VLOOKUP($J40,'Table 1'!$B$13:$C$33,2,FALSE)/12*1000*Study_MW,0)</f>
        <v>0</v>
      </c>
      <c r="E40" s="71">
        <f t="shared" si="21"/>
        <v>0</v>
      </c>
      <c r="F40" s="75">
        <v>0</v>
      </c>
      <c r="G40" s="76" t="e">
        <f t="shared" si="16"/>
        <v>#DIV/0!</v>
      </c>
      <c r="I40" s="77">
        <f t="shared" si="22"/>
        <v>30</v>
      </c>
      <c r="J40" s="73">
        <f t="shared" si="4"/>
        <v>2024</v>
      </c>
      <c r="K40" s="78" t="str">
        <f t="shared" si="23"/>
        <v/>
      </c>
      <c r="L40" s="73">
        <f t="shared" si="13"/>
        <v>2046</v>
      </c>
      <c r="M40" s="56">
        <f t="shared" ref="M40:M41" si="46">SUMIF($J$13:$J$400,L40,$C$13:$C$400)</f>
        <v>0</v>
      </c>
      <c r="N40" s="56">
        <f t="shared" ref="N40:N41" si="47">SUMIF($J$13:$J$400,L40,$D$13:$D$400)</f>
        <v>0</v>
      </c>
      <c r="O40" s="56">
        <f t="shared" ref="O40:O41" si="48">SUMIF($J$13:$J$400,L40,$F$13:$F$400)</f>
        <v>0</v>
      </c>
      <c r="P40" s="113" t="e">
        <f t="shared" si="43"/>
        <v>#DIV/0!</v>
      </c>
      <c r="Q40" s="166" t="e">
        <f t="shared" si="44"/>
        <v>#DIV/0!</v>
      </c>
      <c r="R40" s="166">
        <f t="shared" si="45"/>
        <v>0</v>
      </c>
      <c r="S40" s="58"/>
      <c r="T40" s="91"/>
    </row>
    <row r="41" spans="2:20" hidden="1" outlineLevel="1">
      <c r="B41" s="78">
        <f t="shared" si="3"/>
        <v>45413</v>
      </c>
      <c r="C41" s="75">
        <v>0</v>
      </c>
      <c r="D41" s="71">
        <f>IF(F41&lt;&gt;0,VLOOKUP($J41,'Table 1'!$B$13:$C$33,2,FALSE)/12*1000*Study_MW,0)</f>
        <v>0</v>
      </c>
      <c r="E41" s="71">
        <f t="shared" si="21"/>
        <v>0</v>
      </c>
      <c r="F41" s="75">
        <v>0</v>
      </c>
      <c r="G41" s="76" t="e">
        <f t="shared" si="16"/>
        <v>#DIV/0!</v>
      </c>
      <c r="I41" s="77">
        <f t="shared" si="22"/>
        <v>31</v>
      </c>
      <c r="J41" s="73">
        <f t="shared" si="4"/>
        <v>2024</v>
      </c>
      <c r="K41" s="78" t="str">
        <f t="shared" si="23"/>
        <v/>
      </c>
      <c r="L41" s="73">
        <f t="shared" si="13"/>
        <v>2047</v>
      </c>
      <c r="M41" s="56">
        <f t="shared" si="46"/>
        <v>0</v>
      </c>
      <c r="N41" s="56">
        <f t="shared" si="47"/>
        <v>0</v>
      </c>
      <c r="O41" s="56">
        <f t="shared" si="48"/>
        <v>0</v>
      </c>
      <c r="P41" s="113" t="e">
        <f t="shared" si="43"/>
        <v>#DIV/0!</v>
      </c>
      <c r="Q41" s="166" t="e">
        <f t="shared" si="44"/>
        <v>#DIV/0!</v>
      </c>
      <c r="R41" s="166">
        <f t="shared" si="45"/>
        <v>0</v>
      </c>
      <c r="S41" s="58"/>
      <c r="T41" s="91"/>
    </row>
    <row r="42" spans="2:20" hidden="1" outlineLevel="1">
      <c r="B42" s="78">
        <f t="shared" si="3"/>
        <v>45444</v>
      </c>
      <c r="C42" s="75">
        <v>0</v>
      </c>
      <c r="D42" s="71">
        <f>IF(F42&lt;&gt;0,VLOOKUP($J42,'Table 1'!$B$13:$C$33,2,FALSE)/12*1000*Study_MW,0)</f>
        <v>0</v>
      </c>
      <c r="E42" s="71">
        <f t="shared" si="21"/>
        <v>0</v>
      </c>
      <c r="F42" s="75">
        <v>0</v>
      </c>
      <c r="G42" s="76" t="e">
        <f t="shared" si="16"/>
        <v>#DIV/0!</v>
      </c>
      <c r="I42" s="77">
        <f t="shared" si="22"/>
        <v>32</v>
      </c>
      <c r="J42" s="73">
        <f t="shared" si="4"/>
        <v>2024</v>
      </c>
      <c r="K42" s="78" t="str">
        <f t="shared" si="23"/>
        <v/>
      </c>
      <c r="L42" s="73">
        <f t="shared" si="13"/>
        <v>2048</v>
      </c>
      <c r="P42" s="113"/>
      <c r="Q42" s="166"/>
      <c r="R42" s="166"/>
    </row>
    <row r="43" spans="2:20" hidden="1" outlineLevel="1">
      <c r="B43" s="78">
        <f t="shared" si="3"/>
        <v>45474</v>
      </c>
      <c r="C43" s="75">
        <v>0</v>
      </c>
      <c r="D43" s="71">
        <f>IF(F43&lt;&gt;0,VLOOKUP($J43,'Table 1'!$B$13:$C$33,2,FALSE)/12*1000*Study_MW,0)</f>
        <v>0</v>
      </c>
      <c r="E43" s="71">
        <f t="shared" si="21"/>
        <v>0</v>
      </c>
      <c r="F43" s="75">
        <v>0</v>
      </c>
      <c r="G43" s="76" t="e">
        <f t="shared" si="16"/>
        <v>#DIV/0!</v>
      </c>
      <c r="I43" s="77">
        <f t="shared" si="22"/>
        <v>33</v>
      </c>
      <c r="J43" s="73">
        <f t="shared" si="4"/>
        <v>2024</v>
      </c>
      <c r="K43" s="78" t="str">
        <f t="shared" si="23"/>
        <v/>
      </c>
    </row>
    <row r="44" spans="2:20" hidden="1" outlineLevel="1">
      <c r="B44" s="78">
        <f t="shared" si="3"/>
        <v>45505</v>
      </c>
      <c r="C44" s="75">
        <v>0</v>
      </c>
      <c r="D44" s="71">
        <f>IF(F44&lt;&gt;0,VLOOKUP($J44,'Table 1'!$B$13:$C$33,2,FALSE)/12*1000*Study_MW,0)</f>
        <v>0</v>
      </c>
      <c r="E44" s="71">
        <f t="shared" si="21"/>
        <v>0</v>
      </c>
      <c r="F44" s="75">
        <v>0</v>
      </c>
      <c r="G44" s="76" t="e">
        <f t="shared" si="16"/>
        <v>#DIV/0!</v>
      </c>
      <c r="I44" s="77">
        <f t="shared" si="22"/>
        <v>34</v>
      </c>
      <c r="J44" s="73">
        <f t="shared" si="4"/>
        <v>2024</v>
      </c>
      <c r="K44" s="78" t="str">
        <f t="shared" si="23"/>
        <v/>
      </c>
    </row>
    <row r="45" spans="2:20" hidden="1" outlineLevel="1">
      <c r="B45" s="78">
        <f t="shared" si="3"/>
        <v>45536</v>
      </c>
      <c r="C45" s="75">
        <v>0</v>
      </c>
      <c r="D45" s="71">
        <f>IF(F45&lt;&gt;0,VLOOKUP($J45,'Table 1'!$B$13:$C$33,2,FALSE)/12*1000*Study_MW,0)</f>
        <v>0</v>
      </c>
      <c r="E45" s="71">
        <f t="shared" si="21"/>
        <v>0</v>
      </c>
      <c r="F45" s="75">
        <v>0</v>
      </c>
      <c r="G45" s="76" t="e">
        <f t="shared" si="16"/>
        <v>#DIV/0!</v>
      </c>
      <c r="I45" s="77">
        <f t="shared" si="22"/>
        <v>35</v>
      </c>
      <c r="J45" s="73">
        <f t="shared" si="4"/>
        <v>2024</v>
      </c>
      <c r="K45" s="78" t="str">
        <f t="shared" si="23"/>
        <v/>
      </c>
    </row>
    <row r="46" spans="2:20" hidden="1" outlineLevel="1">
      <c r="B46" s="78">
        <f t="shared" si="3"/>
        <v>45566</v>
      </c>
      <c r="C46" s="75">
        <v>0</v>
      </c>
      <c r="D46" s="71">
        <f>IF(F46&lt;&gt;0,VLOOKUP($J46,'Table 1'!$B$13:$C$33,2,FALSE)/12*1000*Study_MW,0)</f>
        <v>0</v>
      </c>
      <c r="E46" s="71">
        <f t="shared" si="21"/>
        <v>0</v>
      </c>
      <c r="F46" s="75">
        <v>0</v>
      </c>
      <c r="G46" s="76" t="e">
        <f t="shared" si="16"/>
        <v>#DIV/0!</v>
      </c>
      <c r="I46" s="77">
        <f t="shared" si="22"/>
        <v>36</v>
      </c>
      <c r="J46" s="73">
        <f t="shared" si="4"/>
        <v>2024</v>
      </c>
      <c r="K46" s="78" t="str">
        <f t="shared" si="23"/>
        <v/>
      </c>
    </row>
    <row r="47" spans="2:20" hidden="1" outlineLevel="1">
      <c r="B47" s="78">
        <f t="shared" si="3"/>
        <v>45597</v>
      </c>
      <c r="C47" s="75">
        <v>0</v>
      </c>
      <c r="D47" s="71">
        <f>IF(F47&lt;&gt;0,VLOOKUP($J47,'Table 1'!$B$13:$C$33,2,FALSE)/12*1000*Study_MW,0)</f>
        <v>0</v>
      </c>
      <c r="E47" s="71">
        <f t="shared" si="21"/>
        <v>0</v>
      </c>
      <c r="F47" s="75">
        <v>0</v>
      </c>
      <c r="G47" s="76" t="e">
        <f t="shared" si="16"/>
        <v>#DIV/0!</v>
      </c>
      <c r="I47" s="77">
        <f t="shared" si="22"/>
        <v>37</v>
      </c>
      <c r="J47" s="73">
        <f t="shared" si="4"/>
        <v>2024</v>
      </c>
      <c r="K47" s="78" t="str">
        <f t="shared" si="23"/>
        <v/>
      </c>
    </row>
    <row r="48" spans="2:20" hidden="1" outlineLevel="1">
      <c r="B48" s="82">
        <f t="shared" si="3"/>
        <v>45627</v>
      </c>
      <c r="C48" s="79">
        <v>0</v>
      </c>
      <c r="D48" s="80">
        <f>IF(F48&lt;&gt;0,VLOOKUP($J48,'Table 1'!$B$13:$C$33,2,FALSE)/12*1000*Study_MW,0)</f>
        <v>0</v>
      </c>
      <c r="E48" s="80">
        <f t="shared" si="21"/>
        <v>0</v>
      </c>
      <c r="F48" s="79">
        <v>0</v>
      </c>
      <c r="G48" s="81" t="e">
        <f t="shared" si="16"/>
        <v>#DIV/0!</v>
      </c>
      <c r="I48" s="64">
        <f t="shared" si="22"/>
        <v>38</v>
      </c>
      <c r="J48" s="73">
        <f t="shared" si="4"/>
        <v>2024</v>
      </c>
      <c r="K48" s="82" t="str">
        <f t="shared" si="23"/>
        <v/>
      </c>
    </row>
    <row r="49" spans="2:11" hidden="1" outlineLevel="1">
      <c r="B49" s="74">
        <f t="shared" si="3"/>
        <v>45658</v>
      </c>
      <c r="C49" s="69">
        <v>0</v>
      </c>
      <c r="D49" s="70">
        <f>IF(F49&lt;&gt;0,VLOOKUP($J49,'Table 1'!$B$13:$C$33,2,FALSE)/12*1000*Study_MW,0)</f>
        <v>0</v>
      </c>
      <c r="E49" s="70">
        <f t="shared" si="21"/>
        <v>0</v>
      </c>
      <c r="F49" s="69">
        <v>0</v>
      </c>
      <c r="G49" s="72" t="e">
        <f t="shared" si="16"/>
        <v>#DIV/0!</v>
      </c>
      <c r="I49" s="60">
        <f>I37+13</f>
        <v>40</v>
      </c>
      <c r="J49" s="73">
        <f t="shared" si="4"/>
        <v>2025</v>
      </c>
      <c r="K49" s="74" t="str">
        <f t="shared" si="23"/>
        <v/>
      </c>
    </row>
    <row r="50" spans="2:11" hidden="1" outlineLevel="1">
      <c r="B50" s="78">
        <f t="shared" si="3"/>
        <v>45689</v>
      </c>
      <c r="C50" s="75">
        <v>0</v>
      </c>
      <c r="D50" s="71">
        <f>IF(F50&lt;&gt;0,VLOOKUP($J50,'Table 1'!$B$13:$C$33,2,FALSE)/12*1000*Study_MW,0)</f>
        <v>0</v>
      </c>
      <c r="E50" s="71">
        <f t="shared" si="21"/>
        <v>0</v>
      </c>
      <c r="F50" s="75">
        <v>0</v>
      </c>
      <c r="G50" s="76" t="e">
        <f t="shared" si="16"/>
        <v>#DIV/0!</v>
      </c>
      <c r="I50" s="77">
        <f t="shared" si="22"/>
        <v>41</v>
      </c>
      <c r="J50" s="73">
        <f t="shared" si="4"/>
        <v>2025</v>
      </c>
      <c r="K50" s="78" t="str">
        <f t="shared" si="23"/>
        <v/>
      </c>
    </row>
    <row r="51" spans="2:11" hidden="1" outlineLevel="1">
      <c r="B51" s="78">
        <f t="shared" si="3"/>
        <v>45717</v>
      </c>
      <c r="C51" s="75">
        <v>0</v>
      </c>
      <c r="D51" s="71">
        <f>IF(F51&lt;&gt;0,VLOOKUP($J51,'Table 1'!$B$13:$C$33,2,FALSE)/12*1000*Study_MW,0)</f>
        <v>0</v>
      </c>
      <c r="E51" s="71">
        <f t="shared" si="21"/>
        <v>0</v>
      </c>
      <c r="F51" s="75">
        <v>0</v>
      </c>
      <c r="G51" s="76" t="e">
        <f t="shared" si="16"/>
        <v>#DIV/0!</v>
      </c>
      <c r="I51" s="77">
        <f t="shared" si="22"/>
        <v>42</v>
      </c>
      <c r="J51" s="73">
        <f t="shared" si="4"/>
        <v>2025</v>
      </c>
      <c r="K51" s="78" t="str">
        <f t="shared" si="23"/>
        <v/>
      </c>
    </row>
    <row r="52" spans="2:11" hidden="1" outlineLevel="1">
      <c r="B52" s="78">
        <f t="shared" si="3"/>
        <v>45748</v>
      </c>
      <c r="C52" s="75">
        <v>0</v>
      </c>
      <c r="D52" s="71">
        <f>IF(F52&lt;&gt;0,VLOOKUP($J52,'Table 1'!$B$13:$C$33,2,FALSE)/12*1000*Study_MW,0)</f>
        <v>0</v>
      </c>
      <c r="E52" s="71">
        <f t="shared" si="21"/>
        <v>0</v>
      </c>
      <c r="F52" s="75">
        <v>0</v>
      </c>
      <c r="G52" s="76" t="e">
        <f t="shared" si="16"/>
        <v>#DIV/0!</v>
      </c>
      <c r="I52" s="77">
        <f t="shared" si="22"/>
        <v>43</v>
      </c>
      <c r="J52" s="73">
        <f t="shared" si="4"/>
        <v>2025</v>
      </c>
      <c r="K52" s="78" t="str">
        <f t="shared" si="23"/>
        <v/>
      </c>
    </row>
    <row r="53" spans="2:11" hidden="1" outlineLevel="1">
      <c r="B53" s="78">
        <f t="shared" si="3"/>
        <v>45778</v>
      </c>
      <c r="C53" s="75">
        <v>0</v>
      </c>
      <c r="D53" s="71">
        <f>IF(F53&lt;&gt;0,VLOOKUP($J53,'Table 1'!$B$13:$C$33,2,FALSE)/12*1000*Study_MW,0)</f>
        <v>0</v>
      </c>
      <c r="E53" s="71">
        <f t="shared" si="21"/>
        <v>0</v>
      </c>
      <c r="F53" s="75">
        <v>0</v>
      </c>
      <c r="G53" s="76" t="e">
        <f t="shared" si="16"/>
        <v>#DIV/0!</v>
      </c>
      <c r="I53" s="77">
        <f t="shared" si="22"/>
        <v>44</v>
      </c>
      <c r="J53" s="73">
        <f t="shared" si="4"/>
        <v>2025</v>
      </c>
      <c r="K53" s="78" t="str">
        <f t="shared" si="23"/>
        <v/>
      </c>
    </row>
    <row r="54" spans="2:11" hidden="1" outlineLevel="1">
      <c r="B54" s="78">
        <f t="shared" si="3"/>
        <v>45809</v>
      </c>
      <c r="C54" s="75">
        <v>0</v>
      </c>
      <c r="D54" s="71">
        <f>IF(F54&lt;&gt;0,VLOOKUP($J54,'Table 1'!$B$13:$C$33,2,FALSE)/12*1000*Study_MW,0)</f>
        <v>0</v>
      </c>
      <c r="E54" s="71">
        <f t="shared" si="21"/>
        <v>0</v>
      </c>
      <c r="F54" s="75">
        <v>0</v>
      </c>
      <c r="G54" s="76" t="e">
        <f t="shared" si="16"/>
        <v>#DIV/0!</v>
      </c>
      <c r="I54" s="77">
        <f t="shared" si="22"/>
        <v>45</v>
      </c>
      <c r="J54" s="73">
        <f t="shared" si="4"/>
        <v>2025</v>
      </c>
      <c r="K54" s="78" t="str">
        <f t="shared" si="23"/>
        <v/>
      </c>
    </row>
    <row r="55" spans="2:11" hidden="1" outlineLevel="1">
      <c r="B55" s="78">
        <f t="shared" si="3"/>
        <v>45839</v>
      </c>
      <c r="C55" s="75">
        <v>0</v>
      </c>
      <c r="D55" s="71">
        <f>IF(F55&lt;&gt;0,VLOOKUP($J55,'Table 1'!$B$13:$C$33,2,FALSE)/12*1000*Study_MW,0)</f>
        <v>0</v>
      </c>
      <c r="E55" s="71">
        <f t="shared" si="21"/>
        <v>0</v>
      </c>
      <c r="F55" s="75">
        <v>0</v>
      </c>
      <c r="G55" s="76" t="e">
        <f t="shared" si="16"/>
        <v>#DIV/0!</v>
      </c>
      <c r="I55" s="77">
        <f t="shared" si="22"/>
        <v>46</v>
      </c>
      <c r="J55" s="73">
        <f t="shared" si="4"/>
        <v>2025</v>
      </c>
      <c r="K55" s="78" t="str">
        <f t="shared" si="23"/>
        <v/>
      </c>
    </row>
    <row r="56" spans="2:11" hidden="1" outlineLevel="1">
      <c r="B56" s="78">
        <f t="shared" si="3"/>
        <v>45870</v>
      </c>
      <c r="C56" s="75">
        <v>0</v>
      </c>
      <c r="D56" s="71">
        <f>IF(F56&lt;&gt;0,VLOOKUP($J56,'Table 1'!$B$13:$C$33,2,FALSE)/12*1000*Study_MW,0)</f>
        <v>0</v>
      </c>
      <c r="E56" s="71">
        <f t="shared" si="21"/>
        <v>0</v>
      </c>
      <c r="F56" s="75">
        <v>0</v>
      </c>
      <c r="G56" s="76" t="e">
        <f t="shared" si="16"/>
        <v>#DIV/0!</v>
      </c>
      <c r="I56" s="77">
        <f t="shared" si="22"/>
        <v>47</v>
      </c>
      <c r="J56" s="73">
        <f t="shared" si="4"/>
        <v>2025</v>
      </c>
      <c r="K56" s="78" t="str">
        <f t="shared" si="23"/>
        <v/>
      </c>
    </row>
    <row r="57" spans="2:11" hidden="1" outlineLevel="1">
      <c r="B57" s="78">
        <f t="shared" si="3"/>
        <v>45901</v>
      </c>
      <c r="C57" s="75">
        <v>0</v>
      </c>
      <c r="D57" s="71">
        <f>IF(F57&lt;&gt;0,VLOOKUP($J57,'Table 1'!$B$13:$C$33,2,FALSE)/12*1000*Study_MW,0)</f>
        <v>0</v>
      </c>
      <c r="E57" s="71">
        <f t="shared" si="21"/>
        <v>0</v>
      </c>
      <c r="F57" s="75">
        <v>0</v>
      </c>
      <c r="G57" s="76" t="e">
        <f t="shared" si="16"/>
        <v>#DIV/0!</v>
      </c>
      <c r="I57" s="77">
        <f t="shared" si="22"/>
        <v>48</v>
      </c>
      <c r="J57" s="73">
        <f t="shared" si="4"/>
        <v>2025</v>
      </c>
      <c r="K57" s="78" t="str">
        <f t="shared" si="23"/>
        <v/>
      </c>
    </row>
    <row r="58" spans="2:11" hidden="1" outlineLevel="1">
      <c r="B58" s="78">
        <f t="shared" si="3"/>
        <v>45931</v>
      </c>
      <c r="C58" s="75">
        <v>0</v>
      </c>
      <c r="D58" s="71">
        <f>IF(F58&lt;&gt;0,VLOOKUP($J58,'Table 1'!$B$13:$C$33,2,FALSE)/12*1000*Study_MW,0)</f>
        <v>0</v>
      </c>
      <c r="E58" s="71">
        <f t="shared" si="21"/>
        <v>0</v>
      </c>
      <c r="F58" s="75">
        <v>0</v>
      </c>
      <c r="G58" s="76" t="e">
        <f t="shared" si="16"/>
        <v>#DIV/0!</v>
      </c>
      <c r="I58" s="77">
        <f t="shared" si="22"/>
        <v>49</v>
      </c>
      <c r="J58" s="73">
        <f t="shared" si="4"/>
        <v>2025</v>
      </c>
      <c r="K58" s="78" t="str">
        <f t="shared" si="23"/>
        <v/>
      </c>
    </row>
    <row r="59" spans="2:11" hidden="1" outlineLevel="1">
      <c r="B59" s="78">
        <f t="shared" si="3"/>
        <v>45962</v>
      </c>
      <c r="C59" s="75">
        <v>0</v>
      </c>
      <c r="D59" s="71">
        <f>IF(F59&lt;&gt;0,VLOOKUP($J59,'Table 1'!$B$13:$C$33,2,FALSE)/12*1000*Study_MW,0)</f>
        <v>0</v>
      </c>
      <c r="E59" s="71">
        <f t="shared" si="21"/>
        <v>0</v>
      </c>
      <c r="F59" s="75">
        <v>0</v>
      </c>
      <c r="G59" s="76" t="e">
        <f t="shared" si="16"/>
        <v>#DIV/0!</v>
      </c>
      <c r="I59" s="77">
        <f t="shared" si="22"/>
        <v>50</v>
      </c>
      <c r="J59" s="73">
        <f t="shared" si="4"/>
        <v>2025</v>
      </c>
      <c r="K59" s="78" t="str">
        <f t="shared" si="23"/>
        <v/>
      </c>
    </row>
    <row r="60" spans="2:11" hidden="1" outlineLevel="1">
      <c r="B60" s="82">
        <f t="shared" si="3"/>
        <v>45992</v>
      </c>
      <c r="C60" s="79">
        <v>0</v>
      </c>
      <c r="D60" s="80">
        <f>IF(F60&lt;&gt;0,VLOOKUP($J60,'Table 1'!$B$13:$C$33,2,FALSE)/12*1000*Study_MW,0)</f>
        <v>0</v>
      </c>
      <c r="E60" s="80">
        <f t="shared" si="21"/>
        <v>0</v>
      </c>
      <c r="F60" s="79">
        <v>0</v>
      </c>
      <c r="G60" s="81" t="e">
        <f t="shared" si="16"/>
        <v>#DIV/0!</v>
      </c>
      <c r="I60" s="64">
        <f t="shared" si="22"/>
        <v>51</v>
      </c>
      <c r="J60" s="73">
        <f t="shared" si="4"/>
        <v>2025</v>
      </c>
      <c r="K60" s="82" t="str">
        <f t="shared" si="23"/>
        <v/>
      </c>
    </row>
    <row r="61" spans="2:11" hidden="1" outlineLevel="1">
      <c r="B61" s="74">
        <f t="shared" si="3"/>
        <v>46023</v>
      </c>
      <c r="C61" s="69">
        <v>0</v>
      </c>
      <c r="D61" s="70">
        <f>IF(F61&lt;&gt;0,VLOOKUP($J61,'Table 1'!$B$13:$C$33,2,FALSE)/12*1000*Study_MW,0)</f>
        <v>0</v>
      </c>
      <c r="E61" s="70">
        <f t="shared" si="21"/>
        <v>0</v>
      </c>
      <c r="F61" s="69">
        <v>0</v>
      </c>
      <c r="G61" s="72" t="e">
        <f t="shared" si="16"/>
        <v>#DIV/0!</v>
      </c>
      <c r="I61" s="60">
        <f>I49+13</f>
        <v>53</v>
      </c>
      <c r="J61" s="73">
        <f t="shared" si="4"/>
        <v>2026</v>
      </c>
      <c r="K61" s="74" t="str">
        <f t="shared" si="23"/>
        <v/>
      </c>
    </row>
    <row r="62" spans="2:11" hidden="1" outlineLevel="1">
      <c r="B62" s="78">
        <f t="shared" si="3"/>
        <v>46054</v>
      </c>
      <c r="C62" s="75">
        <v>0</v>
      </c>
      <c r="D62" s="71">
        <f>IF(F62&lt;&gt;0,VLOOKUP($J62,'Table 1'!$B$13:$C$33,2,FALSE)/12*1000*Study_MW,0)</f>
        <v>0</v>
      </c>
      <c r="E62" s="71">
        <f t="shared" si="21"/>
        <v>0</v>
      </c>
      <c r="F62" s="75">
        <v>0</v>
      </c>
      <c r="G62" s="76" t="e">
        <f t="shared" si="16"/>
        <v>#DIV/0!</v>
      </c>
      <c r="I62" s="77">
        <f t="shared" si="22"/>
        <v>54</v>
      </c>
      <c r="J62" s="73">
        <f t="shared" si="4"/>
        <v>2026</v>
      </c>
      <c r="K62" s="78" t="str">
        <f t="shared" si="23"/>
        <v/>
      </c>
    </row>
    <row r="63" spans="2:11" hidden="1" outlineLevel="1">
      <c r="B63" s="78">
        <f t="shared" si="3"/>
        <v>46082</v>
      </c>
      <c r="C63" s="75">
        <v>0</v>
      </c>
      <c r="D63" s="71">
        <f>IF(F63&lt;&gt;0,VLOOKUP($J63,'Table 1'!$B$13:$C$33,2,FALSE)/12*1000*Study_MW,0)</f>
        <v>0</v>
      </c>
      <c r="E63" s="71">
        <f t="shared" si="21"/>
        <v>0</v>
      </c>
      <c r="F63" s="75">
        <v>0</v>
      </c>
      <c r="G63" s="76" t="e">
        <f t="shared" si="16"/>
        <v>#DIV/0!</v>
      </c>
      <c r="I63" s="77">
        <f t="shared" si="22"/>
        <v>55</v>
      </c>
      <c r="J63" s="73">
        <f t="shared" si="4"/>
        <v>2026</v>
      </c>
      <c r="K63" s="78" t="str">
        <f t="shared" si="23"/>
        <v/>
      </c>
    </row>
    <row r="64" spans="2:11" hidden="1" outlineLevel="1">
      <c r="B64" s="78">
        <f t="shared" si="3"/>
        <v>46113</v>
      </c>
      <c r="C64" s="75">
        <v>0</v>
      </c>
      <c r="D64" s="71">
        <f>IF(F64&lt;&gt;0,VLOOKUP($J64,'Table 1'!$B$13:$C$33,2,FALSE)/12*1000*Study_MW,0)</f>
        <v>0</v>
      </c>
      <c r="E64" s="71">
        <f t="shared" si="21"/>
        <v>0</v>
      </c>
      <c r="F64" s="75">
        <v>0</v>
      </c>
      <c r="G64" s="76" t="e">
        <f t="shared" si="16"/>
        <v>#DIV/0!</v>
      </c>
      <c r="I64" s="77">
        <f t="shared" si="22"/>
        <v>56</v>
      </c>
      <c r="J64" s="73">
        <f t="shared" si="4"/>
        <v>2026</v>
      </c>
      <c r="K64" s="78" t="str">
        <f t="shared" si="23"/>
        <v/>
      </c>
    </row>
    <row r="65" spans="2:11" hidden="1" outlineLevel="1">
      <c r="B65" s="78">
        <f t="shared" si="3"/>
        <v>46143</v>
      </c>
      <c r="C65" s="75">
        <v>0</v>
      </c>
      <c r="D65" s="71">
        <f>IF(F65&lt;&gt;0,VLOOKUP($J65,'Table 1'!$B$13:$C$33,2,FALSE)/12*1000*Study_MW,0)</f>
        <v>0</v>
      </c>
      <c r="E65" s="71">
        <f t="shared" si="21"/>
        <v>0</v>
      </c>
      <c r="F65" s="75">
        <v>0</v>
      </c>
      <c r="G65" s="76" t="e">
        <f t="shared" si="16"/>
        <v>#DIV/0!</v>
      </c>
      <c r="I65" s="77">
        <f t="shared" si="22"/>
        <v>57</v>
      </c>
      <c r="J65" s="73">
        <f t="shared" si="4"/>
        <v>2026</v>
      </c>
      <c r="K65" s="78" t="str">
        <f t="shared" si="23"/>
        <v/>
      </c>
    </row>
    <row r="66" spans="2:11" hidden="1" outlineLevel="1">
      <c r="B66" s="78">
        <f t="shared" si="3"/>
        <v>46174</v>
      </c>
      <c r="C66" s="75">
        <v>0</v>
      </c>
      <c r="D66" s="71">
        <f>IF(F66&lt;&gt;0,VLOOKUP($J66,'Table 1'!$B$13:$C$33,2,FALSE)/12*1000*Study_MW,0)</f>
        <v>0</v>
      </c>
      <c r="E66" s="71">
        <f t="shared" si="21"/>
        <v>0</v>
      </c>
      <c r="F66" s="75">
        <v>0</v>
      </c>
      <c r="G66" s="76" t="e">
        <f t="shared" si="16"/>
        <v>#DIV/0!</v>
      </c>
      <c r="I66" s="77">
        <f t="shared" si="22"/>
        <v>58</v>
      </c>
      <c r="J66" s="73">
        <f t="shared" si="4"/>
        <v>2026</v>
      </c>
      <c r="K66" s="78" t="str">
        <f t="shared" si="23"/>
        <v/>
      </c>
    </row>
    <row r="67" spans="2:11" hidden="1" outlineLevel="1">
      <c r="B67" s="78">
        <f t="shared" si="3"/>
        <v>46204</v>
      </c>
      <c r="C67" s="75">
        <v>0</v>
      </c>
      <c r="D67" s="71">
        <f>IF(F67&lt;&gt;0,VLOOKUP($J67,'Table 1'!$B$13:$C$33,2,FALSE)/12*1000*Study_MW,0)</f>
        <v>0</v>
      </c>
      <c r="E67" s="71">
        <f t="shared" si="21"/>
        <v>0</v>
      </c>
      <c r="F67" s="75">
        <v>0</v>
      </c>
      <c r="G67" s="76" t="e">
        <f t="shared" si="16"/>
        <v>#DIV/0!</v>
      </c>
      <c r="I67" s="77">
        <f t="shared" si="22"/>
        <v>59</v>
      </c>
      <c r="J67" s="73">
        <f t="shared" si="4"/>
        <v>2026</v>
      </c>
      <c r="K67" s="78" t="str">
        <f t="shared" si="23"/>
        <v/>
      </c>
    </row>
    <row r="68" spans="2:11" hidden="1" outlineLevel="1">
      <c r="B68" s="78">
        <f t="shared" si="3"/>
        <v>46235</v>
      </c>
      <c r="C68" s="75">
        <v>0</v>
      </c>
      <c r="D68" s="71">
        <f>IF(F68&lt;&gt;0,VLOOKUP($J68,'Table 1'!$B$13:$C$33,2,FALSE)/12*1000*Study_MW,0)</f>
        <v>0</v>
      </c>
      <c r="E68" s="71">
        <f t="shared" si="21"/>
        <v>0</v>
      </c>
      <c r="F68" s="75">
        <v>0</v>
      </c>
      <c r="G68" s="76" t="e">
        <f t="shared" si="16"/>
        <v>#DIV/0!</v>
      </c>
      <c r="I68" s="77">
        <f t="shared" si="22"/>
        <v>60</v>
      </c>
      <c r="J68" s="73">
        <f t="shared" si="4"/>
        <v>2026</v>
      </c>
      <c r="K68" s="78" t="str">
        <f t="shared" si="23"/>
        <v/>
      </c>
    </row>
    <row r="69" spans="2:11" hidden="1" outlineLevel="1">
      <c r="B69" s="78">
        <f t="shared" si="3"/>
        <v>46266</v>
      </c>
      <c r="C69" s="75">
        <v>0</v>
      </c>
      <c r="D69" s="71">
        <f>IF(F69&lt;&gt;0,VLOOKUP($J69,'Table 1'!$B$13:$C$33,2,FALSE)/12*1000*Study_MW,0)</f>
        <v>0</v>
      </c>
      <c r="E69" s="71">
        <f t="shared" si="21"/>
        <v>0</v>
      </c>
      <c r="F69" s="75">
        <v>0</v>
      </c>
      <c r="G69" s="76" t="e">
        <f t="shared" si="16"/>
        <v>#DIV/0!</v>
      </c>
      <c r="I69" s="77">
        <f t="shared" si="22"/>
        <v>61</v>
      </c>
      <c r="J69" s="73">
        <f t="shared" si="4"/>
        <v>2026</v>
      </c>
      <c r="K69" s="78" t="str">
        <f t="shared" si="23"/>
        <v/>
      </c>
    </row>
    <row r="70" spans="2:11" hidden="1" outlineLevel="1">
      <c r="B70" s="78">
        <f t="shared" si="3"/>
        <v>46296</v>
      </c>
      <c r="C70" s="75">
        <v>0</v>
      </c>
      <c r="D70" s="71">
        <f>IF(F70&lt;&gt;0,VLOOKUP($J70,'Table 1'!$B$13:$C$33,2,FALSE)/12*1000*Study_MW,0)</f>
        <v>0</v>
      </c>
      <c r="E70" s="71">
        <f t="shared" si="21"/>
        <v>0</v>
      </c>
      <c r="F70" s="75">
        <v>0</v>
      </c>
      <c r="G70" s="76" t="e">
        <f t="shared" si="16"/>
        <v>#DIV/0!</v>
      </c>
      <c r="I70" s="77">
        <f t="shared" si="22"/>
        <v>62</v>
      </c>
      <c r="J70" s="73">
        <f t="shared" si="4"/>
        <v>2026</v>
      </c>
      <c r="K70" s="78" t="str">
        <f t="shared" si="23"/>
        <v/>
      </c>
    </row>
    <row r="71" spans="2:11" hidden="1" outlineLevel="1">
      <c r="B71" s="78">
        <f t="shared" si="3"/>
        <v>46327</v>
      </c>
      <c r="C71" s="75">
        <v>0</v>
      </c>
      <c r="D71" s="71">
        <f>IF(F71&lt;&gt;0,VLOOKUP($J71,'Table 1'!$B$13:$C$33,2,FALSE)/12*1000*Study_MW,0)</f>
        <v>0</v>
      </c>
      <c r="E71" s="71">
        <f t="shared" si="21"/>
        <v>0</v>
      </c>
      <c r="F71" s="75">
        <v>0</v>
      </c>
      <c r="G71" s="76" t="e">
        <f t="shared" si="16"/>
        <v>#DIV/0!</v>
      </c>
      <c r="I71" s="77">
        <f t="shared" si="22"/>
        <v>63</v>
      </c>
      <c r="J71" s="73">
        <f t="shared" si="4"/>
        <v>2026</v>
      </c>
      <c r="K71" s="78" t="str">
        <f t="shared" si="23"/>
        <v/>
      </c>
    </row>
    <row r="72" spans="2:11" hidden="1" outlineLevel="1">
      <c r="B72" s="82">
        <f t="shared" si="3"/>
        <v>46357</v>
      </c>
      <c r="C72" s="79">
        <v>0</v>
      </c>
      <c r="D72" s="80">
        <f>IF(F72&lt;&gt;0,VLOOKUP($J72,'Table 1'!$B$13:$C$33,2,FALSE)/12*1000*Study_MW,0)</f>
        <v>0</v>
      </c>
      <c r="E72" s="80">
        <f t="shared" si="21"/>
        <v>0</v>
      </c>
      <c r="F72" s="79">
        <v>0</v>
      </c>
      <c r="G72" s="81" t="e">
        <f t="shared" si="16"/>
        <v>#DIV/0!</v>
      </c>
      <c r="I72" s="64">
        <f t="shared" si="22"/>
        <v>64</v>
      </c>
      <c r="J72" s="73">
        <f t="shared" si="4"/>
        <v>2026</v>
      </c>
      <c r="K72" s="82" t="str">
        <f t="shared" si="23"/>
        <v/>
      </c>
    </row>
    <row r="73" spans="2:11" hidden="1" outlineLevel="1">
      <c r="B73" s="74">
        <f t="shared" si="3"/>
        <v>46388</v>
      </c>
      <c r="C73" s="69">
        <v>0</v>
      </c>
      <c r="D73" s="70">
        <f>IF(F73&lt;&gt;0,VLOOKUP($J73,'Table 1'!$B$13:$C$33,2,FALSE)/12*1000*Study_MW,0)</f>
        <v>0</v>
      </c>
      <c r="E73" s="70">
        <f t="shared" si="21"/>
        <v>0</v>
      </c>
      <c r="F73" s="69">
        <v>0</v>
      </c>
      <c r="G73" s="72" t="e">
        <f t="shared" si="16"/>
        <v>#DIV/0!</v>
      </c>
      <c r="I73" s="60">
        <f>I61+13</f>
        <v>66</v>
      </c>
      <c r="J73" s="73">
        <f t="shared" si="4"/>
        <v>2027</v>
      </c>
      <c r="K73" s="74" t="str">
        <f t="shared" si="23"/>
        <v/>
      </c>
    </row>
    <row r="74" spans="2:11" hidden="1" outlineLevel="1">
      <c r="B74" s="78">
        <f t="shared" si="3"/>
        <v>46419</v>
      </c>
      <c r="C74" s="75">
        <v>0</v>
      </c>
      <c r="D74" s="71">
        <f>IF(F74&lt;&gt;0,VLOOKUP($J74,'Table 1'!$B$13:$C$33,2,FALSE)/12*1000*Study_MW,0)</f>
        <v>0</v>
      </c>
      <c r="E74" s="71">
        <f t="shared" si="21"/>
        <v>0</v>
      </c>
      <c r="F74" s="75">
        <v>0</v>
      </c>
      <c r="G74" s="76" t="e">
        <f t="shared" si="16"/>
        <v>#DIV/0!</v>
      </c>
      <c r="I74" s="77">
        <f t="shared" si="22"/>
        <v>67</v>
      </c>
      <c r="J74" s="73">
        <f t="shared" si="4"/>
        <v>2027</v>
      </c>
      <c r="K74" s="78" t="str">
        <f t="shared" si="23"/>
        <v/>
      </c>
    </row>
    <row r="75" spans="2:11" hidden="1" outlineLevel="1">
      <c r="B75" s="78">
        <f t="shared" si="3"/>
        <v>46447</v>
      </c>
      <c r="C75" s="75">
        <v>0</v>
      </c>
      <c r="D75" s="71">
        <f>IF(F75&lt;&gt;0,VLOOKUP($J75,'Table 1'!$B$13:$C$33,2,FALSE)/12*1000*Study_MW,0)</f>
        <v>0</v>
      </c>
      <c r="E75" s="71">
        <f t="shared" si="21"/>
        <v>0</v>
      </c>
      <c r="F75" s="75">
        <v>0</v>
      </c>
      <c r="G75" s="76" t="e">
        <f t="shared" si="16"/>
        <v>#DIV/0!</v>
      </c>
      <c r="I75" s="77">
        <f t="shared" si="22"/>
        <v>68</v>
      </c>
      <c r="J75" s="73">
        <f t="shared" si="4"/>
        <v>2027</v>
      </c>
      <c r="K75" s="78" t="str">
        <f t="shared" si="23"/>
        <v/>
      </c>
    </row>
    <row r="76" spans="2:11" hidden="1" outlineLevel="1">
      <c r="B76" s="78">
        <f t="shared" si="3"/>
        <v>46478</v>
      </c>
      <c r="C76" s="75">
        <v>0</v>
      </c>
      <c r="D76" s="71">
        <f>IF(F76&lt;&gt;0,VLOOKUP($J76,'Table 1'!$B$13:$C$33,2,FALSE)/12*1000*Study_MW,0)</f>
        <v>0</v>
      </c>
      <c r="E76" s="71">
        <f t="shared" si="21"/>
        <v>0</v>
      </c>
      <c r="F76" s="75">
        <v>0</v>
      </c>
      <c r="G76" s="76" t="e">
        <f t="shared" si="16"/>
        <v>#DIV/0!</v>
      </c>
      <c r="I76" s="77">
        <f t="shared" si="22"/>
        <v>69</v>
      </c>
      <c r="J76" s="73">
        <f t="shared" si="4"/>
        <v>2027</v>
      </c>
      <c r="K76" s="78" t="str">
        <f t="shared" si="23"/>
        <v/>
      </c>
    </row>
    <row r="77" spans="2:11" hidden="1" outlineLevel="1">
      <c r="B77" s="78">
        <f t="shared" si="3"/>
        <v>46508</v>
      </c>
      <c r="C77" s="75">
        <v>0</v>
      </c>
      <c r="D77" s="71">
        <f>IF(F77&lt;&gt;0,VLOOKUP($J77,'Table 1'!$B$13:$C$33,2,FALSE)/12*1000*Study_MW,0)</f>
        <v>0</v>
      </c>
      <c r="E77" s="71">
        <f t="shared" si="21"/>
        <v>0</v>
      </c>
      <c r="F77" s="75">
        <v>0</v>
      </c>
      <c r="G77" s="76" t="e">
        <f t="shared" si="16"/>
        <v>#DIV/0!</v>
      </c>
      <c r="I77" s="77">
        <f t="shared" si="22"/>
        <v>70</v>
      </c>
      <c r="J77" s="73">
        <f t="shared" si="4"/>
        <v>2027</v>
      </c>
      <c r="K77" s="78" t="str">
        <f t="shared" si="23"/>
        <v/>
      </c>
    </row>
    <row r="78" spans="2:11" hidden="1" outlineLevel="1">
      <c r="B78" s="78">
        <f t="shared" ref="B78:B141" si="49">EDATE(B77,1)</f>
        <v>46539</v>
      </c>
      <c r="C78" s="75">
        <v>0</v>
      </c>
      <c r="D78" s="71">
        <f>IF(F78&lt;&gt;0,VLOOKUP($J78,'Table 1'!$B$13:$C$33,2,FALSE)/12*1000*Study_MW,0)</f>
        <v>0</v>
      </c>
      <c r="E78" s="71">
        <f t="shared" ref="E78:E132" si="50">C78+D78</f>
        <v>0</v>
      </c>
      <c r="F78" s="75">
        <v>0</v>
      </c>
      <c r="G78" s="76" t="e">
        <f t="shared" ref="G78:G132" si="51">IF(ISNUMBER($F78),E78/$F78,"")</f>
        <v>#DIV/0!</v>
      </c>
      <c r="I78" s="77">
        <f t="shared" si="22"/>
        <v>71</v>
      </c>
      <c r="J78" s="73">
        <f t="shared" ref="J78:J141" si="52">YEAR(B78)</f>
        <v>2027</v>
      </c>
      <c r="K78" s="78" t="str">
        <f t="shared" si="23"/>
        <v/>
      </c>
    </row>
    <row r="79" spans="2:11" hidden="1" outlineLevel="1">
      <c r="B79" s="78">
        <f t="shared" si="49"/>
        <v>46569</v>
      </c>
      <c r="C79" s="75">
        <v>0</v>
      </c>
      <c r="D79" s="71">
        <f>IF(F79&lt;&gt;0,VLOOKUP($J79,'Table 1'!$B$13:$C$33,2,FALSE)/12*1000*Study_MW,0)</f>
        <v>0</v>
      </c>
      <c r="E79" s="71">
        <f t="shared" si="50"/>
        <v>0</v>
      </c>
      <c r="F79" s="75">
        <v>0</v>
      </c>
      <c r="G79" s="76" t="e">
        <f t="shared" si="51"/>
        <v>#DIV/0!</v>
      </c>
      <c r="I79" s="77">
        <f t="shared" si="22"/>
        <v>72</v>
      </c>
      <c r="J79" s="73">
        <f t="shared" si="52"/>
        <v>2027</v>
      </c>
      <c r="K79" s="78" t="str">
        <f t="shared" si="23"/>
        <v/>
      </c>
    </row>
    <row r="80" spans="2:11" hidden="1" outlineLevel="1">
      <c r="B80" s="78">
        <f t="shared" si="49"/>
        <v>46600</v>
      </c>
      <c r="C80" s="75">
        <v>0</v>
      </c>
      <c r="D80" s="71">
        <f>IF(F80&lt;&gt;0,VLOOKUP($J80,'Table 1'!$B$13:$C$33,2,FALSE)/12*1000*Study_MW,0)</f>
        <v>0</v>
      </c>
      <c r="E80" s="71">
        <f t="shared" si="50"/>
        <v>0</v>
      </c>
      <c r="F80" s="75">
        <v>0</v>
      </c>
      <c r="G80" s="76" t="e">
        <f t="shared" si="51"/>
        <v>#DIV/0!</v>
      </c>
      <c r="I80" s="77">
        <f t="shared" si="22"/>
        <v>73</v>
      </c>
      <c r="J80" s="73">
        <f t="shared" si="52"/>
        <v>2027</v>
      </c>
      <c r="K80" s="78" t="str">
        <f t="shared" si="23"/>
        <v/>
      </c>
    </row>
    <row r="81" spans="2:11" hidden="1" outlineLevel="1">
      <c r="B81" s="78">
        <f t="shared" si="49"/>
        <v>46631</v>
      </c>
      <c r="C81" s="75">
        <v>0</v>
      </c>
      <c r="D81" s="71">
        <f>IF(F81&lt;&gt;0,VLOOKUP($J81,'Table 1'!$B$13:$C$33,2,FALSE)/12*1000*Study_MW,0)</f>
        <v>0</v>
      </c>
      <c r="E81" s="71">
        <f t="shared" si="50"/>
        <v>0</v>
      </c>
      <c r="F81" s="75">
        <v>0</v>
      </c>
      <c r="G81" s="76" t="e">
        <f t="shared" si="51"/>
        <v>#DIV/0!</v>
      </c>
      <c r="I81" s="77">
        <f t="shared" si="22"/>
        <v>74</v>
      </c>
      <c r="J81" s="73">
        <f t="shared" si="52"/>
        <v>2027</v>
      </c>
      <c r="K81" s="78" t="str">
        <f t="shared" si="23"/>
        <v/>
      </c>
    </row>
    <row r="82" spans="2:11" hidden="1" outlineLevel="1">
      <c r="B82" s="78">
        <f t="shared" si="49"/>
        <v>46661</v>
      </c>
      <c r="C82" s="75">
        <v>0</v>
      </c>
      <c r="D82" s="71">
        <f>IF(F82&lt;&gt;0,VLOOKUP($J82,'Table 1'!$B$13:$C$33,2,FALSE)/12*1000*Study_MW,0)</f>
        <v>0</v>
      </c>
      <c r="E82" s="71">
        <f t="shared" si="50"/>
        <v>0</v>
      </c>
      <c r="F82" s="75">
        <v>0</v>
      </c>
      <c r="G82" s="76" t="e">
        <f t="shared" si="51"/>
        <v>#DIV/0!</v>
      </c>
      <c r="I82" s="77">
        <f t="shared" si="22"/>
        <v>75</v>
      </c>
      <c r="J82" s="73">
        <f t="shared" si="52"/>
        <v>2027</v>
      </c>
      <c r="K82" s="78" t="str">
        <f t="shared" si="23"/>
        <v/>
      </c>
    </row>
    <row r="83" spans="2:11" hidden="1" outlineLevel="1">
      <c r="B83" s="78">
        <f t="shared" si="49"/>
        <v>46692</v>
      </c>
      <c r="C83" s="75">
        <v>0</v>
      </c>
      <c r="D83" s="71">
        <f>IF(F83&lt;&gt;0,VLOOKUP($J83,'Table 1'!$B$13:$C$33,2,FALSE)/12*1000*Study_MW,0)</f>
        <v>0</v>
      </c>
      <c r="E83" s="71">
        <f t="shared" si="50"/>
        <v>0</v>
      </c>
      <c r="F83" s="75">
        <v>0</v>
      </c>
      <c r="G83" s="76" t="e">
        <f t="shared" si="51"/>
        <v>#DIV/0!</v>
      </c>
      <c r="I83" s="77">
        <f t="shared" si="22"/>
        <v>76</v>
      </c>
      <c r="J83" s="73">
        <f t="shared" si="52"/>
        <v>2027</v>
      </c>
      <c r="K83" s="78" t="str">
        <f t="shared" si="23"/>
        <v/>
      </c>
    </row>
    <row r="84" spans="2:11" hidden="1" outlineLevel="1">
      <c r="B84" s="82">
        <f t="shared" si="49"/>
        <v>46722</v>
      </c>
      <c r="C84" s="79">
        <v>0</v>
      </c>
      <c r="D84" s="80">
        <f>IF(F84&lt;&gt;0,VLOOKUP($J84,'Table 1'!$B$13:$C$33,2,FALSE)/12*1000*Study_MW,0)</f>
        <v>0</v>
      </c>
      <c r="E84" s="80">
        <f t="shared" si="50"/>
        <v>0</v>
      </c>
      <c r="F84" s="79">
        <v>0</v>
      </c>
      <c r="G84" s="81" t="e">
        <f t="shared" si="51"/>
        <v>#DIV/0!</v>
      </c>
      <c r="I84" s="64">
        <f t="shared" si="22"/>
        <v>77</v>
      </c>
      <c r="J84" s="73">
        <f t="shared" si="52"/>
        <v>2027</v>
      </c>
      <c r="K84" s="82" t="str">
        <f t="shared" si="23"/>
        <v/>
      </c>
    </row>
    <row r="85" spans="2:11" hidden="1" outlineLevel="1">
      <c r="B85" s="74">
        <f t="shared" si="49"/>
        <v>46753</v>
      </c>
      <c r="C85" s="69">
        <v>0</v>
      </c>
      <c r="D85" s="70">
        <f>IF(F85&lt;&gt;0,VLOOKUP($J85,'Table 1'!$B$13:$C$33,2,FALSE)/12*1000*Study_MW,0)</f>
        <v>0</v>
      </c>
      <c r="E85" s="70">
        <f t="shared" si="50"/>
        <v>0</v>
      </c>
      <c r="F85" s="69">
        <v>0</v>
      </c>
      <c r="G85" s="72" t="e">
        <f t="shared" si="51"/>
        <v>#DIV/0!</v>
      </c>
      <c r="I85" s="60">
        <f>I73+13</f>
        <v>79</v>
      </c>
      <c r="J85" s="73">
        <f t="shared" si="52"/>
        <v>2028</v>
      </c>
      <c r="K85" s="74" t="str">
        <f t="shared" si="23"/>
        <v/>
      </c>
    </row>
    <row r="86" spans="2:11" hidden="1" outlineLevel="1">
      <c r="B86" s="78">
        <f t="shared" si="49"/>
        <v>46784</v>
      </c>
      <c r="C86" s="75">
        <v>0</v>
      </c>
      <c r="D86" s="71">
        <f>IF(F86&lt;&gt;0,VLOOKUP($J86,'Table 1'!$B$13:$C$33,2,FALSE)/12*1000*Study_MW,0)</f>
        <v>0</v>
      </c>
      <c r="E86" s="71">
        <f t="shared" si="50"/>
        <v>0</v>
      </c>
      <c r="F86" s="75">
        <v>0</v>
      </c>
      <c r="G86" s="76" t="e">
        <f t="shared" si="51"/>
        <v>#DIV/0!</v>
      </c>
      <c r="I86" s="77">
        <f t="shared" si="22"/>
        <v>80</v>
      </c>
      <c r="J86" s="73">
        <f t="shared" si="52"/>
        <v>2028</v>
      </c>
      <c r="K86" s="78" t="str">
        <f t="shared" si="23"/>
        <v/>
      </c>
    </row>
    <row r="87" spans="2:11" hidden="1" outlineLevel="1">
      <c r="B87" s="78">
        <f t="shared" si="49"/>
        <v>46813</v>
      </c>
      <c r="C87" s="75">
        <v>0</v>
      </c>
      <c r="D87" s="71">
        <f>IF(F87&lt;&gt;0,VLOOKUP($J87,'Table 1'!$B$13:$C$33,2,FALSE)/12*1000*Study_MW,0)</f>
        <v>0</v>
      </c>
      <c r="E87" s="71">
        <f t="shared" si="50"/>
        <v>0</v>
      </c>
      <c r="F87" s="75">
        <v>0</v>
      </c>
      <c r="G87" s="76" t="e">
        <f t="shared" si="51"/>
        <v>#DIV/0!</v>
      </c>
      <c r="I87" s="77">
        <f t="shared" si="22"/>
        <v>81</v>
      </c>
      <c r="J87" s="73">
        <f t="shared" si="52"/>
        <v>2028</v>
      </c>
      <c r="K87" s="78" t="str">
        <f t="shared" si="23"/>
        <v/>
      </c>
    </row>
    <row r="88" spans="2:11" hidden="1" outlineLevel="1">
      <c r="B88" s="78">
        <f t="shared" si="49"/>
        <v>46844</v>
      </c>
      <c r="C88" s="75">
        <v>0</v>
      </c>
      <c r="D88" s="71">
        <f>IF(F88&lt;&gt;0,VLOOKUP($J88,'Table 1'!$B$13:$C$33,2,FALSE)/12*1000*Study_MW,0)</f>
        <v>0</v>
      </c>
      <c r="E88" s="71">
        <f t="shared" si="50"/>
        <v>0</v>
      </c>
      <c r="F88" s="75">
        <v>0</v>
      </c>
      <c r="G88" s="76" t="e">
        <f t="shared" si="51"/>
        <v>#DIV/0!</v>
      </c>
      <c r="I88" s="77">
        <f t="shared" si="22"/>
        <v>82</v>
      </c>
      <c r="J88" s="73">
        <f t="shared" si="52"/>
        <v>2028</v>
      </c>
      <c r="K88" s="78" t="str">
        <f t="shared" si="23"/>
        <v/>
      </c>
    </row>
    <row r="89" spans="2:11" hidden="1" outlineLevel="1">
      <c r="B89" s="78">
        <f t="shared" si="49"/>
        <v>46874</v>
      </c>
      <c r="C89" s="75">
        <v>0</v>
      </c>
      <c r="D89" s="71">
        <f>IF(F89&lt;&gt;0,VLOOKUP($J89,'Table 1'!$B$13:$C$33,2,FALSE)/12*1000*Study_MW,0)</f>
        <v>0</v>
      </c>
      <c r="E89" s="71">
        <f t="shared" si="50"/>
        <v>0</v>
      </c>
      <c r="F89" s="75">
        <v>0</v>
      </c>
      <c r="G89" s="76" t="e">
        <f t="shared" si="51"/>
        <v>#DIV/0!</v>
      </c>
      <c r="I89" s="77">
        <f t="shared" si="22"/>
        <v>83</v>
      </c>
      <c r="J89" s="73">
        <f t="shared" si="52"/>
        <v>2028</v>
      </c>
      <c r="K89" s="78" t="str">
        <f t="shared" si="23"/>
        <v/>
      </c>
    </row>
    <row r="90" spans="2:11" hidden="1" outlineLevel="1">
      <c r="B90" s="78">
        <f t="shared" si="49"/>
        <v>46905</v>
      </c>
      <c r="C90" s="75">
        <v>0</v>
      </c>
      <c r="D90" s="71">
        <f>IF(F90&lt;&gt;0,VLOOKUP($J90,'Table 1'!$B$13:$C$33,2,FALSE)/12*1000*Study_MW,0)</f>
        <v>0</v>
      </c>
      <c r="E90" s="71">
        <f t="shared" si="50"/>
        <v>0</v>
      </c>
      <c r="F90" s="75">
        <v>0</v>
      </c>
      <c r="G90" s="76" t="e">
        <f t="shared" si="51"/>
        <v>#DIV/0!</v>
      </c>
      <c r="I90" s="77">
        <f t="shared" ref="I90:I96" si="53">I78+13</f>
        <v>84</v>
      </c>
      <c r="J90" s="73">
        <f t="shared" si="52"/>
        <v>2028</v>
      </c>
      <c r="K90" s="78" t="str">
        <f t="shared" ref="K90:K153" si="54">IF(ISNUMBER(F90),IF(F90&lt;&gt;0,B90,""),"")</f>
        <v/>
      </c>
    </row>
    <row r="91" spans="2:11" hidden="1" outlineLevel="1">
      <c r="B91" s="78">
        <f t="shared" si="49"/>
        <v>46935</v>
      </c>
      <c r="C91" s="75">
        <v>0</v>
      </c>
      <c r="D91" s="71">
        <f>IF(F91&lt;&gt;0,VLOOKUP($J91,'Table 1'!$B$13:$C$33,2,FALSE)/12*1000*Study_MW,0)</f>
        <v>0</v>
      </c>
      <c r="E91" s="71">
        <f t="shared" si="50"/>
        <v>0</v>
      </c>
      <c r="F91" s="75">
        <v>0</v>
      </c>
      <c r="G91" s="76" t="e">
        <f t="shared" si="51"/>
        <v>#DIV/0!</v>
      </c>
      <c r="I91" s="77">
        <f t="shared" si="53"/>
        <v>85</v>
      </c>
      <c r="J91" s="73">
        <f t="shared" si="52"/>
        <v>2028</v>
      </c>
      <c r="K91" s="78" t="str">
        <f t="shared" si="54"/>
        <v/>
      </c>
    </row>
    <row r="92" spans="2:11" hidden="1" outlineLevel="1">
      <c r="B92" s="78">
        <f t="shared" si="49"/>
        <v>46966</v>
      </c>
      <c r="C92" s="75">
        <v>0</v>
      </c>
      <c r="D92" s="71">
        <f>IF(F92&lt;&gt;0,VLOOKUP($J92,'Table 1'!$B$13:$C$33,2,FALSE)/12*1000*Study_MW,0)</f>
        <v>0</v>
      </c>
      <c r="E92" s="71">
        <f t="shared" si="50"/>
        <v>0</v>
      </c>
      <c r="F92" s="75">
        <v>0</v>
      </c>
      <c r="G92" s="76" t="e">
        <f t="shared" si="51"/>
        <v>#DIV/0!</v>
      </c>
      <c r="I92" s="77">
        <f t="shared" si="53"/>
        <v>86</v>
      </c>
      <c r="J92" s="73">
        <f t="shared" si="52"/>
        <v>2028</v>
      </c>
      <c r="K92" s="78" t="str">
        <f t="shared" si="54"/>
        <v/>
      </c>
    </row>
    <row r="93" spans="2:11" hidden="1" outlineLevel="1">
      <c r="B93" s="78">
        <f t="shared" si="49"/>
        <v>46997</v>
      </c>
      <c r="C93" s="75">
        <v>0</v>
      </c>
      <c r="D93" s="71">
        <f>IF(F93&lt;&gt;0,VLOOKUP($J93,'Table 1'!$B$13:$C$33,2,FALSE)/12*1000*Study_MW,0)</f>
        <v>0</v>
      </c>
      <c r="E93" s="71">
        <f t="shared" si="50"/>
        <v>0</v>
      </c>
      <c r="F93" s="75">
        <v>0</v>
      </c>
      <c r="G93" s="76" t="e">
        <f t="shared" si="51"/>
        <v>#DIV/0!</v>
      </c>
      <c r="I93" s="77">
        <f t="shared" si="53"/>
        <v>87</v>
      </c>
      <c r="J93" s="73">
        <f t="shared" si="52"/>
        <v>2028</v>
      </c>
      <c r="K93" s="78" t="str">
        <f t="shared" si="54"/>
        <v/>
      </c>
    </row>
    <row r="94" spans="2:11" hidden="1" outlineLevel="1">
      <c r="B94" s="78">
        <f t="shared" si="49"/>
        <v>47027</v>
      </c>
      <c r="C94" s="75">
        <v>0</v>
      </c>
      <c r="D94" s="71">
        <f>IF(F94&lt;&gt;0,VLOOKUP($J94,'Table 1'!$B$13:$C$33,2,FALSE)/12*1000*Study_MW,0)</f>
        <v>0</v>
      </c>
      <c r="E94" s="71">
        <f t="shared" si="50"/>
        <v>0</v>
      </c>
      <c r="F94" s="75">
        <v>0</v>
      </c>
      <c r="G94" s="76" t="e">
        <f t="shared" si="51"/>
        <v>#DIV/0!</v>
      </c>
      <c r="I94" s="77">
        <f t="shared" si="53"/>
        <v>88</v>
      </c>
      <c r="J94" s="73">
        <f t="shared" si="52"/>
        <v>2028</v>
      </c>
      <c r="K94" s="78" t="str">
        <f t="shared" si="54"/>
        <v/>
      </c>
    </row>
    <row r="95" spans="2:11" hidden="1" outlineLevel="1">
      <c r="B95" s="78">
        <f t="shared" si="49"/>
        <v>47058</v>
      </c>
      <c r="C95" s="75">
        <v>0</v>
      </c>
      <c r="D95" s="71">
        <f>IF(F95&lt;&gt;0,VLOOKUP($J95,'Table 1'!$B$13:$C$33,2,FALSE)/12*1000*Study_MW,0)</f>
        <v>0</v>
      </c>
      <c r="E95" s="71">
        <f t="shared" si="50"/>
        <v>0</v>
      </c>
      <c r="F95" s="75">
        <v>0</v>
      </c>
      <c r="G95" s="76" t="e">
        <f t="shared" si="51"/>
        <v>#DIV/0!</v>
      </c>
      <c r="I95" s="77">
        <f t="shared" si="53"/>
        <v>89</v>
      </c>
      <c r="J95" s="73">
        <f t="shared" si="52"/>
        <v>2028</v>
      </c>
      <c r="K95" s="78" t="str">
        <f t="shared" si="54"/>
        <v/>
      </c>
    </row>
    <row r="96" spans="2:11" hidden="1" outlineLevel="1">
      <c r="B96" s="82">
        <f t="shared" si="49"/>
        <v>47088</v>
      </c>
      <c r="C96" s="79">
        <v>0</v>
      </c>
      <c r="D96" s="80">
        <f>IF(F96&lt;&gt;0,VLOOKUP($J96,'Table 1'!$B$13:$C$33,2,FALSE)/12*1000*Study_MW,0)</f>
        <v>0</v>
      </c>
      <c r="E96" s="80">
        <f t="shared" si="50"/>
        <v>0</v>
      </c>
      <c r="F96" s="79">
        <v>0</v>
      </c>
      <c r="G96" s="81" t="e">
        <f t="shared" si="51"/>
        <v>#DIV/0!</v>
      </c>
      <c r="I96" s="64">
        <f t="shared" si="53"/>
        <v>90</v>
      </c>
      <c r="J96" s="73">
        <f t="shared" si="52"/>
        <v>2028</v>
      </c>
      <c r="K96" s="82" t="str">
        <f t="shared" si="54"/>
        <v/>
      </c>
    </row>
    <row r="97" spans="2:11" hidden="1" outlineLevel="1">
      <c r="B97" s="74">
        <f t="shared" si="49"/>
        <v>47119</v>
      </c>
      <c r="C97" s="69">
        <v>0</v>
      </c>
      <c r="D97" s="70">
        <f>IF(F97&lt;&gt;0,VLOOKUP($J97,'Table 1'!$B$13:$C$33,2,FALSE)/12*1000*Study_MW,0)</f>
        <v>0</v>
      </c>
      <c r="E97" s="70">
        <f t="shared" si="50"/>
        <v>0</v>
      </c>
      <c r="F97" s="69">
        <v>0</v>
      </c>
      <c r="G97" s="72" t="e">
        <f t="shared" si="51"/>
        <v>#DIV/0!</v>
      </c>
      <c r="I97" s="60">
        <f>I85+13</f>
        <v>92</v>
      </c>
      <c r="J97" s="73">
        <f t="shared" si="52"/>
        <v>2029</v>
      </c>
      <c r="K97" s="74" t="str">
        <f t="shared" si="54"/>
        <v/>
      </c>
    </row>
    <row r="98" spans="2:11" hidden="1" outlineLevel="1">
      <c r="B98" s="78">
        <f t="shared" si="49"/>
        <v>47150</v>
      </c>
      <c r="C98" s="75">
        <v>0</v>
      </c>
      <c r="D98" s="71">
        <f>IF(F98&lt;&gt;0,VLOOKUP($J98,'Table 1'!$B$13:$C$33,2,FALSE)/12*1000*Study_MW,0)</f>
        <v>0</v>
      </c>
      <c r="E98" s="71">
        <f t="shared" si="50"/>
        <v>0</v>
      </c>
      <c r="F98" s="75">
        <v>0</v>
      </c>
      <c r="G98" s="76" t="e">
        <f t="shared" si="51"/>
        <v>#DIV/0!</v>
      </c>
      <c r="I98" s="77">
        <f t="shared" ref="I98:I120" si="55">I86+13</f>
        <v>93</v>
      </c>
      <c r="J98" s="73">
        <f t="shared" si="52"/>
        <v>2029</v>
      </c>
      <c r="K98" s="78" t="str">
        <f t="shared" si="54"/>
        <v/>
      </c>
    </row>
    <row r="99" spans="2:11" hidden="1" outlineLevel="1">
      <c r="B99" s="78">
        <f t="shared" si="49"/>
        <v>47178</v>
      </c>
      <c r="C99" s="75">
        <v>0</v>
      </c>
      <c r="D99" s="71">
        <f>IF(F99&lt;&gt;0,VLOOKUP($J99,'Table 1'!$B$13:$C$33,2,FALSE)/12*1000*Study_MW,0)</f>
        <v>0</v>
      </c>
      <c r="E99" s="71">
        <f t="shared" si="50"/>
        <v>0</v>
      </c>
      <c r="F99" s="75">
        <v>0</v>
      </c>
      <c r="G99" s="76" t="e">
        <f t="shared" si="51"/>
        <v>#DIV/0!</v>
      </c>
      <c r="I99" s="77">
        <f t="shared" si="55"/>
        <v>94</v>
      </c>
      <c r="J99" s="73">
        <f t="shared" si="52"/>
        <v>2029</v>
      </c>
      <c r="K99" s="78" t="str">
        <f t="shared" si="54"/>
        <v/>
      </c>
    </row>
    <row r="100" spans="2:11" hidden="1" outlineLevel="1">
      <c r="B100" s="78">
        <f t="shared" si="49"/>
        <v>47209</v>
      </c>
      <c r="C100" s="75">
        <v>0</v>
      </c>
      <c r="D100" s="71">
        <f>IF(F100&lt;&gt;0,VLOOKUP($J100,'Table 1'!$B$13:$C$33,2,FALSE)/12*1000*Study_MW,0)</f>
        <v>0</v>
      </c>
      <c r="E100" s="71">
        <f t="shared" si="50"/>
        <v>0</v>
      </c>
      <c r="F100" s="75">
        <v>0</v>
      </c>
      <c r="G100" s="76" t="e">
        <f t="shared" si="51"/>
        <v>#DIV/0!</v>
      </c>
      <c r="I100" s="77">
        <f t="shared" si="55"/>
        <v>95</v>
      </c>
      <c r="J100" s="73">
        <f t="shared" si="52"/>
        <v>2029</v>
      </c>
      <c r="K100" s="78" t="str">
        <f t="shared" si="54"/>
        <v/>
      </c>
    </row>
    <row r="101" spans="2:11" hidden="1" outlineLevel="1">
      <c r="B101" s="78">
        <f t="shared" si="49"/>
        <v>47239</v>
      </c>
      <c r="C101" s="75">
        <v>0</v>
      </c>
      <c r="D101" s="71">
        <f>IF(F101&lt;&gt;0,VLOOKUP($J101,'Table 1'!$B$13:$C$33,2,FALSE)/12*1000*Study_MW,0)</f>
        <v>0</v>
      </c>
      <c r="E101" s="71">
        <f t="shared" si="50"/>
        <v>0</v>
      </c>
      <c r="F101" s="75">
        <v>0</v>
      </c>
      <c r="G101" s="76" t="e">
        <f t="shared" si="51"/>
        <v>#DIV/0!</v>
      </c>
      <c r="I101" s="77">
        <f t="shared" si="55"/>
        <v>96</v>
      </c>
      <c r="J101" s="73">
        <f t="shared" si="52"/>
        <v>2029</v>
      </c>
      <c r="K101" s="78" t="str">
        <f t="shared" si="54"/>
        <v/>
      </c>
    </row>
    <row r="102" spans="2:11" hidden="1" outlineLevel="1">
      <c r="B102" s="78">
        <f t="shared" si="49"/>
        <v>47270</v>
      </c>
      <c r="C102" s="75">
        <v>0</v>
      </c>
      <c r="D102" s="71">
        <f>IF(F102&lt;&gt;0,VLOOKUP($J102,'Table 1'!$B$13:$C$33,2,FALSE)/12*1000*Study_MW,0)</f>
        <v>0</v>
      </c>
      <c r="E102" s="71">
        <f t="shared" si="50"/>
        <v>0</v>
      </c>
      <c r="F102" s="75">
        <v>0</v>
      </c>
      <c r="G102" s="76" t="e">
        <f t="shared" si="51"/>
        <v>#DIV/0!</v>
      </c>
      <c r="I102" s="77">
        <f t="shared" si="55"/>
        <v>97</v>
      </c>
      <c r="J102" s="73">
        <f t="shared" si="52"/>
        <v>2029</v>
      </c>
      <c r="K102" s="78" t="str">
        <f t="shared" si="54"/>
        <v/>
      </c>
    </row>
    <row r="103" spans="2:11" hidden="1" outlineLevel="1">
      <c r="B103" s="78">
        <f t="shared" si="49"/>
        <v>47300</v>
      </c>
      <c r="C103" s="75">
        <v>0</v>
      </c>
      <c r="D103" s="71">
        <f>IF(F103&lt;&gt;0,VLOOKUP($J103,'Table 1'!$B$13:$C$33,2,FALSE)/12*1000*Study_MW,0)</f>
        <v>0</v>
      </c>
      <c r="E103" s="71">
        <f t="shared" si="50"/>
        <v>0</v>
      </c>
      <c r="F103" s="75">
        <v>0</v>
      </c>
      <c r="G103" s="76" t="e">
        <f t="shared" si="51"/>
        <v>#DIV/0!</v>
      </c>
      <c r="I103" s="77">
        <f t="shared" si="55"/>
        <v>98</v>
      </c>
      <c r="J103" s="73">
        <f t="shared" si="52"/>
        <v>2029</v>
      </c>
      <c r="K103" s="78" t="str">
        <f t="shared" si="54"/>
        <v/>
      </c>
    </row>
    <row r="104" spans="2:11" hidden="1" outlineLevel="1">
      <c r="B104" s="78">
        <f t="shared" si="49"/>
        <v>47331</v>
      </c>
      <c r="C104" s="75">
        <v>0</v>
      </c>
      <c r="D104" s="71">
        <f>IF(F104&lt;&gt;0,VLOOKUP($J104,'Table 1'!$B$13:$C$33,2,FALSE)/12*1000*Study_MW,0)</f>
        <v>0</v>
      </c>
      <c r="E104" s="71">
        <f t="shared" si="50"/>
        <v>0</v>
      </c>
      <c r="F104" s="75">
        <v>0</v>
      </c>
      <c r="G104" s="76" t="e">
        <f t="shared" si="51"/>
        <v>#DIV/0!</v>
      </c>
      <c r="I104" s="77">
        <f t="shared" si="55"/>
        <v>99</v>
      </c>
      <c r="J104" s="73">
        <f t="shared" si="52"/>
        <v>2029</v>
      </c>
      <c r="K104" s="78" t="str">
        <f t="shared" si="54"/>
        <v/>
      </c>
    </row>
    <row r="105" spans="2:11" hidden="1" outlineLevel="1">
      <c r="B105" s="78">
        <f t="shared" si="49"/>
        <v>47362</v>
      </c>
      <c r="C105" s="75">
        <v>0</v>
      </c>
      <c r="D105" s="71">
        <f>IF(F105&lt;&gt;0,VLOOKUP($J105,'Table 1'!$B$13:$C$33,2,FALSE)/12*1000*Study_MW,0)</f>
        <v>0</v>
      </c>
      <c r="E105" s="71">
        <f t="shared" si="50"/>
        <v>0</v>
      </c>
      <c r="F105" s="75">
        <v>0</v>
      </c>
      <c r="G105" s="76" t="e">
        <f t="shared" si="51"/>
        <v>#DIV/0!</v>
      </c>
      <c r="I105" s="77">
        <f t="shared" si="55"/>
        <v>100</v>
      </c>
      <c r="J105" s="73">
        <f t="shared" si="52"/>
        <v>2029</v>
      </c>
      <c r="K105" s="78" t="str">
        <f t="shared" si="54"/>
        <v/>
      </c>
    </row>
    <row r="106" spans="2:11" hidden="1" outlineLevel="1">
      <c r="B106" s="78">
        <f t="shared" si="49"/>
        <v>47392</v>
      </c>
      <c r="C106" s="75">
        <v>0</v>
      </c>
      <c r="D106" s="71">
        <f>IF(F106&lt;&gt;0,VLOOKUP($J106,'Table 1'!$B$13:$C$33,2,FALSE)/12*1000*Study_MW,0)</f>
        <v>0</v>
      </c>
      <c r="E106" s="71">
        <f t="shared" si="50"/>
        <v>0</v>
      </c>
      <c r="F106" s="75">
        <v>0</v>
      </c>
      <c r="G106" s="76" t="e">
        <f t="shared" si="51"/>
        <v>#DIV/0!</v>
      </c>
      <c r="I106" s="77">
        <f t="shared" si="55"/>
        <v>101</v>
      </c>
      <c r="J106" s="73">
        <f t="shared" si="52"/>
        <v>2029</v>
      </c>
      <c r="K106" s="78" t="str">
        <f t="shared" si="54"/>
        <v/>
      </c>
    </row>
    <row r="107" spans="2:11" hidden="1" outlineLevel="1">
      <c r="B107" s="78">
        <f t="shared" si="49"/>
        <v>47423</v>
      </c>
      <c r="C107" s="75">
        <v>0</v>
      </c>
      <c r="D107" s="71">
        <f>IF(F107&lt;&gt;0,VLOOKUP($J107,'Table 1'!$B$13:$C$33,2,FALSE)/12*1000*Study_MW,0)</f>
        <v>0</v>
      </c>
      <c r="E107" s="71">
        <f t="shared" si="50"/>
        <v>0</v>
      </c>
      <c r="F107" s="75">
        <v>0</v>
      </c>
      <c r="G107" s="76" t="e">
        <f t="shared" si="51"/>
        <v>#DIV/0!</v>
      </c>
      <c r="I107" s="77">
        <f t="shared" si="55"/>
        <v>102</v>
      </c>
      <c r="J107" s="73">
        <f t="shared" si="52"/>
        <v>2029</v>
      </c>
      <c r="K107" s="78" t="str">
        <f t="shared" si="54"/>
        <v/>
      </c>
    </row>
    <row r="108" spans="2:11" hidden="1" outlineLevel="1">
      <c r="B108" s="82">
        <f t="shared" si="49"/>
        <v>47453</v>
      </c>
      <c r="C108" s="79">
        <v>0</v>
      </c>
      <c r="D108" s="80">
        <f>IF(F108&lt;&gt;0,VLOOKUP($J108,'Table 1'!$B$13:$C$33,2,FALSE)/12*1000*Study_MW,0)</f>
        <v>0</v>
      </c>
      <c r="E108" s="80">
        <f t="shared" si="50"/>
        <v>0</v>
      </c>
      <c r="F108" s="79">
        <v>0</v>
      </c>
      <c r="G108" s="81" t="e">
        <f t="shared" si="51"/>
        <v>#DIV/0!</v>
      </c>
      <c r="I108" s="64">
        <f t="shared" si="55"/>
        <v>103</v>
      </c>
      <c r="J108" s="73">
        <f t="shared" si="52"/>
        <v>2029</v>
      </c>
      <c r="K108" s="82" t="str">
        <f t="shared" si="54"/>
        <v/>
      </c>
    </row>
    <row r="109" spans="2:11" hidden="1" outlineLevel="1">
      <c r="B109" s="74">
        <f t="shared" si="49"/>
        <v>47484</v>
      </c>
      <c r="C109" s="69">
        <v>0</v>
      </c>
      <c r="D109" s="70">
        <f>IF(F109&lt;&gt;0,VLOOKUP($J109,'Table 1'!$B$13:$C$33,2,FALSE)/12*1000*Study_MW,0)</f>
        <v>0</v>
      </c>
      <c r="E109" s="70">
        <f t="shared" si="50"/>
        <v>0</v>
      </c>
      <c r="F109" s="69">
        <v>0</v>
      </c>
      <c r="G109" s="72" t="e">
        <f t="shared" si="51"/>
        <v>#DIV/0!</v>
      </c>
      <c r="I109" s="60">
        <f>I97+13</f>
        <v>105</v>
      </c>
      <c r="J109" s="73">
        <f t="shared" si="52"/>
        <v>2030</v>
      </c>
      <c r="K109" s="74" t="str">
        <f t="shared" si="54"/>
        <v/>
      </c>
    </row>
    <row r="110" spans="2:11" hidden="1" outlineLevel="1">
      <c r="B110" s="78">
        <f t="shared" si="49"/>
        <v>47515</v>
      </c>
      <c r="C110" s="75">
        <v>0</v>
      </c>
      <c r="D110" s="71">
        <f>IF(F110&lt;&gt;0,VLOOKUP($J110,'Table 1'!$B$13:$C$33,2,FALSE)/12*1000*Study_MW,0)</f>
        <v>0</v>
      </c>
      <c r="E110" s="71">
        <f t="shared" si="50"/>
        <v>0</v>
      </c>
      <c r="F110" s="75">
        <v>0</v>
      </c>
      <c r="G110" s="76" t="e">
        <f t="shared" si="51"/>
        <v>#DIV/0!</v>
      </c>
      <c r="I110" s="77">
        <f t="shared" si="55"/>
        <v>106</v>
      </c>
      <c r="J110" s="73">
        <f t="shared" si="52"/>
        <v>2030</v>
      </c>
      <c r="K110" s="78" t="str">
        <f t="shared" si="54"/>
        <v/>
      </c>
    </row>
    <row r="111" spans="2:11" hidden="1" outlineLevel="1">
      <c r="B111" s="78">
        <f t="shared" si="49"/>
        <v>47543</v>
      </c>
      <c r="C111" s="75">
        <v>0</v>
      </c>
      <c r="D111" s="71">
        <f>IF(F111&lt;&gt;0,VLOOKUP($J111,'Table 1'!$B$13:$C$33,2,FALSE)/12*1000*Study_MW,0)</f>
        <v>0</v>
      </c>
      <c r="E111" s="71">
        <f t="shared" si="50"/>
        <v>0</v>
      </c>
      <c r="F111" s="75">
        <v>0</v>
      </c>
      <c r="G111" s="76" t="e">
        <f t="shared" si="51"/>
        <v>#DIV/0!</v>
      </c>
      <c r="I111" s="77">
        <f t="shared" si="55"/>
        <v>107</v>
      </c>
      <c r="J111" s="73">
        <f t="shared" si="52"/>
        <v>2030</v>
      </c>
      <c r="K111" s="78" t="str">
        <f t="shared" si="54"/>
        <v/>
      </c>
    </row>
    <row r="112" spans="2:11" hidden="1" outlineLevel="1">
      <c r="B112" s="78">
        <f t="shared" si="49"/>
        <v>47574</v>
      </c>
      <c r="C112" s="75">
        <v>0</v>
      </c>
      <c r="D112" s="71">
        <f>IF(F112&lt;&gt;0,VLOOKUP($J112,'Table 1'!$B$13:$C$33,2,FALSE)/12*1000*Study_MW,0)</f>
        <v>0</v>
      </c>
      <c r="E112" s="71">
        <f t="shared" si="50"/>
        <v>0</v>
      </c>
      <c r="F112" s="75">
        <v>0</v>
      </c>
      <c r="G112" s="76" t="e">
        <f t="shared" si="51"/>
        <v>#DIV/0!</v>
      </c>
      <c r="I112" s="77">
        <f t="shared" si="55"/>
        <v>108</v>
      </c>
      <c r="J112" s="73">
        <f t="shared" si="52"/>
        <v>2030</v>
      </c>
      <c r="K112" s="78" t="str">
        <f t="shared" si="54"/>
        <v/>
      </c>
    </row>
    <row r="113" spans="2:11" hidden="1" outlineLevel="1">
      <c r="B113" s="78">
        <f t="shared" si="49"/>
        <v>47604</v>
      </c>
      <c r="C113" s="75">
        <v>0</v>
      </c>
      <c r="D113" s="71">
        <f>IF(F113&lt;&gt;0,VLOOKUP($J113,'Table 1'!$B$13:$C$33,2,FALSE)/12*1000*Study_MW,0)</f>
        <v>0</v>
      </c>
      <c r="E113" s="71">
        <f t="shared" si="50"/>
        <v>0</v>
      </c>
      <c r="F113" s="75">
        <v>0</v>
      </c>
      <c r="G113" s="76" t="e">
        <f t="shared" si="51"/>
        <v>#DIV/0!</v>
      </c>
      <c r="I113" s="77">
        <f t="shared" si="55"/>
        <v>109</v>
      </c>
      <c r="J113" s="73">
        <f t="shared" si="52"/>
        <v>2030</v>
      </c>
      <c r="K113" s="78" t="str">
        <f t="shared" si="54"/>
        <v/>
      </c>
    </row>
    <row r="114" spans="2:11" hidden="1" outlineLevel="1">
      <c r="B114" s="78">
        <f t="shared" si="49"/>
        <v>47635</v>
      </c>
      <c r="C114" s="75">
        <v>0</v>
      </c>
      <c r="D114" s="71">
        <f>IF(F114&lt;&gt;0,VLOOKUP($J114,'Table 1'!$B$13:$C$33,2,FALSE)/12*1000*Study_MW,0)</f>
        <v>0</v>
      </c>
      <c r="E114" s="71">
        <f t="shared" si="50"/>
        <v>0</v>
      </c>
      <c r="F114" s="75">
        <v>0</v>
      </c>
      <c r="G114" s="76" t="e">
        <f t="shared" si="51"/>
        <v>#DIV/0!</v>
      </c>
      <c r="I114" s="77">
        <f t="shared" si="55"/>
        <v>110</v>
      </c>
      <c r="J114" s="73">
        <f t="shared" si="52"/>
        <v>2030</v>
      </c>
      <c r="K114" s="78" t="str">
        <f t="shared" si="54"/>
        <v/>
      </c>
    </row>
    <row r="115" spans="2:11" hidden="1" outlineLevel="1">
      <c r="B115" s="78">
        <f t="shared" si="49"/>
        <v>47665</v>
      </c>
      <c r="C115" s="75">
        <v>0</v>
      </c>
      <c r="D115" s="71">
        <f>IF(F115&lt;&gt;0,VLOOKUP($J115,'Table 1'!$B$13:$C$33,2,FALSE)/12*1000*Study_MW,0)</f>
        <v>0</v>
      </c>
      <c r="E115" s="71">
        <f t="shared" si="50"/>
        <v>0</v>
      </c>
      <c r="F115" s="75">
        <v>0</v>
      </c>
      <c r="G115" s="76" t="e">
        <f t="shared" si="51"/>
        <v>#DIV/0!</v>
      </c>
      <c r="I115" s="77">
        <f t="shared" si="55"/>
        <v>111</v>
      </c>
      <c r="J115" s="73">
        <f t="shared" si="52"/>
        <v>2030</v>
      </c>
      <c r="K115" s="78" t="str">
        <f t="shared" si="54"/>
        <v/>
      </c>
    </row>
    <row r="116" spans="2:11" hidden="1" outlineLevel="1">
      <c r="B116" s="78">
        <f t="shared" si="49"/>
        <v>47696</v>
      </c>
      <c r="C116" s="75">
        <v>0</v>
      </c>
      <c r="D116" s="71">
        <f>IF(F116&lt;&gt;0,VLOOKUP($J116,'Table 1'!$B$13:$C$33,2,FALSE)/12*1000*Study_MW,0)</f>
        <v>0</v>
      </c>
      <c r="E116" s="71">
        <f t="shared" si="50"/>
        <v>0</v>
      </c>
      <c r="F116" s="75">
        <v>0</v>
      </c>
      <c r="G116" s="76" t="e">
        <f t="shared" si="51"/>
        <v>#DIV/0!</v>
      </c>
      <c r="I116" s="77">
        <f t="shared" si="55"/>
        <v>112</v>
      </c>
      <c r="J116" s="73">
        <f t="shared" si="52"/>
        <v>2030</v>
      </c>
      <c r="K116" s="78" t="str">
        <f t="shared" si="54"/>
        <v/>
      </c>
    </row>
    <row r="117" spans="2:11" hidden="1" outlineLevel="1">
      <c r="B117" s="78">
        <f t="shared" si="49"/>
        <v>47727</v>
      </c>
      <c r="C117" s="75">
        <v>0</v>
      </c>
      <c r="D117" s="71">
        <f>IF(F117&lt;&gt;0,VLOOKUP($J117,'Table 1'!$B$13:$C$33,2,FALSE)/12*1000*Study_MW,0)</f>
        <v>0</v>
      </c>
      <c r="E117" s="71">
        <f t="shared" si="50"/>
        <v>0</v>
      </c>
      <c r="F117" s="75">
        <v>0</v>
      </c>
      <c r="G117" s="76" t="e">
        <f t="shared" si="51"/>
        <v>#DIV/0!</v>
      </c>
      <c r="I117" s="77">
        <f t="shared" si="55"/>
        <v>113</v>
      </c>
      <c r="J117" s="73">
        <f t="shared" si="52"/>
        <v>2030</v>
      </c>
      <c r="K117" s="78" t="str">
        <f t="shared" si="54"/>
        <v/>
      </c>
    </row>
    <row r="118" spans="2:11" hidden="1" outlineLevel="1">
      <c r="B118" s="78">
        <f t="shared" si="49"/>
        <v>47757</v>
      </c>
      <c r="C118" s="75">
        <v>0</v>
      </c>
      <c r="D118" s="71">
        <f>IF(F118&lt;&gt;0,VLOOKUP($J118,'Table 1'!$B$13:$C$33,2,FALSE)/12*1000*Study_MW,0)</f>
        <v>0</v>
      </c>
      <c r="E118" s="71">
        <f t="shared" si="50"/>
        <v>0</v>
      </c>
      <c r="F118" s="75">
        <v>0</v>
      </c>
      <c r="G118" s="76" t="e">
        <f t="shared" si="51"/>
        <v>#DIV/0!</v>
      </c>
      <c r="I118" s="77">
        <f t="shared" si="55"/>
        <v>114</v>
      </c>
      <c r="J118" s="73">
        <f t="shared" si="52"/>
        <v>2030</v>
      </c>
      <c r="K118" s="78" t="str">
        <f t="shared" si="54"/>
        <v/>
      </c>
    </row>
    <row r="119" spans="2:11" hidden="1" outlineLevel="1">
      <c r="B119" s="78">
        <f t="shared" si="49"/>
        <v>47788</v>
      </c>
      <c r="C119" s="75">
        <v>0</v>
      </c>
      <c r="D119" s="71">
        <f>IF(F119&lt;&gt;0,VLOOKUP($J119,'Table 1'!$B$13:$C$33,2,FALSE)/12*1000*Study_MW,0)</f>
        <v>0</v>
      </c>
      <c r="E119" s="71">
        <f t="shared" si="50"/>
        <v>0</v>
      </c>
      <c r="F119" s="75">
        <v>0</v>
      </c>
      <c r="G119" s="76" t="e">
        <f t="shared" si="51"/>
        <v>#DIV/0!</v>
      </c>
      <c r="I119" s="77">
        <f t="shared" si="55"/>
        <v>115</v>
      </c>
      <c r="J119" s="73">
        <f t="shared" si="52"/>
        <v>2030</v>
      </c>
      <c r="K119" s="78" t="str">
        <f t="shared" si="54"/>
        <v/>
      </c>
    </row>
    <row r="120" spans="2:11" hidden="1" outlineLevel="1">
      <c r="B120" s="82">
        <f t="shared" si="49"/>
        <v>47818</v>
      </c>
      <c r="C120" s="79">
        <v>0</v>
      </c>
      <c r="D120" s="80">
        <f>IF(F120&lt;&gt;0,VLOOKUP($J120,'Table 1'!$B$13:$C$33,2,FALSE)/12*1000*Study_MW,0)</f>
        <v>0</v>
      </c>
      <c r="E120" s="80">
        <f t="shared" si="50"/>
        <v>0</v>
      </c>
      <c r="F120" s="79">
        <v>0</v>
      </c>
      <c r="G120" s="81" t="e">
        <f t="shared" si="51"/>
        <v>#DIV/0!</v>
      </c>
      <c r="I120" s="64">
        <f t="shared" si="55"/>
        <v>116</v>
      </c>
      <c r="J120" s="73">
        <f t="shared" si="52"/>
        <v>2030</v>
      </c>
      <c r="K120" s="82" t="str">
        <f t="shared" si="54"/>
        <v/>
      </c>
    </row>
    <row r="121" spans="2:11" hidden="1" outlineLevel="1">
      <c r="B121" s="74">
        <f t="shared" si="49"/>
        <v>47849</v>
      </c>
      <c r="C121" s="69">
        <v>0</v>
      </c>
      <c r="D121" s="70">
        <f>IF(F121&lt;&gt;0,VLOOKUP($J121,'Table 1'!$B$13:$C$33,2,FALSE)/12*1000*Study_MW,0)</f>
        <v>0</v>
      </c>
      <c r="E121" s="70">
        <f t="shared" si="50"/>
        <v>0</v>
      </c>
      <c r="F121" s="69">
        <v>0</v>
      </c>
      <c r="G121" s="72" t="e">
        <f t="shared" si="51"/>
        <v>#DIV/0!</v>
      </c>
      <c r="I121" s="60">
        <f>I109+13</f>
        <v>118</v>
      </c>
      <c r="J121" s="73">
        <f t="shared" si="52"/>
        <v>2031</v>
      </c>
      <c r="K121" s="74" t="str">
        <f t="shared" si="54"/>
        <v/>
      </c>
    </row>
    <row r="122" spans="2:11" hidden="1" outlineLevel="1">
      <c r="B122" s="78">
        <f t="shared" si="49"/>
        <v>47880</v>
      </c>
      <c r="C122" s="75">
        <v>0</v>
      </c>
      <c r="D122" s="71">
        <f>IF(F122&lt;&gt;0,VLOOKUP($J122,'Table 1'!$B$13:$C$33,2,FALSE)/12*1000*Study_MW,0)</f>
        <v>0</v>
      </c>
      <c r="E122" s="71">
        <f t="shared" si="50"/>
        <v>0</v>
      </c>
      <c r="F122" s="75">
        <v>0</v>
      </c>
      <c r="G122" s="76" t="e">
        <f t="shared" si="51"/>
        <v>#DIV/0!</v>
      </c>
      <c r="I122" s="77">
        <f t="shared" ref="I122:I132" si="56">I110+13</f>
        <v>119</v>
      </c>
      <c r="J122" s="73">
        <f t="shared" si="52"/>
        <v>2031</v>
      </c>
      <c r="K122" s="78" t="str">
        <f t="shared" si="54"/>
        <v/>
      </c>
    </row>
    <row r="123" spans="2:11" hidden="1" outlineLevel="1">
      <c r="B123" s="78">
        <f t="shared" si="49"/>
        <v>47908</v>
      </c>
      <c r="C123" s="75">
        <v>0</v>
      </c>
      <c r="D123" s="71">
        <f>IF(F123&lt;&gt;0,VLOOKUP($J123,'Table 1'!$B$13:$C$33,2,FALSE)/12*1000*Study_MW,0)</f>
        <v>0</v>
      </c>
      <c r="E123" s="71">
        <f t="shared" si="50"/>
        <v>0</v>
      </c>
      <c r="F123" s="75">
        <v>0</v>
      </c>
      <c r="G123" s="76" t="e">
        <f t="shared" si="51"/>
        <v>#DIV/0!</v>
      </c>
      <c r="I123" s="77">
        <f t="shared" si="56"/>
        <v>120</v>
      </c>
      <c r="J123" s="73">
        <f t="shared" si="52"/>
        <v>2031</v>
      </c>
      <c r="K123" s="78" t="str">
        <f t="shared" si="54"/>
        <v/>
      </c>
    </row>
    <row r="124" spans="2:11" hidden="1" outlineLevel="1">
      <c r="B124" s="78">
        <f t="shared" si="49"/>
        <v>47939</v>
      </c>
      <c r="C124" s="75">
        <v>0</v>
      </c>
      <c r="D124" s="71">
        <f>IF(F124&lt;&gt;0,VLOOKUP($J124,'Table 1'!$B$13:$C$33,2,FALSE)/12*1000*Study_MW,0)</f>
        <v>0</v>
      </c>
      <c r="E124" s="71">
        <f t="shared" si="50"/>
        <v>0</v>
      </c>
      <c r="F124" s="75">
        <v>0</v>
      </c>
      <c r="G124" s="76" t="e">
        <f t="shared" si="51"/>
        <v>#DIV/0!</v>
      </c>
      <c r="I124" s="77">
        <f t="shared" si="56"/>
        <v>121</v>
      </c>
      <c r="J124" s="73">
        <f t="shared" si="52"/>
        <v>2031</v>
      </c>
      <c r="K124" s="78" t="str">
        <f t="shared" si="54"/>
        <v/>
      </c>
    </row>
    <row r="125" spans="2:11" hidden="1" outlineLevel="1">
      <c r="B125" s="78">
        <f t="shared" si="49"/>
        <v>47969</v>
      </c>
      <c r="C125" s="75">
        <v>0</v>
      </c>
      <c r="D125" s="71">
        <f>IF(F125&lt;&gt;0,VLOOKUP($J125,'Table 1'!$B$13:$C$33,2,FALSE)/12*1000*Study_MW,0)</f>
        <v>0</v>
      </c>
      <c r="E125" s="71">
        <f t="shared" si="50"/>
        <v>0</v>
      </c>
      <c r="F125" s="75">
        <v>0</v>
      </c>
      <c r="G125" s="76" t="e">
        <f t="shared" si="51"/>
        <v>#DIV/0!</v>
      </c>
      <c r="I125" s="77">
        <f t="shared" si="56"/>
        <v>122</v>
      </c>
      <c r="J125" s="73">
        <f t="shared" si="52"/>
        <v>2031</v>
      </c>
      <c r="K125" s="78" t="str">
        <f t="shared" si="54"/>
        <v/>
      </c>
    </row>
    <row r="126" spans="2:11" hidden="1" outlineLevel="1">
      <c r="B126" s="78">
        <f t="shared" si="49"/>
        <v>48000</v>
      </c>
      <c r="C126" s="75">
        <v>0</v>
      </c>
      <c r="D126" s="71">
        <f>IF(F126&lt;&gt;0,VLOOKUP($J126,'Table 1'!$B$13:$C$33,2,FALSE)/12*1000*Study_MW,0)</f>
        <v>0</v>
      </c>
      <c r="E126" s="71">
        <f t="shared" si="50"/>
        <v>0</v>
      </c>
      <c r="F126" s="75">
        <v>0</v>
      </c>
      <c r="G126" s="76" t="e">
        <f t="shared" si="51"/>
        <v>#DIV/0!</v>
      </c>
      <c r="I126" s="77">
        <f t="shared" si="56"/>
        <v>123</v>
      </c>
      <c r="J126" s="73">
        <f t="shared" si="52"/>
        <v>2031</v>
      </c>
      <c r="K126" s="78" t="str">
        <f t="shared" si="54"/>
        <v/>
      </c>
    </row>
    <row r="127" spans="2:11" hidden="1" outlineLevel="1">
      <c r="B127" s="78">
        <f t="shared" si="49"/>
        <v>48030</v>
      </c>
      <c r="C127" s="75">
        <v>0</v>
      </c>
      <c r="D127" s="71">
        <f>IF(F127&lt;&gt;0,VLOOKUP($J127,'Table 1'!$B$13:$C$33,2,FALSE)/12*1000*Study_MW,0)</f>
        <v>0</v>
      </c>
      <c r="E127" s="71">
        <f t="shared" si="50"/>
        <v>0</v>
      </c>
      <c r="F127" s="75">
        <v>0</v>
      </c>
      <c r="G127" s="76" t="e">
        <f t="shared" si="51"/>
        <v>#DIV/0!</v>
      </c>
      <c r="I127" s="77">
        <f t="shared" si="56"/>
        <v>124</v>
      </c>
      <c r="J127" s="73">
        <f t="shared" si="52"/>
        <v>2031</v>
      </c>
      <c r="K127" s="78" t="str">
        <f t="shared" si="54"/>
        <v/>
      </c>
    </row>
    <row r="128" spans="2:11" hidden="1" outlineLevel="1">
      <c r="B128" s="78">
        <f t="shared" si="49"/>
        <v>48061</v>
      </c>
      <c r="C128" s="75">
        <v>0</v>
      </c>
      <c r="D128" s="71">
        <f>IF(F128&lt;&gt;0,VLOOKUP($J128,'Table 1'!$B$13:$C$33,2,FALSE)/12*1000*Study_MW,0)</f>
        <v>0</v>
      </c>
      <c r="E128" s="71">
        <f t="shared" si="50"/>
        <v>0</v>
      </c>
      <c r="F128" s="75">
        <v>0</v>
      </c>
      <c r="G128" s="76" t="e">
        <f t="shared" si="51"/>
        <v>#DIV/0!</v>
      </c>
      <c r="I128" s="77">
        <f t="shared" si="56"/>
        <v>125</v>
      </c>
      <c r="J128" s="73">
        <f t="shared" si="52"/>
        <v>2031</v>
      </c>
      <c r="K128" s="78" t="str">
        <f t="shared" si="54"/>
        <v/>
      </c>
    </row>
    <row r="129" spans="2:11" hidden="1" outlineLevel="1">
      <c r="B129" s="78">
        <f t="shared" si="49"/>
        <v>48092</v>
      </c>
      <c r="C129" s="75">
        <v>0</v>
      </c>
      <c r="D129" s="71">
        <f>IF(F129&lt;&gt;0,VLOOKUP($J129,'Table 1'!$B$13:$C$33,2,FALSE)/12*1000*Study_MW,0)</f>
        <v>0</v>
      </c>
      <c r="E129" s="71">
        <f t="shared" si="50"/>
        <v>0</v>
      </c>
      <c r="F129" s="75">
        <v>0</v>
      </c>
      <c r="G129" s="76" t="e">
        <f t="shared" si="51"/>
        <v>#DIV/0!</v>
      </c>
      <c r="I129" s="77">
        <f t="shared" si="56"/>
        <v>126</v>
      </c>
      <c r="J129" s="73">
        <f t="shared" si="52"/>
        <v>2031</v>
      </c>
      <c r="K129" s="78" t="str">
        <f t="shared" si="54"/>
        <v/>
      </c>
    </row>
    <row r="130" spans="2:11" hidden="1" outlineLevel="1">
      <c r="B130" s="78">
        <f t="shared" si="49"/>
        <v>48122</v>
      </c>
      <c r="C130" s="75">
        <v>0</v>
      </c>
      <c r="D130" s="71">
        <f>IF(F130&lt;&gt;0,VLOOKUP($J130,'Table 1'!$B$13:$C$33,2,FALSE)/12*1000*Study_MW,0)</f>
        <v>0</v>
      </c>
      <c r="E130" s="71">
        <f t="shared" si="50"/>
        <v>0</v>
      </c>
      <c r="F130" s="75">
        <v>0</v>
      </c>
      <c r="G130" s="76" t="e">
        <f t="shared" si="51"/>
        <v>#DIV/0!</v>
      </c>
      <c r="I130" s="77">
        <f t="shared" si="56"/>
        <v>127</v>
      </c>
      <c r="J130" s="73">
        <f t="shared" si="52"/>
        <v>2031</v>
      </c>
      <c r="K130" s="78" t="str">
        <f t="shared" si="54"/>
        <v/>
      </c>
    </row>
    <row r="131" spans="2:11" hidden="1" outlineLevel="1">
      <c r="B131" s="78">
        <f t="shared" si="49"/>
        <v>48153</v>
      </c>
      <c r="C131" s="75">
        <v>0</v>
      </c>
      <c r="D131" s="71">
        <f>IF(F131&lt;&gt;0,VLOOKUP($J131,'Table 1'!$B$13:$C$33,2,FALSE)/12*1000*Study_MW,0)</f>
        <v>0</v>
      </c>
      <c r="E131" s="71">
        <f t="shared" si="50"/>
        <v>0</v>
      </c>
      <c r="F131" s="75">
        <v>0</v>
      </c>
      <c r="G131" s="76" t="e">
        <f t="shared" si="51"/>
        <v>#DIV/0!</v>
      </c>
      <c r="I131" s="77">
        <f t="shared" si="56"/>
        <v>128</v>
      </c>
      <c r="J131" s="73">
        <f t="shared" si="52"/>
        <v>2031</v>
      </c>
      <c r="K131" s="78" t="str">
        <f t="shared" si="54"/>
        <v/>
      </c>
    </row>
    <row r="132" spans="2:11" hidden="1" outlineLevel="1">
      <c r="B132" s="82">
        <f t="shared" si="49"/>
        <v>48183</v>
      </c>
      <c r="C132" s="79">
        <v>0</v>
      </c>
      <c r="D132" s="80">
        <f>IF(F132&lt;&gt;0,VLOOKUP($J132,'Table 1'!$B$13:$C$33,2,FALSE)/12*1000*Study_MW,0)</f>
        <v>0</v>
      </c>
      <c r="E132" s="80">
        <f t="shared" si="50"/>
        <v>0</v>
      </c>
      <c r="F132" s="79">
        <v>0</v>
      </c>
      <c r="G132" s="81" t="e">
        <f t="shared" si="51"/>
        <v>#DIV/0!</v>
      </c>
      <c r="I132" s="64">
        <f t="shared" si="56"/>
        <v>129</v>
      </c>
      <c r="J132" s="73">
        <f t="shared" si="52"/>
        <v>2031</v>
      </c>
      <c r="K132" s="82" t="str">
        <f t="shared" si="54"/>
        <v/>
      </c>
    </row>
    <row r="133" spans="2:11" hidden="1" outlineLevel="1">
      <c r="B133" s="74">
        <f t="shared" si="49"/>
        <v>48214</v>
      </c>
      <c r="C133" s="69"/>
      <c r="D133" s="70"/>
      <c r="E133" s="70"/>
      <c r="F133" s="69"/>
      <c r="G133" s="72"/>
      <c r="I133" s="60">
        <f>I13</f>
        <v>1</v>
      </c>
      <c r="J133" s="73">
        <f t="shared" si="52"/>
        <v>2032</v>
      </c>
      <c r="K133" s="74" t="str">
        <f t="shared" si="54"/>
        <v/>
      </c>
    </row>
    <row r="134" spans="2:11" hidden="1" outlineLevel="1">
      <c r="B134" s="78">
        <f t="shared" si="49"/>
        <v>48245</v>
      </c>
      <c r="C134" s="75"/>
      <c r="D134" s="71"/>
      <c r="E134" s="71"/>
      <c r="F134" s="75"/>
      <c r="G134" s="76"/>
      <c r="I134" s="77">
        <f t="shared" ref="I134:I197" si="57">I14</f>
        <v>2</v>
      </c>
      <c r="J134" s="73">
        <f t="shared" si="52"/>
        <v>2032</v>
      </c>
      <c r="K134" s="78" t="str">
        <f t="shared" si="54"/>
        <v/>
      </c>
    </row>
    <row r="135" spans="2:11" hidden="1" outlineLevel="1">
      <c r="B135" s="78">
        <f t="shared" si="49"/>
        <v>48274</v>
      </c>
      <c r="C135" s="75"/>
      <c r="D135" s="71"/>
      <c r="E135" s="71"/>
      <c r="F135" s="75"/>
      <c r="G135" s="76"/>
      <c r="I135" s="77">
        <f t="shared" si="57"/>
        <v>3</v>
      </c>
      <c r="J135" s="73">
        <f t="shared" si="52"/>
        <v>2032</v>
      </c>
      <c r="K135" s="78" t="str">
        <f t="shared" si="54"/>
        <v/>
      </c>
    </row>
    <row r="136" spans="2:11" hidden="1" outlineLevel="1">
      <c r="B136" s="78">
        <f t="shared" si="49"/>
        <v>48305</v>
      </c>
      <c r="C136" s="75"/>
      <c r="D136" s="71"/>
      <c r="E136" s="71"/>
      <c r="F136" s="75"/>
      <c r="G136" s="76"/>
      <c r="I136" s="77">
        <f t="shared" si="57"/>
        <v>4</v>
      </c>
      <c r="J136" s="73">
        <f t="shared" si="52"/>
        <v>2032</v>
      </c>
      <c r="K136" s="78" t="str">
        <f t="shared" si="54"/>
        <v/>
      </c>
    </row>
    <row r="137" spans="2:11" hidden="1" outlineLevel="1">
      <c r="B137" s="78">
        <f t="shared" si="49"/>
        <v>48335</v>
      </c>
      <c r="C137" s="75"/>
      <c r="D137" s="71"/>
      <c r="E137" s="71"/>
      <c r="F137" s="75"/>
      <c r="G137" s="76"/>
      <c r="I137" s="77">
        <f t="shared" si="57"/>
        <v>5</v>
      </c>
      <c r="J137" s="73">
        <f t="shared" si="52"/>
        <v>2032</v>
      </c>
      <c r="K137" s="78" t="str">
        <f t="shared" si="54"/>
        <v/>
      </c>
    </row>
    <row r="138" spans="2:11" hidden="1" outlineLevel="1">
      <c r="B138" s="78">
        <f t="shared" si="49"/>
        <v>48366</v>
      </c>
      <c r="C138" s="75"/>
      <c r="D138" s="71"/>
      <c r="E138" s="71"/>
      <c r="F138" s="75"/>
      <c r="G138" s="76"/>
      <c r="I138" s="77">
        <f t="shared" si="57"/>
        <v>6</v>
      </c>
      <c r="J138" s="73">
        <f t="shared" si="52"/>
        <v>2032</v>
      </c>
      <c r="K138" s="78" t="str">
        <f t="shared" si="54"/>
        <v/>
      </c>
    </row>
    <row r="139" spans="2:11" hidden="1" outlineLevel="1">
      <c r="B139" s="78">
        <f t="shared" si="49"/>
        <v>48396</v>
      </c>
      <c r="C139" s="75"/>
      <c r="D139" s="71"/>
      <c r="E139" s="71"/>
      <c r="F139" s="75"/>
      <c r="G139" s="76"/>
      <c r="I139" s="77">
        <f t="shared" si="57"/>
        <v>7</v>
      </c>
      <c r="J139" s="73">
        <f t="shared" si="52"/>
        <v>2032</v>
      </c>
      <c r="K139" s="78" t="str">
        <f t="shared" si="54"/>
        <v/>
      </c>
    </row>
    <row r="140" spans="2:11" hidden="1" outlineLevel="1">
      <c r="B140" s="78">
        <f t="shared" si="49"/>
        <v>48427</v>
      </c>
      <c r="C140" s="75"/>
      <c r="D140" s="71"/>
      <c r="E140" s="71"/>
      <c r="F140" s="75"/>
      <c r="G140" s="76"/>
      <c r="I140" s="77">
        <f t="shared" si="57"/>
        <v>8</v>
      </c>
      <c r="J140" s="73">
        <f t="shared" si="52"/>
        <v>2032</v>
      </c>
      <c r="K140" s="78" t="str">
        <f t="shared" si="54"/>
        <v/>
      </c>
    </row>
    <row r="141" spans="2:11" hidden="1" outlineLevel="1">
      <c r="B141" s="78">
        <f t="shared" si="49"/>
        <v>48458</v>
      </c>
      <c r="C141" s="75"/>
      <c r="D141" s="71"/>
      <c r="E141" s="71"/>
      <c r="F141" s="75"/>
      <c r="G141" s="76"/>
      <c r="I141" s="77">
        <f t="shared" si="57"/>
        <v>9</v>
      </c>
      <c r="J141" s="73">
        <f t="shared" si="52"/>
        <v>2032</v>
      </c>
      <c r="K141" s="78" t="str">
        <f t="shared" si="54"/>
        <v/>
      </c>
    </row>
    <row r="142" spans="2:11" hidden="1" outlineLevel="1">
      <c r="B142" s="78">
        <f t="shared" ref="B142:B205" si="58">EDATE(B141,1)</f>
        <v>48488</v>
      </c>
      <c r="C142" s="75"/>
      <c r="D142" s="71"/>
      <c r="E142" s="71"/>
      <c r="F142" s="75"/>
      <c r="G142" s="76"/>
      <c r="I142" s="77">
        <f t="shared" si="57"/>
        <v>10</v>
      </c>
      <c r="J142" s="73">
        <f t="shared" ref="J142:J192" si="59">YEAR(B142)</f>
        <v>2032</v>
      </c>
      <c r="K142" s="78" t="str">
        <f t="shared" si="54"/>
        <v/>
      </c>
    </row>
    <row r="143" spans="2:11" hidden="1" outlineLevel="1">
      <c r="B143" s="78">
        <f t="shared" si="58"/>
        <v>48519</v>
      </c>
      <c r="C143" s="75"/>
      <c r="D143" s="71"/>
      <c r="E143" s="71"/>
      <c r="F143" s="75"/>
      <c r="G143" s="76"/>
      <c r="I143" s="77">
        <f t="shared" si="57"/>
        <v>11</v>
      </c>
      <c r="J143" s="73">
        <f t="shared" si="59"/>
        <v>2032</v>
      </c>
      <c r="K143" s="78" t="str">
        <f t="shared" si="54"/>
        <v/>
      </c>
    </row>
    <row r="144" spans="2:11" hidden="1" outlineLevel="1">
      <c r="B144" s="82">
        <f t="shared" si="58"/>
        <v>48549</v>
      </c>
      <c r="C144" s="79"/>
      <c r="D144" s="80"/>
      <c r="E144" s="80"/>
      <c r="F144" s="79"/>
      <c r="G144" s="81"/>
      <c r="I144" s="64">
        <f t="shared" si="57"/>
        <v>12</v>
      </c>
      <c r="J144" s="73">
        <f t="shared" si="59"/>
        <v>2032</v>
      </c>
      <c r="K144" s="82" t="str">
        <f t="shared" si="54"/>
        <v/>
      </c>
    </row>
    <row r="145" spans="2:11" hidden="1" outlineLevel="1">
      <c r="B145" s="74">
        <f t="shared" si="58"/>
        <v>48580</v>
      </c>
      <c r="C145" s="69"/>
      <c r="D145" s="70"/>
      <c r="E145" s="70"/>
      <c r="F145" s="69"/>
      <c r="G145" s="72"/>
      <c r="I145" s="60">
        <f>I25</f>
        <v>14</v>
      </c>
      <c r="J145" s="73">
        <f t="shared" si="59"/>
        <v>2033</v>
      </c>
      <c r="K145" s="74" t="str">
        <f t="shared" si="54"/>
        <v/>
      </c>
    </row>
    <row r="146" spans="2:11" hidden="1" outlineLevel="1">
      <c r="B146" s="78">
        <f t="shared" si="58"/>
        <v>48611</v>
      </c>
      <c r="C146" s="75"/>
      <c r="D146" s="71"/>
      <c r="E146" s="71"/>
      <c r="F146" s="75"/>
      <c r="G146" s="76"/>
      <c r="I146" s="77">
        <f t="shared" si="57"/>
        <v>15</v>
      </c>
      <c r="J146" s="73">
        <f t="shared" si="59"/>
        <v>2033</v>
      </c>
      <c r="K146" s="78" t="str">
        <f t="shared" si="54"/>
        <v/>
      </c>
    </row>
    <row r="147" spans="2:11" hidden="1" outlineLevel="1">
      <c r="B147" s="78">
        <f t="shared" si="58"/>
        <v>48639</v>
      </c>
      <c r="C147" s="75"/>
      <c r="D147" s="71"/>
      <c r="E147" s="71"/>
      <c r="F147" s="75"/>
      <c r="G147" s="76"/>
      <c r="I147" s="77">
        <f t="shared" si="57"/>
        <v>16</v>
      </c>
      <c r="J147" s="73">
        <f t="shared" si="59"/>
        <v>2033</v>
      </c>
      <c r="K147" s="78" t="str">
        <f t="shared" si="54"/>
        <v/>
      </c>
    </row>
    <row r="148" spans="2:11" hidden="1" outlineLevel="1">
      <c r="B148" s="78">
        <f t="shared" si="58"/>
        <v>48670</v>
      </c>
      <c r="C148" s="75"/>
      <c r="D148" s="71"/>
      <c r="E148" s="71"/>
      <c r="F148" s="75"/>
      <c r="G148" s="76"/>
      <c r="I148" s="77">
        <f t="shared" si="57"/>
        <v>17</v>
      </c>
      <c r="J148" s="73">
        <f t="shared" si="59"/>
        <v>2033</v>
      </c>
      <c r="K148" s="78" t="str">
        <f t="shared" si="54"/>
        <v/>
      </c>
    </row>
    <row r="149" spans="2:11" hidden="1" outlineLevel="1">
      <c r="B149" s="78">
        <f t="shared" si="58"/>
        <v>48700</v>
      </c>
      <c r="C149" s="75"/>
      <c r="D149" s="71"/>
      <c r="E149" s="71"/>
      <c r="F149" s="75"/>
      <c r="G149" s="76"/>
      <c r="I149" s="77">
        <f t="shared" si="57"/>
        <v>18</v>
      </c>
      <c r="J149" s="73">
        <f t="shared" si="59"/>
        <v>2033</v>
      </c>
      <c r="K149" s="78" t="str">
        <f t="shared" si="54"/>
        <v/>
      </c>
    </row>
    <row r="150" spans="2:11" hidden="1" outlineLevel="1">
      <c r="B150" s="78">
        <f t="shared" si="58"/>
        <v>48731</v>
      </c>
      <c r="C150" s="75"/>
      <c r="D150" s="71"/>
      <c r="E150" s="71"/>
      <c r="F150" s="75"/>
      <c r="G150" s="76"/>
      <c r="I150" s="77">
        <f t="shared" si="57"/>
        <v>19</v>
      </c>
      <c r="J150" s="73">
        <f t="shared" si="59"/>
        <v>2033</v>
      </c>
      <c r="K150" s="78" t="str">
        <f t="shared" si="54"/>
        <v/>
      </c>
    </row>
    <row r="151" spans="2:11" hidden="1" outlineLevel="1">
      <c r="B151" s="78">
        <f t="shared" si="58"/>
        <v>48761</v>
      </c>
      <c r="C151" s="75"/>
      <c r="D151" s="71"/>
      <c r="E151" s="71"/>
      <c r="F151" s="75"/>
      <c r="G151" s="76"/>
      <c r="I151" s="77">
        <f t="shared" si="57"/>
        <v>20</v>
      </c>
      <c r="J151" s="73">
        <f t="shared" si="59"/>
        <v>2033</v>
      </c>
      <c r="K151" s="78" t="str">
        <f t="shared" si="54"/>
        <v/>
      </c>
    </row>
    <row r="152" spans="2:11" hidden="1" outlineLevel="1">
      <c r="B152" s="78">
        <f t="shared" si="58"/>
        <v>48792</v>
      </c>
      <c r="C152" s="75"/>
      <c r="D152" s="71"/>
      <c r="E152" s="71"/>
      <c r="F152" s="75"/>
      <c r="G152" s="76"/>
      <c r="I152" s="77">
        <f t="shared" si="57"/>
        <v>21</v>
      </c>
      <c r="J152" s="73">
        <f t="shared" si="59"/>
        <v>2033</v>
      </c>
      <c r="K152" s="78" t="str">
        <f t="shared" si="54"/>
        <v/>
      </c>
    </row>
    <row r="153" spans="2:11" hidden="1" outlineLevel="1">
      <c r="B153" s="78">
        <f t="shared" si="58"/>
        <v>48823</v>
      </c>
      <c r="C153" s="75"/>
      <c r="D153" s="71"/>
      <c r="E153" s="71"/>
      <c r="F153" s="75"/>
      <c r="G153" s="76"/>
      <c r="I153" s="77">
        <f t="shared" si="57"/>
        <v>22</v>
      </c>
      <c r="J153" s="73">
        <f t="shared" si="59"/>
        <v>2033</v>
      </c>
      <c r="K153" s="78" t="str">
        <f t="shared" si="54"/>
        <v/>
      </c>
    </row>
    <row r="154" spans="2:11" hidden="1" outlineLevel="1">
      <c r="B154" s="78">
        <f t="shared" si="58"/>
        <v>48853</v>
      </c>
      <c r="C154" s="75"/>
      <c r="D154" s="71"/>
      <c r="E154" s="71"/>
      <c r="F154" s="75"/>
      <c r="G154" s="76"/>
      <c r="I154" s="77">
        <f t="shared" si="57"/>
        <v>23</v>
      </c>
      <c r="J154" s="73">
        <f t="shared" si="59"/>
        <v>2033</v>
      </c>
      <c r="K154" s="78" t="str">
        <f t="shared" ref="K154:K192" si="60">IF(ISNUMBER(F154),IF(F154&lt;&gt;0,B154,""),"")</f>
        <v/>
      </c>
    </row>
    <row r="155" spans="2:11" hidden="1" outlineLevel="1">
      <c r="B155" s="78">
        <f t="shared" si="58"/>
        <v>48884</v>
      </c>
      <c r="C155" s="75"/>
      <c r="D155" s="71"/>
      <c r="E155" s="71"/>
      <c r="F155" s="75"/>
      <c r="G155" s="76"/>
      <c r="I155" s="77">
        <f t="shared" si="57"/>
        <v>24</v>
      </c>
      <c r="J155" s="73">
        <f t="shared" si="59"/>
        <v>2033</v>
      </c>
      <c r="K155" s="78" t="str">
        <f t="shared" si="60"/>
        <v/>
      </c>
    </row>
    <row r="156" spans="2:11" hidden="1" outlineLevel="1">
      <c r="B156" s="82">
        <f t="shared" si="58"/>
        <v>48914</v>
      </c>
      <c r="C156" s="79"/>
      <c r="D156" s="80"/>
      <c r="E156" s="80"/>
      <c r="F156" s="79"/>
      <c r="G156" s="81"/>
      <c r="I156" s="64">
        <f t="shared" si="57"/>
        <v>25</v>
      </c>
      <c r="J156" s="73">
        <f t="shared" si="59"/>
        <v>2033</v>
      </c>
      <c r="K156" s="82" t="str">
        <f t="shared" si="60"/>
        <v/>
      </c>
    </row>
    <row r="157" spans="2:11" hidden="1" outlineLevel="1">
      <c r="B157" s="74">
        <f t="shared" si="58"/>
        <v>48945</v>
      </c>
      <c r="C157" s="69"/>
      <c r="D157" s="70"/>
      <c r="E157" s="70"/>
      <c r="F157" s="69"/>
      <c r="G157" s="72"/>
      <c r="I157" s="60">
        <f>I37</f>
        <v>27</v>
      </c>
      <c r="J157" s="73">
        <f t="shared" si="59"/>
        <v>2034</v>
      </c>
      <c r="K157" s="74" t="str">
        <f t="shared" si="60"/>
        <v/>
      </c>
    </row>
    <row r="158" spans="2:11" hidden="1" outlineLevel="1">
      <c r="B158" s="78">
        <f t="shared" si="58"/>
        <v>48976</v>
      </c>
      <c r="C158" s="75"/>
      <c r="D158" s="71"/>
      <c r="E158" s="71"/>
      <c r="F158" s="75"/>
      <c r="G158" s="76"/>
      <c r="I158" s="77">
        <f t="shared" si="57"/>
        <v>28</v>
      </c>
      <c r="J158" s="73">
        <f t="shared" si="59"/>
        <v>2034</v>
      </c>
      <c r="K158" s="78" t="str">
        <f t="shared" si="60"/>
        <v/>
      </c>
    </row>
    <row r="159" spans="2:11" hidden="1" outlineLevel="1">
      <c r="B159" s="78">
        <f t="shared" si="58"/>
        <v>49004</v>
      </c>
      <c r="C159" s="75"/>
      <c r="D159" s="71"/>
      <c r="E159" s="71"/>
      <c r="F159" s="75"/>
      <c r="G159" s="76"/>
      <c r="I159" s="77">
        <f t="shared" si="57"/>
        <v>29</v>
      </c>
      <c r="J159" s="73">
        <f t="shared" si="59"/>
        <v>2034</v>
      </c>
      <c r="K159" s="78" t="str">
        <f t="shared" si="60"/>
        <v/>
      </c>
    </row>
    <row r="160" spans="2:11" hidden="1" outlineLevel="1">
      <c r="B160" s="78">
        <f t="shared" si="58"/>
        <v>49035</v>
      </c>
      <c r="C160" s="75"/>
      <c r="D160" s="71"/>
      <c r="E160" s="71"/>
      <c r="F160" s="75"/>
      <c r="G160" s="76"/>
      <c r="I160" s="77">
        <f t="shared" si="57"/>
        <v>30</v>
      </c>
      <c r="J160" s="73">
        <f t="shared" si="59"/>
        <v>2034</v>
      </c>
      <c r="K160" s="78" t="str">
        <f t="shared" si="60"/>
        <v/>
      </c>
    </row>
    <row r="161" spans="2:11" hidden="1" outlineLevel="1">
      <c r="B161" s="78">
        <f t="shared" si="58"/>
        <v>49065</v>
      </c>
      <c r="C161" s="75"/>
      <c r="D161" s="71"/>
      <c r="E161" s="71"/>
      <c r="F161" s="75"/>
      <c r="G161" s="76"/>
      <c r="I161" s="77">
        <f t="shared" si="57"/>
        <v>31</v>
      </c>
      <c r="J161" s="73">
        <f t="shared" si="59"/>
        <v>2034</v>
      </c>
      <c r="K161" s="78" t="str">
        <f t="shared" si="60"/>
        <v/>
      </c>
    </row>
    <row r="162" spans="2:11" hidden="1" outlineLevel="1">
      <c r="B162" s="78">
        <f t="shared" si="58"/>
        <v>49096</v>
      </c>
      <c r="C162" s="75"/>
      <c r="D162" s="71"/>
      <c r="E162" s="71"/>
      <c r="F162" s="75"/>
      <c r="G162" s="76"/>
      <c r="I162" s="77">
        <f t="shared" si="57"/>
        <v>32</v>
      </c>
      <c r="J162" s="73">
        <f t="shared" si="59"/>
        <v>2034</v>
      </c>
      <c r="K162" s="78" t="str">
        <f t="shared" si="60"/>
        <v/>
      </c>
    </row>
    <row r="163" spans="2:11" hidden="1" outlineLevel="1">
      <c r="B163" s="78">
        <f t="shared" si="58"/>
        <v>49126</v>
      </c>
      <c r="C163" s="75"/>
      <c r="D163" s="71"/>
      <c r="E163" s="71"/>
      <c r="F163" s="75"/>
      <c r="G163" s="76"/>
      <c r="I163" s="77">
        <f t="shared" si="57"/>
        <v>33</v>
      </c>
      <c r="J163" s="73">
        <f t="shared" si="59"/>
        <v>2034</v>
      </c>
      <c r="K163" s="78" t="str">
        <f t="shared" si="60"/>
        <v/>
      </c>
    </row>
    <row r="164" spans="2:11" hidden="1" outlineLevel="1">
      <c r="B164" s="78">
        <f t="shared" si="58"/>
        <v>49157</v>
      </c>
      <c r="C164" s="75"/>
      <c r="D164" s="71"/>
      <c r="E164" s="71"/>
      <c r="F164" s="75"/>
      <c r="G164" s="76"/>
      <c r="I164" s="77">
        <f t="shared" si="57"/>
        <v>34</v>
      </c>
      <c r="J164" s="73">
        <f t="shared" si="59"/>
        <v>2034</v>
      </c>
      <c r="K164" s="78" t="str">
        <f t="shared" si="60"/>
        <v/>
      </c>
    </row>
    <row r="165" spans="2:11" hidden="1" outlineLevel="1">
      <c r="B165" s="78">
        <f t="shared" si="58"/>
        <v>49188</v>
      </c>
      <c r="C165" s="75"/>
      <c r="D165" s="71"/>
      <c r="E165" s="71"/>
      <c r="F165" s="75"/>
      <c r="G165" s="76"/>
      <c r="I165" s="77">
        <f t="shared" si="57"/>
        <v>35</v>
      </c>
      <c r="J165" s="73">
        <f t="shared" si="59"/>
        <v>2034</v>
      </c>
      <c r="K165" s="78" t="str">
        <f t="shared" si="60"/>
        <v/>
      </c>
    </row>
    <row r="166" spans="2:11" hidden="1" outlineLevel="1">
      <c r="B166" s="78">
        <f t="shared" si="58"/>
        <v>49218</v>
      </c>
      <c r="C166" s="75"/>
      <c r="D166" s="71"/>
      <c r="E166" s="71"/>
      <c r="F166" s="75"/>
      <c r="G166" s="76"/>
      <c r="I166" s="77">
        <f t="shared" si="57"/>
        <v>36</v>
      </c>
      <c r="J166" s="73">
        <f t="shared" si="59"/>
        <v>2034</v>
      </c>
      <c r="K166" s="78" t="str">
        <f t="shared" si="60"/>
        <v/>
      </c>
    </row>
    <row r="167" spans="2:11" hidden="1" outlineLevel="1">
      <c r="B167" s="78">
        <f t="shared" si="58"/>
        <v>49249</v>
      </c>
      <c r="C167" s="75"/>
      <c r="D167" s="71"/>
      <c r="E167" s="71"/>
      <c r="F167" s="75"/>
      <c r="G167" s="76"/>
      <c r="I167" s="77">
        <f t="shared" si="57"/>
        <v>37</v>
      </c>
      <c r="J167" s="73">
        <f t="shared" si="59"/>
        <v>2034</v>
      </c>
      <c r="K167" s="78" t="str">
        <f t="shared" si="60"/>
        <v/>
      </c>
    </row>
    <row r="168" spans="2:11" hidden="1" outlineLevel="1">
      <c r="B168" s="82">
        <f t="shared" si="58"/>
        <v>49279</v>
      </c>
      <c r="C168" s="79"/>
      <c r="D168" s="80"/>
      <c r="E168" s="80"/>
      <c r="F168" s="79"/>
      <c r="G168" s="81"/>
      <c r="I168" s="64">
        <f t="shared" si="57"/>
        <v>38</v>
      </c>
      <c r="J168" s="73">
        <f t="shared" si="59"/>
        <v>2034</v>
      </c>
      <c r="K168" s="82" t="str">
        <f t="shared" si="60"/>
        <v/>
      </c>
    </row>
    <row r="169" spans="2:11" hidden="1" outlineLevel="1">
      <c r="B169" s="74">
        <f t="shared" si="58"/>
        <v>49310</v>
      </c>
      <c r="C169" s="69"/>
      <c r="D169" s="70"/>
      <c r="E169" s="70"/>
      <c r="F169" s="69"/>
      <c r="G169" s="72"/>
      <c r="I169" s="60">
        <f>I49</f>
        <v>40</v>
      </c>
      <c r="J169" s="73">
        <f t="shared" si="59"/>
        <v>2035</v>
      </c>
      <c r="K169" s="74" t="str">
        <f t="shared" si="60"/>
        <v/>
      </c>
    </row>
    <row r="170" spans="2:11" hidden="1" outlineLevel="1">
      <c r="B170" s="78">
        <f t="shared" si="58"/>
        <v>49341</v>
      </c>
      <c r="C170" s="75"/>
      <c r="D170" s="71"/>
      <c r="E170" s="71"/>
      <c r="F170" s="75"/>
      <c r="G170" s="76"/>
      <c r="I170" s="77">
        <f t="shared" si="57"/>
        <v>41</v>
      </c>
      <c r="J170" s="73">
        <f t="shared" si="59"/>
        <v>2035</v>
      </c>
      <c r="K170" s="78" t="str">
        <f t="shared" si="60"/>
        <v/>
      </c>
    </row>
    <row r="171" spans="2:11" hidden="1" outlineLevel="1">
      <c r="B171" s="78">
        <f t="shared" si="58"/>
        <v>49369</v>
      </c>
      <c r="C171" s="75"/>
      <c r="D171" s="71"/>
      <c r="E171" s="71"/>
      <c r="F171" s="75"/>
      <c r="G171" s="76"/>
      <c r="I171" s="77">
        <f t="shared" si="57"/>
        <v>42</v>
      </c>
      <c r="J171" s="73">
        <f t="shared" si="59"/>
        <v>2035</v>
      </c>
      <c r="K171" s="78" t="str">
        <f t="shared" si="60"/>
        <v/>
      </c>
    </row>
    <row r="172" spans="2:11" hidden="1" outlineLevel="1">
      <c r="B172" s="78">
        <f t="shared" si="58"/>
        <v>49400</v>
      </c>
      <c r="C172" s="75"/>
      <c r="D172" s="71"/>
      <c r="E172" s="71"/>
      <c r="F172" s="75"/>
      <c r="G172" s="76"/>
      <c r="I172" s="77">
        <f t="shared" si="57"/>
        <v>43</v>
      </c>
      <c r="J172" s="73">
        <f t="shared" si="59"/>
        <v>2035</v>
      </c>
      <c r="K172" s="78" t="str">
        <f t="shared" si="60"/>
        <v/>
      </c>
    </row>
    <row r="173" spans="2:11" hidden="1" outlineLevel="1">
      <c r="B173" s="78">
        <f t="shared" si="58"/>
        <v>49430</v>
      </c>
      <c r="C173" s="75"/>
      <c r="D173" s="71"/>
      <c r="E173" s="71"/>
      <c r="F173" s="75"/>
      <c r="G173" s="76"/>
      <c r="I173" s="77">
        <f t="shared" si="57"/>
        <v>44</v>
      </c>
      <c r="J173" s="73">
        <f t="shared" si="59"/>
        <v>2035</v>
      </c>
      <c r="K173" s="78" t="str">
        <f t="shared" si="60"/>
        <v/>
      </c>
    </row>
    <row r="174" spans="2:11" hidden="1" outlineLevel="1">
      <c r="B174" s="78">
        <f t="shared" si="58"/>
        <v>49461</v>
      </c>
      <c r="C174" s="75"/>
      <c r="D174" s="71"/>
      <c r="E174" s="71"/>
      <c r="F174" s="75"/>
      <c r="G174" s="76"/>
      <c r="I174" s="77">
        <f t="shared" si="57"/>
        <v>45</v>
      </c>
      <c r="J174" s="73">
        <f t="shared" si="59"/>
        <v>2035</v>
      </c>
      <c r="K174" s="78" t="str">
        <f t="shared" si="60"/>
        <v/>
      </c>
    </row>
    <row r="175" spans="2:11" hidden="1" outlineLevel="1">
      <c r="B175" s="78">
        <f t="shared" si="58"/>
        <v>49491</v>
      </c>
      <c r="C175" s="75"/>
      <c r="D175" s="71"/>
      <c r="E175" s="71"/>
      <c r="F175" s="75"/>
      <c r="G175" s="76"/>
      <c r="I175" s="77">
        <f t="shared" si="57"/>
        <v>46</v>
      </c>
      <c r="J175" s="73">
        <f t="shared" si="59"/>
        <v>2035</v>
      </c>
      <c r="K175" s="78" t="str">
        <f t="shared" si="60"/>
        <v/>
      </c>
    </row>
    <row r="176" spans="2:11" hidden="1" outlineLevel="1">
      <c r="B176" s="78">
        <f t="shared" si="58"/>
        <v>49522</v>
      </c>
      <c r="C176" s="75"/>
      <c r="D176" s="71"/>
      <c r="E176" s="71"/>
      <c r="F176" s="75"/>
      <c r="G176" s="76"/>
      <c r="I176" s="77">
        <f t="shared" si="57"/>
        <v>47</v>
      </c>
      <c r="J176" s="73">
        <f t="shared" si="59"/>
        <v>2035</v>
      </c>
      <c r="K176" s="78" t="str">
        <f t="shared" si="60"/>
        <v/>
      </c>
    </row>
    <row r="177" spans="2:11" hidden="1" outlineLevel="1">
      <c r="B177" s="78">
        <f t="shared" si="58"/>
        <v>49553</v>
      </c>
      <c r="C177" s="75"/>
      <c r="D177" s="71"/>
      <c r="E177" s="71"/>
      <c r="F177" s="75"/>
      <c r="G177" s="76"/>
      <c r="I177" s="77">
        <f t="shared" si="57"/>
        <v>48</v>
      </c>
      <c r="J177" s="73">
        <f t="shared" si="59"/>
        <v>2035</v>
      </c>
      <c r="K177" s="78" t="str">
        <f t="shared" si="60"/>
        <v/>
      </c>
    </row>
    <row r="178" spans="2:11" hidden="1" outlineLevel="1">
      <c r="B178" s="78">
        <f t="shared" si="58"/>
        <v>49583</v>
      </c>
      <c r="C178" s="75"/>
      <c r="D178" s="71"/>
      <c r="E178" s="71"/>
      <c r="F178" s="75"/>
      <c r="G178" s="76"/>
      <c r="I178" s="77">
        <f t="shared" si="57"/>
        <v>49</v>
      </c>
      <c r="J178" s="73">
        <f t="shared" si="59"/>
        <v>2035</v>
      </c>
      <c r="K178" s="78" t="str">
        <f t="shared" si="60"/>
        <v/>
      </c>
    </row>
    <row r="179" spans="2:11" hidden="1" outlineLevel="1">
      <c r="B179" s="78">
        <f t="shared" si="58"/>
        <v>49614</v>
      </c>
      <c r="C179" s="75"/>
      <c r="D179" s="71"/>
      <c r="E179" s="71"/>
      <c r="F179" s="75"/>
      <c r="G179" s="76"/>
      <c r="I179" s="77">
        <f t="shared" si="57"/>
        <v>50</v>
      </c>
      <c r="J179" s="73">
        <f t="shared" si="59"/>
        <v>2035</v>
      </c>
      <c r="K179" s="78" t="str">
        <f t="shared" si="60"/>
        <v/>
      </c>
    </row>
    <row r="180" spans="2:11" hidden="1" outlineLevel="1">
      <c r="B180" s="82">
        <f t="shared" si="58"/>
        <v>49644</v>
      </c>
      <c r="C180" s="79"/>
      <c r="D180" s="80"/>
      <c r="E180" s="80"/>
      <c r="F180" s="79"/>
      <c r="G180" s="81"/>
      <c r="I180" s="64">
        <f t="shared" si="57"/>
        <v>51</v>
      </c>
      <c r="J180" s="73">
        <f t="shared" si="59"/>
        <v>2035</v>
      </c>
      <c r="K180" s="82" t="str">
        <f t="shared" si="60"/>
        <v/>
      </c>
    </row>
    <row r="181" spans="2:11" hidden="1" collapsed="1">
      <c r="B181" s="74">
        <f t="shared" si="58"/>
        <v>49675</v>
      </c>
      <c r="C181" s="69"/>
      <c r="D181" s="70"/>
      <c r="E181" s="70"/>
      <c r="F181" s="69"/>
      <c r="G181" s="72"/>
      <c r="I181" s="60">
        <f>I61</f>
        <v>53</v>
      </c>
      <c r="J181" s="73">
        <f t="shared" si="59"/>
        <v>2036</v>
      </c>
      <c r="K181" s="74" t="str">
        <f t="shared" si="60"/>
        <v/>
      </c>
    </row>
    <row r="182" spans="2:11" hidden="1">
      <c r="B182" s="78">
        <f t="shared" si="58"/>
        <v>49706</v>
      </c>
      <c r="C182" s="75"/>
      <c r="D182" s="71"/>
      <c r="E182" s="71"/>
      <c r="F182" s="75"/>
      <c r="G182" s="76"/>
      <c r="I182" s="77">
        <f t="shared" si="57"/>
        <v>54</v>
      </c>
      <c r="J182" s="73">
        <f t="shared" si="59"/>
        <v>2036</v>
      </c>
      <c r="K182" s="78" t="str">
        <f t="shared" si="60"/>
        <v/>
      </c>
    </row>
    <row r="183" spans="2:11" hidden="1">
      <c r="B183" s="78">
        <f t="shared" si="58"/>
        <v>49735</v>
      </c>
      <c r="C183" s="75"/>
      <c r="D183" s="71"/>
      <c r="E183" s="71"/>
      <c r="F183" s="75"/>
      <c r="G183" s="76"/>
      <c r="I183" s="77">
        <f t="shared" si="57"/>
        <v>55</v>
      </c>
      <c r="J183" s="73">
        <f t="shared" si="59"/>
        <v>2036</v>
      </c>
      <c r="K183" s="78" t="str">
        <f t="shared" si="60"/>
        <v/>
      </c>
    </row>
    <row r="184" spans="2:11" hidden="1">
      <c r="B184" s="78">
        <f t="shared" si="58"/>
        <v>49766</v>
      </c>
      <c r="C184" s="75"/>
      <c r="D184" s="71"/>
      <c r="E184" s="71"/>
      <c r="F184" s="75"/>
      <c r="G184" s="76"/>
      <c r="I184" s="77">
        <f t="shared" si="57"/>
        <v>56</v>
      </c>
      <c r="J184" s="73">
        <f t="shared" si="59"/>
        <v>2036</v>
      </c>
      <c r="K184" s="78" t="str">
        <f t="shared" si="60"/>
        <v/>
      </c>
    </row>
    <row r="185" spans="2:11" hidden="1">
      <c r="B185" s="78">
        <f t="shared" si="58"/>
        <v>49796</v>
      </c>
      <c r="C185" s="75"/>
      <c r="D185" s="71"/>
      <c r="E185" s="71"/>
      <c r="F185" s="75"/>
      <c r="G185" s="76"/>
      <c r="I185" s="77">
        <f t="shared" si="57"/>
        <v>57</v>
      </c>
      <c r="J185" s="73">
        <f t="shared" si="59"/>
        <v>2036</v>
      </c>
      <c r="K185" s="78" t="str">
        <f t="shared" si="60"/>
        <v/>
      </c>
    </row>
    <row r="186" spans="2:11" hidden="1">
      <c r="B186" s="78">
        <f t="shared" si="58"/>
        <v>49827</v>
      </c>
      <c r="C186" s="75"/>
      <c r="D186" s="71"/>
      <c r="E186" s="71"/>
      <c r="F186" s="75"/>
      <c r="G186" s="76"/>
      <c r="I186" s="77">
        <f t="shared" si="57"/>
        <v>58</v>
      </c>
      <c r="J186" s="73">
        <f t="shared" si="59"/>
        <v>2036</v>
      </c>
      <c r="K186" s="78" t="str">
        <f t="shared" si="60"/>
        <v/>
      </c>
    </row>
    <row r="187" spans="2:11" hidden="1">
      <c r="B187" s="78">
        <f t="shared" si="58"/>
        <v>49857</v>
      </c>
      <c r="C187" s="75"/>
      <c r="D187" s="71"/>
      <c r="E187" s="71"/>
      <c r="F187" s="75"/>
      <c r="G187" s="76"/>
      <c r="I187" s="77">
        <f t="shared" si="57"/>
        <v>59</v>
      </c>
      <c r="J187" s="73">
        <f t="shared" si="59"/>
        <v>2036</v>
      </c>
      <c r="K187" s="78" t="str">
        <f t="shared" si="60"/>
        <v/>
      </c>
    </row>
    <row r="188" spans="2:11" hidden="1">
      <c r="B188" s="78">
        <f t="shared" si="58"/>
        <v>49888</v>
      </c>
      <c r="C188" s="75"/>
      <c r="D188" s="71"/>
      <c r="E188" s="71"/>
      <c r="F188" s="75"/>
      <c r="G188" s="76"/>
      <c r="I188" s="77">
        <f t="shared" si="57"/>
        <v>60</v>
      </c>
      <c r="J188" s="73">
        <f t="shared" si="59"/>
        <v>2036</v>
      </c>
      <c r="K188" s="78" t="str">
        <f t="shared" si="60"/>
        <v/>
      </c>
    </row>
    <row r="189" spans="2:11" hidden="1">
      <c r="B189" s="78">
        <f t="shared" si="58"/>
        <v>49919</v>
      </c>
      <c r="C189" s="75"/>
      <c r="D189" s="71"/>
      <c r="E189" s="71"/>
      <c r="F189" s="75"/>
      <c r="G189" s="76"/>
      <c r="I189" s="77">
        <f t="shared" si="57"/>
        <v>61</v>
      </c>
      <c r="J189" s="73">
        <f t="shared" si="59"/>
        <v>2036</v>
      </c>
      <c r="K189" s="78" t="str">
        <f t="shared" si="60"/>
        <v/>
      </c>
    </row>
    <row r="190" spans="2:11" hidden="1">
      <c r="B190" s="78">
        <f t="shared" si="58"/>
        <v>49949</v>
      </c>
      <c r="C190" s="75"/>
      <c r="D190" s="71"/>
      <c r="E190" s="71"/>
      <c r="F190" s="75"/>
      <c r="G190" s="76"/>
      <c r="I190" s="77">
        <f t="shared" si="57"/>
        <v>62</v>
      </c>
      <c r="J190" s="73">
        <f t="shared" si="59"/>
        <v>2036</v>
      </c>
      <c r="K190" s="78" t="str">
        <f t="shared" si="60"/>
        <v/>
      </c>
    </row>
    <row r="191" spans="2:11" hidden="1">
      <c r="B191" s="78">
        <f t="shared" si="58"/>
        <v>49980</v>
      </c>
      <c r="C191" s="75"/>
      <c r="D191" s="71"/>
      <c r="E191" s="71"/>
      <c r="F191" s="75"/>
      <c r="G191" s="76"/>
      <c r="I191" s="77">
        <f t="shared" si="57"/>
        <v>63</v>
      </c>
      <c r="J191" s="73">
        <f t="shared" si="59"/>
        <v>2036</v>
      </c>
      <c r="K191" s="78" t="str">
        <f t="shared" si="60"/>
        <v/>
      </c>
    </row>
    <row r="192" spans="2:11" hidden="1">
      <c r="B192" s="82">
        <f t="shared" si="58"/>
        <v>50010</v>
      </c>
      <c r="C192" s="79"/>
      <c r="D192" s="80"/>
      <c r="E192" s="80"/>
      <c r="F192" s="79"/>
      <c r="G192" s="81"/>
      <c r="I192" s="64">
        <f t="shared" si="57"/>
        <v>64</v>
      </c>
      <c r="J192" s="73">
        <f t="shared" si="59"/>
        <v>2036</v>
      </c>
      <c r="K192" s="82" t="str">
        <f t="shared" si="60"/>
        <v/>
      </c>
    </row>
    <row r="193" spans="2:20" hidden="1" outlineLevel="1">
      <c r="B193" s="74">
        <f t="shared" si="58"/>
        <v>50041</v>
      </c>
      <c r="C193" s="69"/>
      <c r="D193" s="70"/>
      <c r="E193" s="70"/>
      <c r="F193" s="69"/>
      <c r="G193" s="72"/>
      <c r="I193" s="60">
        <f>I73</f>
        <v>66</v>
      </c>
      <c r="J193" s="73">
        <f t="shared" ref="J193:J240" si="61">YEAR(B193)</f>
        <v>2037</v>
      </c>
      <c r="K193" s="74" t="str">
        <f t="shared" ref="K193:K240" si="62">IF(ISNUMBER(F193),IF(F193&lt;&gt;0,B193,""),"")</f>
        <v/>
      </c>
      <c r="M193" s="41">
        <v>2.3E-2</v>
      </c>
    </row>
    <row r="194" spans="2:20" hidden="1" outlineLevel="1">
      <c r="B194" s="78">
        <f t="shared" si="58"/>
        <v>50072</v>
      </c>
      <c r="C194" s="75"/>
      <c r="D194" s="71"/>
      <c r="E194" s="71"/>
      <c r="F194" s="75"/>
      <c r="G194" s="76"/>
      <c r="I194" s="77">
        <f t="shared" si="57"/>
        <v>67</v>
      </c>
      <c r="J194" s="73">
        <f t="shared" si="61"/>
        <v>2037</v>
      </c>
      <c r="K194" s="78" t="str">
        <f t="shared" si="62"/>
        <v/>
      </c>
      <c r="M194" s="41">
        <v>2.3E-2</v>
      </c>
    </row>
    <row r="195" spans="2:20" hidden="1" outlineLevel="1">
      <c r="B195" s="78">
        <f t="shared" si="58"/>
        <v>50100</v>
      </c>
      <c r="C195" s="75"/>
      <c r="D195" s="71"/>
      <c r="E195" s="71"/>
      <c r="F195" s="75"/>
      <c r="G195" s="76"/>
      <c r="I195" s="77">
        <f t="shared" si="57"/>
        <v>68</v>
      </c>
      <c r="J195" s="73">
        <f t="shared" si="61"/>
        <v>2037</v>
      </c>
      <c r="K195" s="78" t="str">
        <f t="shared" si="62"/>
        <v/>
      </c>
      <c r="M195" s="41">
        <v>2.3E-2</v>
      </c>
    </row>
    <row r="196" spans="2:20" hidden="1" outlineLevel="1">
      <c r="B196" s="78">
        <f t="shared" si="58"/>
        <v>50131</v>
      </c>
      <c r="C196" s="75"/>
      <c r="D196" s="71"/>
      <c r="E196" s="71"/>
      <c r="F196" s="75"/>
      <c r="G196" s="76"/>
      <c r="I196" s="77">
        <f t="shared" si="57"/>
        <v>69</v>
      </c>
      <c r="J196" s="73">
        <f t="shared" si="61"/>
        <v>2037</v>
      </c>
      <c r="K196" s="78" t="str">
        <f t="shared" si="62"/>
        <v/>
      </c>
      <c r="M196" s="41">
        <v>2.3E-2</v>
      </c>
    </row>
    <row r="197" spans="2:20" hidden="1" outlineLevel="1">
      <c r="B197" s="78">
        <f t="shared" si="58"/>
        <v>50161</v>
      </c>
      <c r="C197" s="75"/>
      <c r="D197" s="71"/>
      <c r="E197" s="71"/>
      <c r="F197" s="75"/>
      <c r="G197" s="76"/>
      <c r="I197" s="77">
        <f t="shared" si="57"/>
        <v>70</v>
      </c>
      <c r="J197" s="73">
        <f t="shared" si="61"/>
        <v>2037</v>
      </c>
      <c r="K197" s="78" t="str">
        <f t="shared" si="62"/>
        <v/>
      </c>
      <c r="M197" s="41">
        <v>2.3E-2</v>
      </c>
    </row>
    <row r="198" spans="2:20" hidden="1" outlineLevel="1">
      <c r="B198" s="78">
        <f t="shared" si="58"/>
        <v>50192</v>
      </c>
      <c r="C198" s="75"/>
      <c r="D198" s="71"/>
      <c r="E198" s="71"/>
      <c r="F198" s="75"/>
      <c r="G198" s="76"/>
      <c r="I198" s="77">
        <f t="shared" ref="I198:I204" si="63">I78</f>
        <v>71</v>
      </c>
      <c r="J198" s="73">
        <f t="shared" si="61"/>
        <v>2037</v>
      </c>
      <c r="K198" s="78" t="str">
        <f t="shared" si="62"/>
        <v/>
      </c>
      <c r="M198" s="41">
        <v>2.3E-2</v>
      </c>
    </row>
    <row r="199" spans="2:20" hidden="1" outlineLevel="1">
      <c r="B199" s="78">
        <f t="shared" si="58"/>
        <v>50222</v>
      </c>
      <c r="C199" s="75"/>
      <c r="D199" s="71"/>
      <c r="E199" s="71"/>
      <c r="F199" s="75"/>
      <c r="G199" s="76"/>
      <c r="I199" s="77">
        <f t="shared" si="63"/>
        <v>72</v>
      </c>
      <c r="J199" s="73">
        <f t="shared" si="61"/>
        <v>2037</v>
      </c>
      <c r="K199" s="78" t="str">
        <f t="shared" si="62"/>
        <v/>
      </c>
      <c r="M199" s="41">
        <v>2.3E-2</v>
      </c>
    </row>
    <row r="200" spans="2:20" hidden="1" outlineLevel="1">
      <c r="B200" s="78">
        <f t="shared" si="58"/>
        <v>50253</v>
      </c>
      <c r="C200" s="75"/>
      <c r="D200" s="71"/>
      <c r="E200" s="71"/>
      <c r="F200" s="75"/>
      <c r="G200" s="76"/>
      <c r="I200" s="77">
        <f t="shared" si="63"/>
        <v>73</v>
      </c>
      <c r="J200" s="73">
        <f t="shared" si="61"/>
        <v>2037</v>
      </c>
      <c r="K200" s="78" t="str">
        <f t="shared" si="62"/>
        <v/>
      </c>
      <c r="M200" s="41">
        <v>2.3E-2</v>
      </c>
    </row>
    <row r="201" spans="2:20" hidden="1" outlineLevel="1">
      <c r="B201" s="78">
        <f t="shared" si="58"/>
        <v>50284</v>
      </c>
      <c r="C201" s="75"/>
      <c r="D201" s="71"/>
      <c r="E201" s="71"/>
      <c r="F201" s="75"/>
      <c r="G201" s="76"/>
      <c r="I201" s="77">
        <f t="shared" si="63"/>
        <v>74</v>
      </c>
      <c r="J201" s="73">
        <f t="shared" si="61"/>
        <v>2037</v>
      </c>
      <c r="K201" s="78" t="str">
        <f t="shared" si="62"/>
        <v/>
      </c>
      <c r="M201" s="41">
        <v>2.3E-2</v>
      </c>
    </row>
    <row r="202" spans="2:20" hidden="1" outlineLevel="1">
      <c r="B202" s="78">
        <f t="shared" si="58"/>
        <v>50314</v>
      </c>
      <c r="C202" s="75"/>
      <c r="D202" s="71"/>
      <c r="E202" s="71"/>
      <c r="F202" s="75"/>
      <c r="G202" s="76"/>
      <c r="I202" s="77">
        <f t="shared" si="63"/>
        <v>75</v>
      </c>
      <c r="J202" s="73">
        <f t="shared" si="61"/>
        <v>2037</v>
      </c>
      <c r="K202" s="78" t="str">
        <f t="shared" si="62"/>
        <v/>
      </c>
      <c r="M202" s="41">
        <v>2.3E-2</v>
      </c>
    </row>
    <row r="203" spans="2:20" hidden="1" outlineLevel="1">
      <c r="B203" s="78">
        <f t="shared" si="58"/>
        <v>50345</v>
      </c>
      <c r="C203" s="75"/>
      <c r="D203" s="71"/>
      <c r="E203" s="71"/>
      <c r="F203" s="75"/>
      <c r="G203" s="76"/>
      <c r="I203" s="77">
        <f t="shared" si="63"/>
        <v>76</v>
      </c>
      <c r="J203" s="73">
        <f t="shared" si="61"/>
        <v>2037</v>
      </c>
      <c r="K203" s="78" t="str">
        <f t="shared" si="62"/>
        <v/>
      </c>
      <c r="M203" s="41">
        <v>2.3E-2</v>
      </c>
    </row>
    <row r="204" spans="2:20" hidden="1" outlineLevel="1">
      <c r="B204" s="82">
        <f t="shared" si="58"/>
        <v>50375</v>
      </c>
      <c r="C204" s="79"/>
      <c r="D204" s="80"/>
      <c r="E204" s="80"/>
      <c r="F204" s="79"/>
      <c r="G204" s="81"/>
      <c r="I204" s="64">
        <f t="shared" si="63"/>
        <v>77</v>
      </c>
      <c r="J204" s="73">
        <f t="shared" si="61"/>
        <v>2037</v>
      </c>
      <c r="K204" s="82" t="str">
        <f t="shared" si="62"/>
        <v/>
      </c>
      <c r="M204" s="41">
        <v>2.3E-2</v>
      </c>
    </row>
    <row r="205" spans="2:20" hidden="1" outlineLevel="1">
      <c r="B205" s="74">
        <f t="shared" si="58"/>
        <v>50406</v>
      </c>
      <c r="C205" s="69"/>
      <c r="D205" s="70"/>
      <c r="E205" s="70"/>
      <c r="F205" s="69"/>
      <c r="G205" s="72"/>
      <c r="I205" s="60">
        <f>I85</f>
        <v>79</v>
      </c>
      <c r="J205" s="73">
        <f t="shared" si="61"/>
        <v>2038</v>
      </c>
      <c r="K205" s="74" t="str">
        <f t="shared" si="62"/>
        <v/>
      </c>
      <c r="M205" s="41">
        <v>2.3E-2</v>
      </c>
      <c r="T205" s="173"/>
    </row>
    <row r="206" spans="2:20" hidden="1" outlineLevel="1">
      <c r="B206" s="78">
        <f t="shared" ref="B206:B240" si="64">EDATE(B205,1)</f>
        <v>50437</v>
      </c>
      <c r="C206" s="75"/>
      <c r="D206" s="71"/>
      <c r="E206" s="71"/>
      <c r="F206" s="75"/>
      <c r="G206" s="76"/>
      <c r="I206" s="77">
        <f t="shared" ref="I206:I216" si="65">I86</f>
        <v>80</v>
      </c>
      <c r="J206" s="73">
        <f t="shared" si="61"/>
        <v>2038</v>
      </c>
      <c r="K206" s="78" t="str">
        <f t="shared" si="62"/>
        <v/>
      </c>
      <c r="M206" s="41">
        <v>2.3E-2</v>
      </c>
      <c r="T206" s="173"/>
    </row>
    <row r="207" spans="2:20" hidden="1" outlineLevel="1">
      <c r="B207" s="78">
        <f t="shared" si="64"/>
        <v>50465</v>
      </c>
      <c r="C207" s="75"/>
      <c r="D207" s="71"/>
      <c r="E207" s="71"/>
      <c r="F207" s="75"/>
      <c r="G207" s="76"/>
      <c r="I207" s="77">
        <f t="shared" si="65"/>
        <v>81</v>
      </c>
      <c r="J207" s="73">
        <f t="shared" si="61"/>
        <v>2038</v>
      </c>
      <c r="K207" s="78" t="str">
        <f t="shared" si="62"/>
        <v/>
      </c>
      <c r="M207" s="41">
        <v>2.3E-2</v>
      </c>
      <c r="T207" s="173"/>
    </row>
    <row r="208" spans="2:20" hidden="1" outlineLevel="1">
      <c r="B208" s="78">
        <f t="shared" si="64"/>
        <v>50496</v>
      </c>
      <c r="C208" s="75"/>
      <c r="D208" s="71"/>
      <c r="E208" s="71"/>
      <c r="F208" s="75"/>
      <c r="G208" s="76"/>
      <c r="I208" s="77">
        <f t="shared" si="65"/>
        <v>82</v>
      </c>
      <c r="J208" s="73">
        <f t="shared" si="61"/>
        <v>2038</v>
      </c>
      <c r="K208" s="78" t="str">
        <f t="shared" si="62"/>
        <v/>
      </c>
      <c r="M208" s="41">
        <v>2.3E-2</v>
      </c>
      <c r="T208" s="173"/>
    </row>
    <row r="209" spans="2:20" hidden="1" outlineLevel="1">
      <c r="B209" s="78">
        <f t="shared" si="64"/>
        <v>50526</v>
      </c>
      <c r="C209" s="75"/>
      <c r="D209" s="71"/>
      <c r="E209" s="71"/>
      <c r="F209" s="75"/>
      <c r="G209" s="76"/>
      <c r="I209" s="77">
        <f t="shared" si="65"/>
        <v>83</v>
      </c>
      <c r="J209" s="73">
        <f t="shared" si="61"/>
        <v>2038</v>
      </c>
      <c r="K209" s="78" t="str">
        <f t="shared" si="62"/>
        <v/>
      </c>
      <c r="M209" s="41">
        <v>2.3E-2</v>
      </c>
      <c r="T209" s="173"/>
    </row>
    <row r="210" spans="2:20" hidden="1" outlineLevel="1">
      <c r="B210" s="78">
        <f t="shared" si="64"/>
        <v>50557</v>
      </c>
      <c r="C210" s="75"/>
      <c r="D210" s="71"/>
      <c r="E210" s="71"/>
      <c r="F210" s="75"/>
      <c r="G210" s="76"/>
      <c r="I210" s="77">
        <f t="shared" si="65"/>
        <v>84</v>
      </c>
      <c r="J210" s="73">
        <f t="shared" si="61"/>
        <v>2038</v>
      </c>
      <c r="K210" s="78" t="str">
        <f t="shared" si="62"/>
        <v/>
      </c>
      <c r="M210" s="41">
        <v>2.3E-2</v>
      </c>
      <c r="T210" s="173"/>
    </row>
    <row r="211" spans="2:20" hidden="1" outlineLevel="1">
      <c r="B211" s="78">
        <f t="shared" si="64"/>
        <v>50587</v>
      </c>
      <c r="C211" s="75"/>
      <c r="D211" s="71"/>
      <c r="E211" s="71"/>
      <c r="F211" s="75"/>
      <c r="G211" s="76"/>
      <c r="I211" s="77">
        <f t="shared" si="65"/>
        <v>85</v>
      </c>
      <c r="J211" s="73">
        <f t="shared" si="61"/>
        <v>2038</v>
      </c>
      <c r="K211" s="78" t="str">
        <f t="shared" si="62"/>
        <v/>
      </c>
      <c r="M211" s="41">
        <v>2.3E-2</v>
      </c>
      <c r="T211" s="173"/>
    </row>
    <row r="212" spans="2:20" hidden="1" outlineLevel="1">
      <c r="B212" s="78">
        <f t="shared" si="64"/>
        <v>50618</v>
      </c>
      <c r="C212" s="75"/>
      <c r="D212" s="71"/>
      <c r="E212" s="71"/>
      <c r="F212" s="75"/>
      <c r="G212" s="76"/>
      <c r="I212" s="77">
        <f t="shared" si="65"/>
        <v>86</v>
      </c>
      <c r="J212" s="73">
        <f t="shared" si="61"/>
        <v>2038</v>
      </c>
      <c r="K212" s="78" t="str">
        <f t="shared" si="62"/>
        <v/>
      </c>
      <c r="M212" s="41">
        <v>2.3E-2</v>
      </c>
      <c r="T212" s="173"/>
    </row>
    <row r="213" spans="2:20" hidden="1" outlineLevel="1">
      <c r="B213" s="78">
        <f t="shared" si="64"/>
        <v>50649</v>
      </c>
      <c r="C213" s="75"/>
      <c r="D213" s="71"/>
      <c r="E213" s="71"/>
      <c r="F213" s="75"/>
      <c r="G213" s="76"/>
      <c r="I213" s="77">
        <f t="shared" si="65"/>
        <v>87</v>
      </c>
      <c r="J213" s="73">
        <f t="shared" si="61"/>
        <v>2038</v>
      </c>
      <c r="K213" s="78" t="str">
        <f t="shared" si="62"/>
        <v/>
      </c>
      <c r="M213" s="41">
        <v>2.3E-2</v>
      </c>
      <c r="T213" s="173"/>
    </row>
    <row r="214" spans="2:20" hidden="1" outlineLevel="1">
      <c r="B214" s="78">
        <f t="shared" si="64"/>
        <v>50679</v>
      </c>
      <c r="C214" s="75"/>
      <c r="D214" s="71"/>
      <c r="E214" s="71"/>
      <c r="F214" s="75"/>
      <c r="G214" s="76"/>
      <c r="I214" s="77">
        <f t="shared" si="65"/>
        <v>88</v>
      </c>
      <c r="J214" s="73">
        <f t="shared" si="61"/>
        <v>2038</v>
      </c>
      <c r="K214" s="78" t="str">
        <f t="shared" si="62"/>
        <v/>
      </c>
      <c r="M214" s="41">
        <v>2.3E-2</v>
      </c>
      <c r="T214" s="173"/>
    </row>
    <row r="215" spans="2:20" hidden="1" outlineLevel="1">
      <c r="B215" s="78">
        <f t="shared" si="64"/>
        <v>50710</v>
      </c>
      <c r="C215" s="75"/>
      <c r="D215" s="71"/>
      <c r="E215" s="71"/>
      <c r="F215" s="75"/>
      <c r="G215" s="76"/>
      <c r="I215" s="77">
        <f t="shared" si="65"/>
        <v>89</v>
      </c>
      <c r="J215" s="73">
        <f t="shared" si="61"/>
        <v>2038</v>
      </c>
      <c r="K215" s="78" t="str">
        <f t="shared" si="62"/>
        <v/>
      </c>
      <c r="M215" s="41">
        <v>2.3E-2</v>
      </c>
      <c r="T215" s="173"/>
    </row>
    <row r="216" spans="2:20" hidden="1" outlineLevel="1">
      <c r="B216" s="82">
        <f t="shared" si="64"/>
        <v>50740</v>
      </c>
      <c r="C216" s="79"/>
      <c r="D216" s="80"/>
      <c r="E216" s="80"/>
      <c r="F216" s="79"/>
      <c r="G216" s="81"/>
      <c r="I216" s="64">
        <f t="shared" si="65"/>
        <v>90</v>
      </c>
      <c r="J216" s="73">
        <f t="shared" si="61"/>
        <v>2038</v>
      </c>
      <c r="K216" s="82" t="str">
        <f t="shared" si="62"/>
        <v/>
      </c>
      <c r="M216" s="41">
        <v>2.3E-2</v>
      </c>
      <c r="T216" s="173"/>
    </row>
    <row r="217" spans="2:20" hidden="1" outlineLevel="1">
      <c r="B217" s="74">
        <f t="shared" si="64"/>
        <v>50771</v>
      </c>
      <c r="C217" s="390"/>
      <c r="D217" s="391"/>
      <c r="E217" s="391"/>
      <c r="F217" s="390"/>
      <c r="G217" s="392"/>
      <c r="I217" s="60">
        <f>I97</f>
        <v>92</v>
      </c>
      <c r="J217" s="73">
        <f t="shared" si="61"/>
        <v>2039</v>
      </c>
      <c r="K217" s="74" t="str">
        <f t="shared" si="62"/>
        <v/>
      </c>
      <c r="M217" s="41">
        <v>2.3E-2</v>
      </c>
      <c r="T217" s="173"/>
    </row>
    <row r="218" spans="2:20" hidden="1" outlineLevel="1">
      <c r="B218" s="78">
        <f t="shared" si="64"/>
        <v>50802</v>
      </c>
      <c r="C218" s="393"/>
      <c r="D218" s="394"/>
      <c r="E218" s="394"/>
      <c r="F218" s="393"/>
      <c r="G218" s="395"/>
      <c r="I218" s="77">
        <f t="shared" ref="I218:I228" si="66">I98</f>
        <v>93</v>
      </c>
      <c r="J218" s="73">
        <f t="shared" si="61"/>
        <v>2039</v>
      </c>
      <c r="K218" s="78" t="str">
        <f t="shared" si="62"/>
        <v/>
      </c>
      <c r="M218" s="41">
        <v>2.3E-2</v>
      </c>
      <c r="T218" s="173"/>
    </row>
    <row r="219" spans="2:20" hidden="1" outlineLevel="1">
      <c r="B219" s="78">
        <f t="shared" si="64"/>
        <v>50830</v>
      </c>
      <c r="C219" s="393"/>
      <c r="D219" s="394"/>
      <c r="E219" s="394"/>
      <c r="F219" s="393"/>
      <c r="G219" s="395"/>
      <c r="I219" s="77">
        <f t="shared" si="66"/>
        <v>94</v>
      </c>
      <c r="J219" s="73">
        <f t="shared" si="61"/>
        <v>2039</v>
      </c>
      <c r="K219" s="78" t="str">
        <f t="shared" si="62"/>
        <v/>
      </c>
      <c r="M219" s="41">
        <v>2.3E-2</v>
      </c>
      <c r="T219" s="173"/>
    </row>
    <row r="220" spans="2:20" hidden="1" outlineLevel="1">
      <c r="B220" s="78">
        <f t="shared" si="64"/>
        <v>50861</v>
      </c>
      <c r="C220" s="393"/>
      <c r="D220" s="394"/>
      <c r="E220" s="394"/>
      <c r="F220" s="393"/>
      <c r="G220" s="395"/>
      <c r="I220" s="77">
        <f t="shared" si="66"/>
        <v>95</v>
      </c>
      <c r="J220" s="73">
        <f t="shared" si="61"/>
        <v>2039</v>
      </c>
      <c r="K220" s="78" t="str">
        <f t="shared" si="62"/>
        <v/>
      </c>
      <c r="M220" s="41">
        <v>2.3E-2</v>
      </c>
      <c r="T220" s="173"/>
    </row>
    <row r="221" spans="2:20" hidden="1" outlineLevel="1">
      <c r="B221" s="78">
        <f t="shared" si="64"/>
        <v>50891</v>
      </c>
      <c r="C221" s="393"/>
      <c r="D221" s="394"/>
      <c r="E221" s="394"/>
      <c r="F221" s="393"/>
      <c r="G221" s="395"/>
      <c r="I221" s="77">
        <f t="shared" si="66"/>
        <v>96</v>
      </c>
      <c r="J221" s="73">
        <f t="shared" si="61"/>
        <v>2039</v>
      </c>
      <c r="K221" s="78" t="str">
        <f t="shared" si="62"/>
        <v/>
      </c>
      <c r="M221" s="41">
        <v>2.3E-2</v>
      </c>
      <c r="T221" s="173"/>
    </row>
    <row r="222" spans="2:20" hidden="1" outlineLevel="1">
      <c r="B222" s="78">
        <f t="shared" si="64"/>
        <v>50922</v>
      </c>
      <c r="C222" s="393"/>
      <c r="D222" s="394"/>
      <c r="E222" s="394"/>
      <c r="F222" s="393"/>
      <c r="G222" s="395"/>
      <c r="I222" s="77">
        <f t="shared" si="66"/>
        <v>97</v>
      </c>
      <c r="J222" s="73">
        <f t="shared" si="61"/>
        <v>2039</v>
      </c>
      <c r="K222" s="78" t="str">
        <f t="shared" si="62"/>
        <v/>
      </c>
      <c r="M222" s="41">
        <v>2.3E-2</v>
      </c>
      <c r="T222" s="173"/>
    </row>
    <row r="223" spans="2:20" hidden="1" outlineLevel="1">
      <c r="B223" s="78">
        <f t="shared" si="64"/>
        <v>50952</v>
      </c>
      <c r="C223" s="393"/>
      <c r="D223" s="394"/>
      <c r="E223" s="394"/>
      <c r="F223" s="393"/>
      <c r="G223" s="395"/>
      <c r="I223" s="77">
        <f t="shared" si="66"/>
        <v>98</v>
      </c>
      <c r="J223" s="73">
        <f t="shared" si="61"/>
        <v>2039</v>
      </c>
      <c r="K223" s="78" t="str">
        <f t="shared" si="62"/>
        <v/>
      </c>
      <c r="M223" s="41">
        <v>2.3E-2</v>
      </c>
      <c r="T223" s="173"/>
    </row>
    <row r="224" spans="2:20" hidden="1" outlineLevel="1">
      <c r="B224" s="78">
        <f t="shared" si="64"/>
        <v>50983</v>
      </c>
      <c r="C224" s="393"/>
      <c r="D224" s="394"/>
      <c r="E224" s="394"/>
      <c r="F224" s="393"/>
      <c r="G224" s="395"/>
      <c r="I224" s="77">
        <f t="shared" si="66"/>
        <v>99</v>
      </c>
      <c r="J224" s="73">
        <f t="shared" si="61"/>
        <v>2039</v>
      </c>
      <c r="K224" s="78" t="str">
        <f t="shared" si="62"/>
        <v/>
      </c>
      <c r="M224" s="41">
        <v>2.3E-2</v>
      </c>
      <c r="T224" s="173"/>
    </row>
    <row r="225" spans="2:20" hidden="1" outlineLevel="1">
      <c r="B225" s="78">
        <f t="shared" si="64"/>
        <v>51014</v>
      </c>
      <c r="C225" s="393"/>
      <c r="D225" s="394"/>
      <c r="E225" s="394"/>
      <c r="F225" s="393"/>
      <c r="G225" s="395"/>
      <c r="I225" s="77">
        <f t="shared" si="66"/>
        <v>100</v>
      </c>
      <c r="J225" s="73">
        <f t="shared" si="61"/>
        <v>2039</v>
      </c>
      <c r="K225" s="78" t="str">
        <f t="shared" si="62"/>
        <v/>
      </c>
      <c r="M225" s="41">
        <v>2.3E-2</v>
      </c>
      <c r="T225" s="173"/>
    </row>
    <row r="226" spans="2:20" hidden="1" outlineLevel="1">
      <c r="B226" s="78">
        <f t="shared" si="64"/>
        <v>51044</v>
      </c>
      <c r="C226" s="393"/>
      <c r="D226" s="394"/>
      <c r="E226" s="394"/>
      <c r="F226" s="393"/>
      <c r="G226" s="395"/>
      <c r="I226" s="77">
        <f t="shared" si="66"/>
        <v>101</v>
      </c>
      <c r="J226" s="73">
        <f t="shared" si="61"/>
        <v>2039</v>
      </c>
      <c r="K226" s="78" t="str">
        <f t="shared" si="62"/>
        <v/>
      </c>
      <c r="M226" s="41">
        <v>2.3E-2</v>
      </c>
      <c r="T226" s="173"/>
    </row>
    <row r="227" spans="2:20" hidden="1" outlineLevel="1">
      <c r="B227" s="78">
        <f t="shared" si="64"/>
        <v>51075</v>
      </c>
      <c r="C227" s="393"/>
      <c r="D227" s="394"/>
      <c r="E227" s="394"/>
      <c r="F227" s="393"/>
      <c r="G227" s="395"/>
      <c r="I227" s="77">
        <f t="shared" si="66"/>
        <v>102</v>
      </c>
      <c r="J227" s="73">
        <f t="shared" si="61"/>
        <v>2039</v>
      </c>
      <c r="K227" s="78" t="str">
        <f t="shared" si="62"/>
        <v/>
      </c>
      <c r="M227" s="41">
        <v>2.3E-2</v>
      </c>
      <c r="T227" s="173"/>
    </row>
    <row r="228" spans="2:20" hidden="1" outlineLevel="1">
      <c r="B228" s="82">
        <f t="shared" si="64"/>
        <v>51105</v>
      </c>
      <c r="C228" s="396"/>
      <c r="D228" s="397"/>
      <c r="E228" s="397"/>
      <c r="F228" s="396"/>
      <c r="G228" s="398"/>
      <c r="I228" s="64">
        <f t="shared" si="66"/>
        <v>103</v>
      </c>
      <c r="J228" s="73">
        <f t="shared" si="61"/>
        <v>2039</v>
      </c>
      <c r="K228" s="82" t="str">
        <f t="shared" si="62"/>
        <v/>
      </c>
      <c r="M228" s="41">
        <v>2.3E-2</v>
      </c>
      <c r="T228" s="173"/>
    </row>
    <row r="229" spans="2:20" hidden="1" outlineLevel="1">
      <c r="B229" s="74">
        <f t="shared" si="64"/>
        <v>51136</v>
      </c>
      <c r="C229" s="390"/>
      <c r="D229" s="391"/>
      <c r="E229" s="391"/>
      <c r="F229" s="390"/>
      <c r="G229" s="392"/>
      <c r="I229" s="60">
        <f>I109</f>
        <v>105</v>
      </c>
      <c r="J229" s="73">
        <f t="shared" si="61"/>
        <v>2040</v>
      </c>
      <c r="K229" s="74" t="str">
        <f t="shared" si="62"/>
        <v/>
      </c>
      <c r="M229" s="41">
        <v>2.3E-2</v>
      </c>
      <c r="T229" s="173"/>
    </row>
    <row r="230" spans="2:20" hidden="1" outlineLevel="1">
      <c r="B230" s="78">
        <f t="shared" si="64"/>
        <v>51167</v>
      </c>
      <c r="C230" s="393"/>
      <c r="D230" s="394"/>
      <c r="E230" s="394"/>
      <c r="F230" s="393"/>
      <c r="G230" s="395"/>
      <c r="I230" s="77">
        <f t="shared" ref="I230:I240" si="67">I110</f>
        <v>106</v>
      </c>
      <c r="J230" s="73">
        <f t="shared" si="61"/>
        <v>2040</v>
      </c>
      <c r="K230" s="78" t="str">
        <f t="shared" si="62"/>
        <v/>
      </c>
      <c r="M230" s="41">
        <v>2.3E-2</v>
      </c>
      <c r="T230" s="173"/>
    </row>
    <row r="231" spans="2:20" hidden="1" outlineLevel="1">
      <c r="B231" s="78">
        <f t="shared" si="64"/>
        <v>51196</v>
      </c>
      <c r="C231" s="393"/>
      <c r="D231" s="394"/>
      <c r="E231" s="394"/>
      <c r="F231" s="393"/>
      <c r="G231" s="395"/>
      <c r="I231" s="77">
        <f t="shared" si="67"/>
        <v>107</v>
      </c>
      <c r="J231" s="73">
        <f t="shared" si="61"/>
        <v>2040</v>
      </c>
      <c r="K231" s="78" t="str">
        <f t="shared" si="62"/>
        <v/>
      </c>
      <c r="M231" s="41">
        <v>2.3E-2</v>
      </c>
      <c r="T231" s="173"/>
    </row>
    <row r="232" spans="2:20" hidden="1" outlineLevel="1">
      <c r="B232" s="78">
        <f t="shared" si="64"/>
        <v>51227</v>
      </c>
      <c r="C232" s="393"/>
      <c r="D232" s="394"/>
      <c r="E232" s="394"/>
      <c r="F232" s="393"/>
      <c r="G232" s="395"/>
      <c r="I232" s="77">
        <f t="shared" si="67"/>
        <v>108</v>
      </c>
      <c r="J232" s="73">
        <f t="shared" si="61"/>
        <v>2040</v>
      </c>
      <c r="K232" s="78" t="str">
        <f t="shared" si="62"/>
        <v/>
      </c>
      <c r="M232" s="41">
        <v>2.3E-2</v>
      </c>
      <c r="T232" s="173"/>
    </row>
    <row r="233" spans="2:20" hidden="1" outlineLevel="1">
      <c r="B233" s="78">
        <f t="shared" si="64"/>
        <v>51257</v>
      </c>
      <c r="C233" s="393"/>
      <c r="D233" s="394"/>
      <c r="E233" s="394"/>
      <c r="F233" s="393"/>
      <c r="G233" s="395"/>
      <c r="I233" s="77">
        <f t="shared" si="67"/>
        <v>109</v>
      </c>
      <c r="J233" s="73">
        <f t="shared" si="61"/>
        <v>2040</v>
      </c>
      <c r="K233" s="78" t="str">
        <f t="shared" si="62"/>
        <v/>
      </c>
      <c r="M233" s="41">
        <v>2.3E-2</v>
      </c>
      <c r="T233" s="173"/>
    </row>
    <row r="234" spans="2:20" hidden="1" outlineLevel="1">
      <c r="B234" s="78">
        <f t="shared" si="64"/>
        <v>51288</v>
      </c>
      <c r="C234" s="393"/>
      <c r="D234" s="394"/>
      <c r="E234" s="394"/>
      <c r="F234" s="393"/>
      <c r="G234" s="395"/>
      <c r="I234" s="77">
        <f t="shared" si="67"/>
        <v>110</v>
      </c>
      <c r="J234" s="73">
        <f t="shared" si="61"/>
        <v>2040</v>
      </c>
      <c r="K234" s="78" t="str">
        <f t="shared" si="62"/>
        <v/>
      </c>
      <c r="M234" s="41">
        <v>2.3E-2</v>
      </c>
      <c r="T234" s="173"/>
    </row>
    <row r="235" spans="2:20" hidden="1" outlineLevel="1">
      <c r="B235" s="78">
        <f t="shared" si="64"/>
        <v>51318</v>
      </c>
      <c r="C235" s="393"/>
      <c r="D235" s="394"/>
      <c r="E235" s="394"/>
      <c r="F235" s="393"/>
      <c r="G235" s="395"/>
      <c r="I235" s="77">
        <f t="shared" si="67"/>
        <v>111</v>
      </c>
      <c r="J235" s="73">
        <f t="shared" si="61"/>
        <v>2040</v>
      </c>
      <c r="K235" s="78" t="str">
        <f t="shared" si="62"/>
        <v/>
      </c>
      <c r="M235" s="41">
        <v>2.3E-2</v>
      </c>
      <c r="T235" s="173"/>
    </row>
    <row r="236" spans="2:20" hidden="1" outlineLevel="1">
      <c r="B236" s="78">
        <f t="shared" si="64"/>
        <v>51349</v>
      </c>
      <c r="C236" s="393"/>
      <c r="D236" s="394"/>
      <c r="E236" s="394"/>
      <c r="F236" s="393"/>
      <c r="G236" s="395"/>
      <c r="I236" s="77">
        <f t="shared" si="67"/>
        <v>112</v>
      </c>
      <c r="J236" s="73">
        <f t="shared" si="61"/>
        <v>2040</v>
      </c>
      <c r="K236" s="78" t="str">
        <f t="shared" si="62"/>
        <v/>
      </c>
      <c r="M236" s="41">
        <v>2.3E-2</v>
      </c>
      <c r="T236" s="173"/>
    </row>
    <row r="237" spans="2:20" hidden="1" outlineLevel="1">
      <c r="B237" s="78">
        <f t="shared" si="64"/>
        <v>51380</v>
      </c>
      <c r="C237" s="393"/>
      <c r="D237" s="394"/>
      <c r="E237" s="394"/>
      <c r="F237" s="393"/>
      <c r="G237" s="395"/>
      <c r="I237" s="77">
        <f t="shared" si="67"/>
        <v>113</v>
      </c>
      <c r="J237" s="73">
        <f t="shared" si="61"/>
        <v>2040</v>
      </c>
      <c r="K237" s="78" t="str">
        <f t="shared" si="62"/>
        <v/>
      </c>
      <c r="M237" s="41">
        <v>2.3E-2</v>
      </c>
      <c r="T237" s="173"/>
    </row>
    <row r="238" spans="2:20" hidden="1" outlineLevel="1">
      <c r="B238" s="78">
        <f t="shared" si="64"/>
        <v>51410</v>
      </c>
      <c r="C238" s="393"/>
      <c r="D238" s="394"/>
      <c r="E238" s="394"/>
      <c r="F238" s="393"/>
      <c r="G238" s="395"/>
      <c r="I238" s="77">
        <f t="shared" si="67"/>
        <v>114</v>
      </c>
      <c r="J238" s="73">
        <f t="shared" si="61"/>
        <v>2040</v>
      </c>
      <c r="K238" s="78" t="str">
        <f t="shared" si="62"/>
        <v/>
      </c>
      <c r="M238" s="41">
        <v>2.3E-2</v>
      </c>
      <c r="T238" s="173"/>
    </row>
    <row r="239" spans="2:20" hidden="1" outlineLevel="1">
      <c r="B239" s="78">
        <f t="shared" si="64"/>
        <v>51441</v>
      </c>
      <c r="C239" s="393"/>
      <c r="D239" s="394"/>
      <c r="E239" s="394"/>
      <c r="F239" s="393"/>
      <c r="G239" s="395"/>
      <c r="I239" s="77">
        <f t="shared" si="67"/>
        <v>115</v>
      </c>
      <c r="J239" s="73">
        <f t="shared" si="61"/>
        <v>2040</v>
      </c>
      <c r="K239" s="78" t="str">
        <f t="shared" si="62"/>
        <v/>
      </c>
      <c r="M239" s="41">
        <v>2.3E-2</v>
      </c>
      <c r="T239" s="173"/>
    </row>
    <row r="240" spans="2:20" hidden="1" outlineLevel="1">
      <c r="B240" s="82">
        <f t="shared" si="64"/>
        <v>51471</v>
      </c>
      <c r="C240" s="396"/>
      <c r="D240" s="397"/>
      <c r="E240" s="397"/>
      <c r="F240" s="396"/>
      <c r="G240" s="398"/>
      <c r="I240" s="64">
        <f t="shared" si="67"/>
        <v>116</v>
      </c>
      <c r="J240" s="73">
        <f t="shared" si="61"/>
        <v>2040</v>
      </c>
      <c r="K240" s="82" t="str">
        <f t="shared" si="62"/>
        <v/>
      </c>
      <c r="M240" s="41">
        <v>2.3E-2</v>
      </c>
      <c r="T240" s="173"/>
    </row>
    <row r="241" spans="2:20" hidden="1" outlineLevel="1">
      <c r="B241" s="189">
        <f t="shared" ref="B241:B304" si="68">EDATE(B240,1)</f>
        <v>51502</v>
      </c>
      <c r="C241" s="390"/>
      <c r="D241" s="391"/>
      <c r="E241" s="391"/>
      <c r="F241" s="390"/>
      <c r="G241" s="392"/>
      <c r="I241" s="60">
        <f>I121</f>
        <v>118</v>
      </c>
      <c r="J241" s="73">
        <f t="shared" ref="J241:J252" si="69">YEAR(B241)</f>
        <v>2041</v>
      </c>
      <c r="K241" s="74" t="str">
        <f t="shared" ref="K241:K252" si="70">IF(ISNUMBER(F241),IF(F241&lt;&gt;0,B241,""),"")</f>
        <v/>
      </c>
      <c r="M241" s="41">
        <v>2.1999999999999999E-2</v>
      </c>
      <c r="T241" s="173"/>
    </row>
    <row r="242" spans="2:20" hidden="1" outlineLevel="1">
      <c r="B242" s="190">
        <f t="shared" si="68"/>
        <v>51533</v>
      </c>
      <c r="C242" s="393"/>
      <c r="D242" s="394"/>
      <c r="E242" s="394"/>
      <c r="F242" s="393"/>
      <c r="G242" s="395"/>
      <c r="I242" s="77">
        <f t="shared" ref="I242:I305" si="71">I122</f>
        <v>119</v>
      </c>
      <c r="J242" s="73">
        <f t="shared" si="69"/>
        <v>2041</v>
      </c>
      <c r="K242" s="78" t="str">
        <f t="shared" si="70"/>
        <v/>
      </c>
      <c r="M242" s="41">
        <v>2.1999999999999999E-2</v>
      </c>
      <c r="T242" s="173"/>
    </row>
    <row r="243" spans="2:20" hidden="1" outlineLevel="1">
      <c r="B243" s="190">
        <f t="shared" si="68"/>
        <v>51561</v>
      </c>
      <c r="C243" s="393"/>
      <c r="D243" s="394"/>
      <c r="E243" s="394"/>
      <c r="F243" s="393"/>
      <c r="G243" s="395"/>
      <c r="I243" s="77">
        <f t="shared" si="71"/>
        <v>120</v>
      </c>
      <c r="J243" s="73">
        <f t="shared" si="69"/>
        <v>2041</v>
      </c>
      <c r="K243" s="78" t="str">
        <f t="shared" si="70"/>
        <v/>
      </c>
      <c r="M243" s="41">
        <v>2.1999999999999999E-2</v>
      </c>
      <c r="T243" s="173"/>
    </row>
    <row r="244" spans="2:20" hidden="1" outlineLevel="1">
      <c r="B244" s="190">
        <f t="shared" si="68"/>
        <v>51592</v>
      </c>
      <c r="C244" s="393"/>
      <c r="D244" s="394"/>
      <c r="E244" s="394"/>
      <c r="F244" s="393"/>
      <c r="G244" s="395"/>
      <c r="I244" s="77">
        <f t="shared" si="71"/>
        <v>121</v>
      </c>
      <c r="J244" s="73">
        <f t="shared" si="69"/>
        <v>2041</v>
      </c>
      <c r="K244" s="78" t="str">
        <f t="shared" si="70"/>
        <v/>
      </c>
      <c r="M244" s="41">
        <v>2.1999999999999999E-2</v>
      </c>
      <c r="T244" s="173"/>
    </row>
    <row r="245" spans="2:20" hidden="1" outlineLevel="1">
      <c r="B245" s="190">
        <f t="shared" si="68"/>
        <v>51622</v>
      </c>
      <c r="C245" s="393"/>
      <c r="D245" s="394"/>
      <c r="E245" s="394"/>
      <c r="F245" s="393"/>
      <c r="G245" s="395"/>
      <c r="I245" s="77">
        <f t="shared" si="71"/>
        <v>122</v>
      </c>
      <c r="J245" s="73">
        <f t="shared" si="69"/>
        <v>2041</v>
      </c>
      <c r="K245" s="78" t="str">
        <f t="shared" si="70"/>
        <v/>
      </c>
      <c r="M245" s="41">
        <v>2.1999999999999999E-2</v>
      </c>
      <c r="T245" s="173"/>
    </row>
    <row r="246" spans="2:20" hidden="1" outlineLevel="1">
      <c r="B246" s="190">
        <f t="shared" si="68"/>
        <v>51653</v>
      </c>
      <c r="C246" s="393"/>
      <c r="D246" s="394"/>
      <c r="E246" s="394"/>
      <c r="F246" s="393"/>
      <c r="G246" s="395"/>
      <c r="I246" s="77">
        <f t="shared" si="71"/>
        <v>123</v>
      </c>
      <c r="J246" s="73">
        <f t="shared" si="69"/>
        <v>2041</v>
      </c>
      <c r="K246" s="78" t="str">
        <f t="shared" si="70"/>
        <v/>
      </c>
      <c r="M246" s="41">
        <v>2.1999999999999999E-2</v>
      </c>
      <c r="T246" s="173"/>
    </row>
    <row r="247" spans="2:20" hidden="1" outlineLevel="1">
      <c r="B247" s="190">
        <f t="shared" si="68"/>
        <v>51683</v>
      </c>
      <c r="C247" s="393"/>
      <c r="D247" s="394"/>
      <c r="E247" s="394"/>
      <c r="F247" s="393"/>
      <c r="G247" s="395"/>
      <c r="I247" s="77">
        <f t="shared" si="71"/>
        <v>124</v>
      </c>
      <c r="J247" s="73">
        <f t="shared" si="69"/>
        <v>2041</v>
      </c>
      <c r="K247" s="78" t="str">
        <f t="shared" si="70"/>
        <v/>
      </c>
      <c r="M247" s="41">
        <v>2.1999999999999999E-2</v>
      </c>
      <c r="T247" s="173"/>
    </row>
    <row r="248" spans="2:20" hidden="1" outlineLevel="1">
      <c r="B248" s="190">
        <f t="shared" si="68"/>
        <v>51714</v>
      </c>
      <c r="C248" s="393"/>
      <c r="D248" s="394"/>
      <c r="E248" s="394"/>
      <c r="F248" s="393"/>
      <c r="G248" s="395"/>
      <c r="I248" s="77">
        <f t="shared" si="71"/>
        <v>125</v>
      </c>
      <c r="J248" s="73">
        <f t="shared" si="69"/>
        <v>2041</v>
      </c>
      <c r="K248" s="78" t="str">
        <f t="shared" si="70"/>
        <v/>
      </c>
      <c r="M248" s="41">
        <v>2.1999999999999999E-2</v>
      </c>
      <c r="T248" s="173"/>
    </row>
    <row r="249" spans="2:20" hidden="1" outlineLevel="1">
      <c r="B249" s="190">
        <f t="shared" si="68"/>
        <v>51745</v>
      </c>
      <c r="C249" s="393"/>
      <c r="D249" s="394"/>
      <c r="E249" s="394"/>
      <c r="F249" s="393"/>
      <c r="G249" s="395"/>
      <c r="I249" s="77">
        <f t="shared" si="71"/>
        <v>126</v>
      </c>
      <c r="J249" s="73">
        <f t="shared" si="69"/>
        <v>2041</v>
      </c>
      <c r="K249" s="78" t="str">
        <f t="shared" si="70"/>
        <v/>
      </c>
      <c r="M249" s="41">
        <v>2.1999999999999999E-2</v>
      </c>
      <c r="T249" s="173"/>
    </row>
    <row r="250" spans="2:20" hidden="1" outlineLevel="1">
      <c r="B250" s="190">
        <f t="shared" si="68"/>
        <v>51775</v>
      </c>
      <c r="C250" s="393"/>
      <c r="D250" s="394"/>
      <c r="E250" s="394"/>
      <c r="F250" s="393"/>
      <c r="G250" s="395"/>
      <c r="I250" s="77">
        <f t="shared" si="71"/>
        <v>127</v>
      </c>
      <c r="J250" s="73">
        <f t="shared" si="69"/>
        <v>2041</v>
      </c>
      <c r="K250" s="78" t="str">
        <f t="shared" si="70"/>
        <v/>
      </c>
      <c r="M250" s="41">
        <v>2.1999999999999999E-2</v>
      </c>
      <c r="T250" s="173"/>
    </row>
    <row r="251" spans="2:20" hidden="1" outlineLevel="1">
      <c r="B251" s="190">
        <f t="shared" si="68"/>
        <v>51806</v>
      </c>
      <c r="C251" s="393"/>
      <c r="D251" s="394"/>
      <c r="E251" s="394"/>
      <c r="F251" s="393"/>
      <c r="G251" s="395"/>
      <c r="I251" s="77">
        <f t="shared" si="71"/>
        <v>128</v>
      </c>
      <c r="J251" s="73">
        <f t="shared" si="69"/>
        <v>2041</v>
      </c>
      <c r="K251" s="78" t="str">
        <f t="shared" si="70"/>
        <v/>
      </c>
      <c r="M251" s="41">
        <v>2.1999999999999999E-2</v>
      </c>
      <c r="O251" s="173"/>
      <c r="P251" s="173"/>
      <c r="T251" s="173"/>
    </row>
    <row r="252" spans="2:20" hidden="1" outlineLevel="1" collapsed="1">
      <c r="B252" s="191">
        <f t="shared" si="68"/>
        <v>51836</v>
      </c>
      <c r="C252" s="396"/>
      <c r="D252" s="397"/>
      <c r="E252" s="397"/>
      <c r="F252" s="396"/>
      <c r="G252" s="398"/>
      <c r="I252" s="64">
        <f t="shared" si="71"/>
        <v>129</v>
      </c>
      <c r="J252" s="73">
        <f t="shared" si="69"/>
        <v>2041</v>
      </c>
      <c r="K252" s="82" t="str">
        <f t="shared" si="70"/>
        <v/>
      </c>
      <c r="M252" s="41">
        <v>2.1999999999999999E-2</v>
      </c>
      <c r="O252" s="173"/>
      <c r="P252" s="173"/>
      <c r="T252" s="173"/>
    </row>
    <row r="253" spans="2:20" hidden="1" outlineLevel="1">
      <c r="B253" s="189">
        <f t="shared" si="68"/>
        <v>51867</v>
      </c>
      <c r="C253" s="390"/>
      <c r="D253" s="391"/>
      <c r="E253" s="391"/>
      <c r="F253" s="390"/>
      <c r="G253" s="392"/>
      <c r="I253" s="60">
        <f>I133</f>
        <v>1</v>
      </c>
      <c r="J253" s="73">
        <f t="shared" ref="J253:J276" si="72">YEAR(B253)</f>
        <v>2042</v>
      </c>
      <c r="K253" s="74" t="str">
        <f t="shared" ref="K253:K276" si="73">IF(ISNUMBER(F253),IF(F253&lt;&gt;0,B253,""),"")</f>
        <v/>
      </c>
      <c r="M253" s="41">
        <v>2.1999999999999999E-2</v>
      </c>
      <c r="O253" s="173"/>
      <c r="P253" s="173"/>
      <c r="T253" s="173"/>
    </row>
    <row r="254" spans="2:20" hidden="1" outlineLevel="1">
      <c r="B254" s="190">
        <f t="shared" si="68"/>
        <v>51898</v>
      </c>
      <c r="C254" s="393"/>
      <c r="D254" s="394"/>
      <c r="E254" s="394"/>
      <c r="F254" s="393"/>
      <c r="G254" s="395"/>
      <c r="I254" s="77">
        <f t="shared" si="71"/>
        <v>2</v>
      </c>
      <c r="J254" s="73">
        <f t="shared" si="72"/>
        <v>2042</v>
      </c>
      <c r="K254" s="78" t="str">
        <f t="shared" si="73"/>
        <v/>
      </c>
      <c r="M254" s="41">
        <v>2.1999999999999999E-2</v>
      </c>
      <c r="O254" s="173"/>
      <c r="P254" s="173"/>
      <c r="T254" s="173"/>
    </row>
    <row r="255" spans="2:20" hidden="1" outlineLevel="1">
      <c r="B255" s="190">
        <f t="shared" si="68"/>
        <v>51926</v>
      </c>
      <c r="C255" s="393"/>
      <c r="D255" s="394"/>
      <c r="E255" s="394"/>
      <c r="F255" s="393"/>
      <c r="G255" s="395"/>
      <c r="I255" s="77">
        <f t="shared" si="71"/>
        <v>3</v>
      </c>
      <c r="J255" s="73">
        <f t="shared" si="72"/>
        <v>2042</v>
      </c>
      <c r="K255" s="78" t="str">
        <f t="shared" si="73"/>
        <v/>
      </c>
      <c r="M255" s="41">
        <v>2.1999999999999999E-2</v>
      </c>
      <c r="O255" s="173"/>
      <c r="P255" s="173"/>
      <c r="T255" s="173"/>
    </row>
    <row r="256" spans="2:20" hidden="1" outlineLevel="1">
      <c r="B256" s="190">
        <f t="shared" si="68"/>
        <v>51957</v>
      </c>
      <c r="C256" s="393"/>
      <c r="D256" s="394"/>
      <c r="E256" s="394"/>
      <c r="F256" s="393"/>
      <c r="G256" s="395"/>
      <c r="I256" s="77">
        <f t="shared" si="71"/>
        <v>4</v>
      </c>
      <c r="J256" s="73">
        <f t="shared" si="72"/>
        <v>2042</v>
      </c>
      <c r="K256" s="78" t="str">
        <f t="shared" si="73"/>
        <v/>
      </c>
      <c r="M256" s="41">
        <v>2.1999999999999999E-2</v>
      </c>
      <c r="O256" s="173"/>
      <c r="P256" s="173"/>
      <c r="T256" s="173"/>
    </row>
    <row r="257" spans="2:20" hidden="1" outlineLevel="1">
      <c r="B257" s="190">
        <f t="shared" si="68"/>
        <v>51987</v>
      </c>
      <c r="C257" s="393"/>
      <c r="D257" s="394"/>
      <c r="E257" s="394"/>
      <c r="F257" s="393"/>
      <c r="G257" s="395"/>
      <c r="I257" s="77">
        <f t="shared" si="71"/>
        <v>5</v>
      </c>
      <c r="J257" s="73">
        <f t="shared" si="72"/>
        <v>2042</v>
      </c>
      <c r="K257" s="78" t="str">
        <f t="shared" si="73"/>
        <v/>
      </c>
      <c r="M257" s="41">
        <v>2.1999999999999999E-2</v>
      </c>
      <c r="O257" s="173"/>
      <c r="P257" s="173"/>
      <c r="T257" s="173"/>
    </row>
    <row r="258" spans="2:20" hidden="1" outlineLevel="1">
      <c r="B258" s="190">
        <f t="shared" si="68"/>
        <v>52018</v>
      </c>
      <c r="C258" s="393"/>
      <c r="D258" s="394"/>
      <c r="E258" s="394"/>
      <c r="F258" s="393"/>
      <c r="G258" s="395"/>
      <c r="I258" s="77">
        <f t="shared" si="71"/>
        <v>6</v>
      </c>
      <c r="J258" s="73">
        <f t="shared" si="72"/>
        <v>2042</v>
      </c>
      <c r="K258" s="78" t="str">
        <f t="shared" si="73"/>
        <v/>
      </c>
      <c r="M258" s="41">
        <v>2.1999999999999999E-2</v>
      </c>
      <c r="O258" s="173"/>
      <c r="P258" s="173"/>
      <c r="T258" s="173"/>
    </row>
    <row r="259" spans="2:20" hidden="1" outlineLevel="1">
      <c r="B259" s="190">
        <f t="shared" si="68"/>
        <v>52048</v>
      </c>
      <c r="C259" s="393"/>
      <c r="D259" s="394"/>
      <c r="E259" s="394"/>
      <c r="F259" s="393"/>
      <c r="G259" s="395"/>
      <c r="I259" s="77">
        <f t="shared" si="71"/>
        <v>7</v>
      </c>
      <c r="J259" s="73">
        <f t="shared" si="72"/>
        <v>2042</v>
      </c>
      <c r="K259" s="78" t="str">
        <f t="shared" si="73"/>
        <v/>
      </c>
      <c r="M259" s="41">
        <v>2.1999999999999999E-2</v>
      </c>
      <c r="O259" s="173"/>
      <c r="P259" s="173"/>
    </row>
    <row r="260" spans="2:20" hidden="1" outlineLevel="1">
      <c r="B260" s="190">
        <f t="shared" si="68"/>
        <v>52079</v>
      </c>
      <c r="C260" s="393"/>
      <c r="D260" s="394"/>
      <c r="E260" s="394"/>
      <c r="F260" s="393"/>
      <c r="G260" s="395"/>
      <c r="I260" s="77">
        <f t="shared" si="71"/>
        <v>8</v>
      </c>
      <c r="J260" s="73">
        <f t="shared" si="72"/>
        <v>2042</v>
      </c>
      <c r="K260" s="78" t="str">
        <f t="shared" si="73"/>
        <v/>
      </c>
      <c r="M260" s="41">
        <v>2.1999999999999999E-2</v>
      </c>
      <c r="O260" s="173"/>
      <c r="P260" s="173"/>
    </row>
    <row r="261" spans="2:20" hidden="1" outlineLevel="1">
      <c r="B261" s="190">
        <f t="shared" si="68"/>
        <v>52110</v>
      </c>
      <c r="C261" s="393"/>
      <c r="D261" s="394"/>
      <c r="E261" s="394"/>
      <c r="F261" s="393"/>
      <c r="G261" s="395"/>
      <c r="I261" s="77">
        <f t="shared" si="71"/>
        <v>9</v>
      </c>
      <c r="J261" s="73">
        <f t="shared" si="72"/>
        <v>2042</v>
      </c>
      <c r="K261" s="78" t="str">
        <f t="shared" si="73"/>
        <v/>
      </c>
      <c r="M261" s="41">
        <v>2.1999999999999999E-2</v>
      </c>
      <c r="O261" s="173"/>
      <c r="P261" s="173"/>
    </row>
    <row r="262" spans="2:20" hidden="1" outlineLevel="1">
      <c r="B262" s="190">
        <f t="shared" si="68"/>
        <v>52140</v>
      </c>
      <c r="C262" s="393"/>
      <c r="D262" s="394"/>
      <c r="E262" s="394"/>
      <c r="F262" s="393"/>
      <c r="G262" s="395"/>
      <c r="I262" s="77">
        <f t="shared" si="71"/>
        <v>10</v>
      </c>
      <c r="J262" s="73">
        <f t="shared" si="72"/>
        <v>2042</v>
      </c>
      <c r="K262" s="78" t="str">
        <f t="shared" si="73"/>
        <v/>
      </c>
      <c r="M262" s="41">
        <v>2.1999999999999999E-2</v>
      </c>
    </row>
    <row r="263" spans="2:20" hidden="1" outlineLevel="1">
      <c r="B263" s="190">
        <f t="shared" si="68"/>
        <v>52171</v>
      </c>
      <c r="C263" s="393"/>
      <c r="D263" s="394"/>
      <c r="E263" s="394"/>
      <c r="F263" s="393"/>
      <c r="G263" s="395"/>
      <c r="I263" s="77">
        <f t="shared" si="71"/>
        <v>11</v>
      </c>
      <c r="J263" s="73">
        <f t="shared" si="72"/>
        <v>2042</v>
      </c>
      <c r="K263" s="78" t="str">
        <f t="shared" si="73"/>
        <v/>
      </c>
      <c r="M263" s="41">
        <v>2.1999999999999999E-2</v>
      </c>
    </row>
    <row r="264" spans="2:20" hidden="1" outlineLevel="1">
      <c r="B264" s="191">
        <f t="shared" si="68"/>
        <v>52201</v>
      </c>
      <c r="C264" s="396"/>
      <c r="D264" s="397"/>
      <c r="E264" s="397"/>
      <c r="F264" s="396"/>
      <c r="G264" s="398"/>
      <c r="I264" s="64">
        <f t="shared" si="71"/>
        <v>12</v>
      </c>
      <c r="J264" s="73">
        <f t="shared" si="72"/>
        <v>2042</v>
      </c>
      <c r="K264" s="82" t="str">
        <f t="shared" si="73"/>
        <v/>
      </c>
      <c r="M264" s="41">
        <v>2.1999999999999999E-2</v>
      </c>
    </row>
    <row r="265" spans="2:20" hidden="1" outlineLevel="1">
      <c r="B265" s="189">
        <f t="shared" si="68"/>
        <v>52232</v>
      </c>
      <c r="C265" s="181"/>
      <c r="D265" s="182"/>
      <c r="E265" s="182"/>
      <c r="F265" s="181"/>
      <c r="G265" s="183"/>
      <c r="I265" s="60">
        <f>I145</f>
        <v>14</v>
      </c>
      <c r="J265" s="73">
        <f t="shared" si="72"/>
        <v>2043</v>
      </c>
      <c r="K265" s="74" t="str">
        <f t="shared" si="73"/>
        <v/>
      </c>
      <c r="M265" s="41">
        <v>2.3E-2</v>
      </c>
      <c r="O265" s="173"/>
      <c r="P265" s="173"/>
      <c r="T265" s="173"/>
    </row>
    <row r="266" spans="2:20" hidden="1" outlineLevel="1">
      <c r="B266" s="190">
        <f t="shared" si="68"/>
        <v>52263</v>
      </c>
      <c r="C266" s="175"/>
      <c r="D266" s="176"/>
      <c r="E266" s="176"/>
      <c r="F266" s="175"/>
      <c r="G266" s="177"/>
      <c r="I266" s="77">
        <f t="shared" si="71"/>
        <v>15</v>
      </c>
      <c r="J266" s="73">
        <f t="shared" si="72"/>
        <v>2043</v>
      </c>
      <c r="K266" s="78" t="str">
        <f t="shared" si="73"/>
        <v/>
      </c>
      <c r="M266" s="41">
        <v>2.3E-2</v>
      </c>
      <c r="O266" s="173"/>
      <c r="P266" s="173"/>
      <c r="T266" s="173"/>
    </row>
    <row r="267" spans="2:20" hidden="1" outlineLevel="1">
      <c r="B267" s="190">
        <f t="shared" si="68"/>
        <v>52291</v>
      </c>
      <c r="C267" s="175"/>
      <c r="D267" s="176"/>
      <c r="E267" s="176"/>
      <c r="F267" s="175"/>
      <c r="G267" s="177"/>
      <c r="I267" s="77">
        <f t="shared" si="71"/>
        <v>16</v>
      </c>
      <c r="J267" s="73">
        <f t="shared" si="72"/>
        <v>2043</v>
      </c>
      <c r="K267" s="78" t="str">
        <f t="shared" si="73"/>
        <v/>
      </c>
      <c r="M267" s="41">
        <v>2.3E-2</v>
      </c>
      <c r="O267" s="173"/>
      <c r="P267" s="173"/>
      <c r="T267" s="173"/>
    </row>
    <row r="268" spans="2:20" hidden="1" outlineLevel="1">
      <c r="B268" s="190">
        <f t="shared" si="68"/>
        <v>52322</v>
      </c>
      <c r="C268" s="175"/>
      <c r="D268" s="176"/>
      <c r="E268" s="176"/>
      <c r="F268" s="175"/>
      <c r="G268" s="177"/>
      <c r="I268" s="77">
        <f t="shared" si="71"/>
        <v>17</v>
      </c>
      <c r="J268" s="73">
        <f t="shared" si="72"/>
        <v>2043</v>
      </c>
      <c r="K268" s="78" t="str">
        <f t="shared" si="73"/>
        <v/>
      </c>
      <c r="M268" s="41">
        <v>2.3E-2</v>
      </c>
      <c r="O268" s="173"/>
      <c r="P268" s="173"/>
      <c r="T268" s="173"/>
    </row>
    <row r="269" spans="2:20" hidden="1" outlineLevel="1">
      <c r="B269" s="190">
        <f t="shared" si="68"/>
        <v>52352</v>
      </c>
      <c r="C269" s="175"/>
      <c r="D269" s="176"/>
      <c r="E269" s="176"/>
      <c r="F269" s="175"/>
      <c r="G269" s="177"/>
      <c r="I269" s="77">
        <f t="shared" si="71"/>
        <v>18</v>
      </c>
      <c r="J269" s="73">
        <f t="shared" si="72"/>
        <v>2043</v>
      </c>
      <c r="K269" s="78" t="str">
        <f t="shared" si="73"/>
        <v/>
      </c>
      <c r="M269" s="41">
        <v>2.3E-2</v>
      </c>
      <c r="O269" s="173"/>
      <c r="P269" s="173"/>
      <c r="T269" s="173"/>
    </row>
    <row r="270" spans="2:20" hidden="1" outlineLevel="1">
      <c r="B270" s="190">
        <f t="shared" si="68"/>
        <v>52383</v>
      </c>
      <c r="C270" s="175"/>
      <c r="D270" s="176"/>
      <c r="E270" s="176"/>
      <c r="F270" s="175"/>
      <c r="G270" s="177"/>
      <c r="I270" s="77">
        <f t="shared" si="71"/>
        <v>19</v>
      </c>
      <c r="J270" s="73">
        <f t="shared" si="72"/>
        <v>2043</v>
      </c>
      <c r="K270" s="78" t="str">
        <f t="shared" si="73"/>
        <v/>
      </c>
      <c r="M270" s="41">
        <v>2.3E-2</v>
      </c>
      <c r="O270" s="173"/>
      <c r="P270" s="173"/>
      <c r="T270" s="173"/>
    </row>
    <row r="271" spans="2:20" hidden="1" outlineLevel="1">
      <c r="B271" s="190">
        <f t="shared" si="68"/>
        <v>52413</v>
      </c>
      <c r="C271" s="175"/>
      <c r="D271" s="176"/>
      <c r="E271" s="176"/>
      <c r="F271" s="175"/>
      <c r="G271" s="177"/>
      <c r="I271" s="77">
        <f t="shared" si="71"/>
        <v>20</v>
      </c>
      <c r="J271" s="73">
        <f t="shared" si="72"/>
        <v>2043</v>
      </c>
      <c r="K271" s="78" t="str">
        <f t="shared" si="73"/>
        <v/>
      </c>
      <c r="M271" s="41">
        <v>2.3E-2</v>
      </c>
      <c r="O271" s="173"/>
      <c r="P271" s="173"/>
    </row>
    <row r="272" spans="2:20" hidden="1" outlineLevel="1">
      <c r="B272" s="190">
        <f t="shared" si="68"/>
        <v>52444</v>
      </c>
      <c r="C272" s="175"/>
      <c r="D272" s="176"/>
      <c r="E272" s="176"/>
      <c r="F272" s="175"/>
      <c r="G272" s="177"/>
      <c r="I272" s="77">
        <f t="shared" si="71"/>
        <v>21</v>
      </c>
      <c r="J272" s="73">
        <f t="shared" si="72"/>
        <v>2043</v>
      </c>
      <c r="K272" s="78" t="str">
        <f t="shared" si="73"/>
        <v/>
      </c>
      <c r="M272" s="41">
        <v>2.3E-2</v>
      </c>
      <c r="O272" s="173"/>
      <c r="P272" s="173"/>
    </row>
    <row r="273" spans="2:20" hidden="1" outlineLevel="1">
      <c r="B273" s="190">
        <f t="shared" si="68"/>
        <v>52475</v>
      </c>
      <c r="C273" s="175"/>
      <c r="D273" s="176"/>
      <c r="E273" s="176"/>
      <c r="F273" s="175"/>
      <c r="G273" s="177"/>
      <c r="I273" s="77">
        <f t="shared" si="71"/>
        <v>22</v>
      </c>
      <c r="J273" s="73">
        <f t="shared" si="72"/>
        <v>2043</v>
      </c>
      <c r="K273" s="78" t="str">
        <f t="shared" si="73"/>
        <v/>
      </c>
      <c r="M273" s="41">
        <v>2.3E-2</v>
      </c>
      <c r="O273" s="173"/>
      <c r="P273" s="173"/>
    </row>
    <row r="274" spans="2:20" hidden="1" outlineLevel="1">
      <c r="B274" s="190">
        <f t="shared" si="68"/>
        <v>52505</v>
      </c>
      <c r="C274" s="175"/>
      <c r="D274" s="176"/>
      <c r="E274" s="176"/>
      <c r="F274" s="175"/>
      <c r="G274" s="177"/>
      <c r="I274" s="77">
        <f t="shared" si="71"/>
        <v>23</v>
      </c>
      <c r="J274" s="73">
        <f t="shared" si="72"/>
        <v>2043</v>
      </c>
      <c r="K274" s="78" t="str">
        <f t="shared" si="73"/>
        <v/>
      </c>
      <c r="M274" s="41">
        <v>2.3E-2</v>
      </c>
    </row>
    <row r="275" spans="2:20" hidden="1" outlineLevel="1">
      <c r="B275" s="190">
        <f t="shared" si="68"/>
        <v>52536</v>
      </c>
      <c r="C275" s="175"/>
      <c r="D275" s="176"/>
      <c r="E275" s="176"/>
      <c r="F275" s="175"/>
      <c r="G275" s="177"/>
      <c r="I275" s="77">
        <f t="shared" si="71"/>
        <v>24</v>
      </c>
      <c r="J275" s="73">
        <f t="shared" si="72"/>
        <v>2043</v>
      </c>
      <c r="K275" s="78" t="str">
        <f t="shared" si="73"/>
        <v/>
      </c>
      <c r="M275" s="41">
        <v>2.3E-2</v>
      </c>
    </row>
    <row r="276" spans="2:20" hidden="1" outlineLevel="1">
      <c r="B276" s="191">
        <f t="shared" si="68"/>
        <v>52566</v>
      </c>
      <c r="C276" s="178"/>
      <c r="D276" s="179"/>
      <c r="E276" s="179"/>
      <c r="F276" s="178"/>
      <c r="G276" s="180"/>
      <c r="I276" s="64">
        <f t="shared" si="71"/>
        <v>25</v>
      </c>
      <c r="J276" s="73">
        <f t="shared" si="72"/>
        <v>2043</v>
      </c>
      <c r="K276" s="82" t="str">
        <f t="shared" si="73"/>
        <v/>
      </c>
      <c r="M276" s="41">
        <v>2.3E-2</v>
      </c>
    </row>
    <row r="277" spans="2:20" hidden="1" outlineLevel="1">
      <c r="B277" s="189">
        <f t="shared" si="68"/>
        <v>52597</v>
      </c>
      <c r="C277" s="181"/>
      <c r="D277" s="182"/>
      <c r="E277" s="182"/>
      <c r="F277" s="181"/>
      <c r="G277" s="183"/>
      <c r="I277" s="60">
        <f>I157</f>
        <v>27</v>
      </c>
      <c r="J277" s="73">
        <f t="shared" ref="J277:J288" si="74">YEAR(B277)</f>
        <v>2044</v>
      </c>
      <c r="K277" s="74" t="str">
        <f t="shared" ref="K277:K288" si="75">IF(ISNUMBER(F277),IF(F277&lt;&gt;0,B277,""),"")</f>
        <v/>
      </c>
      <c r="M277" s="41">
        <v>2.1999999999999999E-2</v>
      </c>
      <c r="O277" s="173"/>
      <c r="P277" s="173"/>
      <c r="T277" s="173"/>
    </row>
    <row r="278" spans="2:20" hidden="1" outlineLevel="1">
      <c r="B278" s="190">
        <f t="shared" si="68"/>
        <v>52628</v>
      </c>
      <c r="C278" s="175"/>
      <c r="D278" s="176"/>
      <c r="E278" s="176"/>
      <c r="F278" s="175"/>
      <c r="G278" s="177"/>
      <c r="I278" s="77">
        <f t="shared" si="71"/>
        <v>28</v>
      </c>
      <c r="J278" s="73">
        <f t="shared" si="74"/>
        <v>2044</v>
      </c>
      <c r="K278" s="78" t="str">
        <f t="shared" si="75"/>
        <v/>
      </c>
      <c r="M278" s="41">
        <v>2.1999999999999999E-2</v>
      </c>
      <c r="O278" s="173"/>
      <c r="P278" s="173"/>
      <c r="T278" s="173"/>
    </row>
    <row r="279" spans="2:20" hidden="1" outlineLevel="1">
      <c r="B279" s="190">
        <f t="shared" si="68"/>
        <v>52657</v>
      </c>
      <c r="C279" s="175"/>
      <c r="D279" s="176"/>
      <c r="E279" s="176"/>
      <c r="F279" s="175"/>
      <c r="G279" s="177"/>
      <c r="I279" s="77">
        <f t="shared" si="71"/>
        <v>29</v>
      </c>
      <c r="J279" s="73">
        <f t="shared" si="74"/>
        <v>2044</v>
      </c>
      <c r="K279" s="78" t="str">
        <f t="shared" si="75"/>
        <v/>
      </c>
      <c r="M279" s="41">
        <v>2.1999999999999999E-2</v>
      </c>
      <c r="O279" s="173"/>
      <c r="P279" s="173"/>
      <c r="T279" s="173"/>
    </row>
    <row r="280" spans="2:20" hidden="1" outlineLevel="1">
      <c r="B280" s="190">
        <f t="shared" si="68"/>
        <v>52688</v>
      </c>
      <c r="C280" s="175"/>
      <c r="D280" s="176"/>
      <c r="E280" s="176"/>
      <c r="F280" s="175"/>
      <c r="G280" s="177"/>
      <c r="I280" s="77">
        <f t="shared" si="71"/>
        <v>30</v>
      </c>
      <c r="J280" s="73">
        <f t="shared" si="74"/>
        <v>2044</v>
      </c>
      <c r="K280" s="78" t="str">
        <f t="shared" si="75"/>
        <v/>
      </c>
      <c r="M280" s="41">
        <v>2.1999999999999999E-2</v>
      </c>
      <c r="O280" s="173"/>
      <c r="P280" s="173"/>
      <c r="T280" s="173"/>
    </row>
    <row r="281" spans="2:20" hidden="1" outlineLevel="1">
      <c r="B281" s="190">
        <f t="shared" si="68"/>
        <v>52718</v>
      </c>
      <c r="C281" s="175"/>
      <c r="D281" s="176"/>
      <c r="E281" s="176"/>
      <c r="F281" s="175"/>
      <c r="G281" s="177"/>
      <c r="I281" s="77">
        <f t="shared" si="71"/>
        <v>31</v>
      </c>
      <c r="J281" s="73">
        <f t="shared" si="74"/>
        <v>2044</v>
      </c>
      <c r="K281" s="78" t="str">
        <f t="shared" si="75"/>
        <v/>
      </c>
      <c r="M281" s="41">
        <v>2.1999999999999999E-2</v>
      </c>
      <c r="O281" s="173"/>
      <c r="P281" s="173"/>
      <c r="T281" s="173"/>
    </row>
    <row r="282" spans="2:20" hidden="1" outlineLevel="1">
      <c r="B282" s="190">
        <f t="shared" si="68"/>
        <v>52749</v>
      </c>
      <c r="C282" s="175"/>
      <c r="D282" s="176"/>
      <c r="E282" s="176"/>
      <c r="F282" s="175"/>
      <c r="G282" s="177"/>
      <c r="I282" s="77">
        <f t="shared" si="71"/>
        <v>32</v>
      </c>
      <c r="J282" s="73">
        <f t="shared" si="74"/>
        <v>2044</v>
      </c>
      <c r="K282" s="78" t="str">
        <f t="shared" si="75"/>
        <v/>
      </c>
      <c r="M282" s="41">
        <v>2.1999999999999999E-2</v>
      </c>
      <c r="O282" s="173"/>
      <c r="P282" s="173"/>
      <c r="T282" s="173"/>
    </row>
    <row r="283" spans="2:20" hidden="1" outlineLevel="1">
      <c r="B283" s="190">
        <f t="shared" si="68"/>
        <v>52779</v>
      </c>
      <c r="C283" s="175"/>
      <c r="D283" s="176"/>
      <c r="E283" s="176"/>
      <c r="F283" s="175"/>
      <c r="G283" s="177"/>
      <c r="I283" s="77">
        <f t="shared" si="71"/>
        <v>33</v>
      </c>
      <c r="J283" s="73">
        <f t="shared" si="74"/>
        <v>2044</v>
      </c>
      <c r="K283" s="78" t="str">
        <f t="shared" si="75"/>
        <v/>
      </c>
      <c r="M283" s="41">
        <v>2.1999999999999999E-2</v>
      </c>
      <c r="O283" s="173"/>
      <c r="P283" s="173"/>
    </row>
    <row r="284" spans="2:20" hidden="1" outlineLevel="1">
      <c r="B284" s="190">
        <f t="shared" si="68"/>
        <v>52810</v>
      </c>
      <c r="C284" s="175"/>
      <c r="D284" s="176"/>
      <c r="E284" s="176"/>
      <c r="F284" s="175"/>
      <c r="G284" s="177"/>
      <c r="I284" s="77">
        <f t="shared" si="71"/>
        <v>34</v>
      </c>
      <c r="J284" s="73">
        <f t="shared" si="74"/>
        <v>2044</v>
      </c>
      <c r="K284" s="78" t="str">
        <f t="shared" si="75"/>
        <v/>
      </c>
      <c r="M284" s="41">
        <v>2.1999999999999999E-2</v>
      </c>
      <c r="O284" s="173"/>
      <c r="P284" s="173"/>
    </row>
    <row r="285" spans="2:20" hidden="1" outlineLevel="1">
      <c r="B285" s="190">
        <f t="shared" si="68"/>
        <v>52841</v>
      </c>
      <c r="C285" s="175"/>
      <c r="D285" s="176"/>
      <c r="E285" s="176"/>
      <c r="F285" s="175"/>
      <c r="G285" s="177"/>
      <c r="I285" s="77">
        <f t="shared" si="71"/>
        <v>35</v>
      </c>
      <c r="J285" s="73">
        <f t="shared" si="74"/>
        <v>2044</v>
      </c>
      <c r="K285" s="78" t="str">
        <f t="shared" si="75"/>
        <v/>
      </c>
      <c r="M285" s="41">
        <v>2.1999999999999999E-2</v>
      </c>
      <c r="O285" s="173"/>
      <c r="P285" s="173"/>
    </row>
    <row r="286" spans="2:20" hidden="1" outlineLevel="1">
      <c r="B286" s="190">
        <f t="shared" si="68"/>
        <v>52871</v>
      </c>
      <c r="C286" s="175"/>
      <c r="D286" s="176"/>
      <c r="E286" s="176"/>
      <c r="F286" s="175"/>
      <c r="G286" s="177"/>
      <c r="I286" s="77">
        <f t="shared" si="71"/>
        <v>36</v>
      </c>
      <c r="J286" s="73">
        <f t="shared" si="74"/>
        <v>2044</v>
      </c>
      <c r="K286" s="78" t="str">
        <f t="shared" si="75"/>
        <v/>
      </c>
      <c r="M286" s="41">
        <v>2.1999999999999999E-2</v>
      </c>
    </row>
    <row r="287" spans="2:20" hidden="1" outlineLevel="1">
      <c r="B287" s="190">
        <f t="shared" si="68"/>
        <v>52902</v>
      </c>
      <c r="C287" s="175"/>
      <c r="D287" s="176"/>
      <c r="E287" s="176"/>
      <c r="F287" s="175"/>
      <c r="G287" s="177"/>
      <c r="I287" s="77">
        <f t="shared" si="71"/>
        <v>37</v>
      </c>
      <c r="J287" s="73">
        <f t="shared" si="74"/>
        <v>2044</v>
      </c>
      <c r="K287" s="78" t="str">
        <f t="shared" si="75"/>
        <v/>
      </c>
      <c r="M287" s="41">
        <v>2.1999999999999999E-2</v>
      </c>
    </row>
    <row r="288" spans="2:20" hidden="1" outlineLevel="1">
      <c r="B288" s="191">
        <f t="shared" si="68"/>
        <v>52932</v>
      </c>
      <c r="C288" s="178"/>
      <c r="D288" s="179"/>
      <c r="E288" s="179"/>
      <c r="F288" s="178"/>
      <c r="G288" s="180"/>
      <c r="I288" s="64">
        <f t="shared" si="71"/>
        <v>38</v>
      </c>
      <c r="J288" s="73">
        <f t="shared" si="74"/>
        <v>2044</v>
      </c>
      <c r="K288" s="82" t="str">
        <f t="shared" si="75"/>
        <v/>
      </c>
      <c r="M288" s="41">
        <v>2.1999999999999999E-2</v>
      </c>
    </row>
    <row r="289" spans="2:13" hidden="1" outlineLevel="1">
      <c r="B289" s="189">
        <f t="shared" si="68"/>
        <v>52963</v>
      </c>
      <c r="C289" s="181"/>
      <c r="D289" s="182"/>
      <c r="E289" s="182"/>
      <c r="F289" s="181"/>
      <c r="G289" s="183"/>
      <c r="I289" s="60">
        <f>I169</f>
        <v>40</v>
      </c>
      <c r="J289" s="73">
        <f t="shared" ref="J289:J324" si="76">YEAR(B289)</f>
        <v>2045</v>
      </c>
      <c r="K289" s="74" t="str">
        <f t="shared" ref="K289:K324" si="77">IF(ISNUMBER(F289),IF(F289&lt;&gt;0,B289,""),"")</f>
        <v/>
      </c>
      <c r="M289" s="41">
        <v>2.3E-2</v>
      </c>
    </row>
    <row r="290" spans="2:13" hidden="1" outlineLevel="1">
      <c r="B290" s="190">
        <f t="shared" si="68"/>
        <v>52994</v>
      </c>
      <c r="C290" s="175"/>
      <c r="D290" s="176"/>
      <c r="E290" s="176"/>
      <c r="F290" s="175"/>
      <c r="G290" s="177"/>
      <c r="I290" s="77">
        <f t="shared" si="71"/>
        <v>41</v>
      </c>
      <c r="J290" s="73">
        <f t="shared" si="76"/>
        <v>2045</v>
      </c>
      <c r="K290" s="78" t="str">
        <f t="shared" si="77"/>
        <v/>
      </c>
      <c r="M290" s="41">
        <v>2.3E-2</v>
      </c>
    </row>
    <row r="291" spans="2:13" hidden="1" outlineLevel="1">
      <c r="B291" s="190">
        <f t="shared" si="68"/>
        <v>53022</v>
      </c>
      <c r="C291" s="175"/>
      <c r="D291" s="176"/>
      <c r="E291" s="176"/>
      <c r="F291" s="175"/>
      <c r="G291" s="177"/>
      <c r="I291" s="77">
        <f t="shared" si="71"/>
        <v>42</v>
      </c>
      <c r="J291" s="73">
        <f t="shared" si="76"/>
        <v>2045</v>
      </c>
      <c r="K291" s="78" t="str">
        <f t="shared" si="77"/>
        <v/>
      </c>
      <c r="M291" s="41">
        <v>2.3E-2</v>
      </c>
    </row>
    <row r="292" spans="2:13" hidden="1" outlineLevel="1">
      <c r="B292" s="190">
        <f t="shared" si="68"/>
        <v>53053</v>
      </c>
      <c r="C292" s="175"/>
      <c r="D292" s="176"/>
      <c r="E292" s="176"/>
      <c r="F292" s="175"/>
      <c r="G292" s="177"/>
      <c r="I292" s="77">
        <f t="shared" si="71"/>
        <v>43</v>
      </c>
      <c r="J292" s="73">
        <f t="shared" si="76"/>
        <v>2045</v>
      </c>
      <c r="K292" s="78" t="str">
        <f t="shared" si="77"/>
        <v/>
      </c>
      <c r="M292" s="41">
        <v>2.3E-2</v>
      </c>
    </row>
    <row r="293" spans="2:13" hidden="1" outlineLevel="1">
      <c r="B293" s="190">
        <f t="shared" si="68"/>
        <v>53083</v>
      </c>
      <c r="C293" s="175"/>
      <c r="D293" s="176"/>
      <c r="E293" s="176"/>
      <c r="F293" s="175"/>
      <c r="G293" s="177"/>
      <c r="I293" s="77">
        <f t="shared" si="71"/>
        <v>44</v>
      </c>
      <c r="J293" s="73">
        <f t="shared" si="76"/>
        <v>2045</v>
      </c>
      <c r="K293" s="78" t="str">
        <f t="shared" si="77"/>
        <v/>
      </c>
      <c r="M293" s="41">
        <v>2.3E-2</v>
      </c>
    </row>
    <row r="294" spans="2:13" hidden="1" outlineLevel="1">
      <c r="B294" s="190">
        <f t="shared" si="68"/>
        <v>53114</v>
      </c>
      <c r="C294" s="175"/>
      <c r="D294" s="176"/>
      <c r="E294" s="176"/>
      <c r="F294" s="175"/>
      <c r="G294" s="177"/>
      <c r="I294" s="77">
        <f t="shared" si="71"/>
        <v>45</v>
      </c>
      <c r="J294" s="73">
        <f t="shared" si="76"/>
        <v>2045</v>
      </c>
      <c r="K294" s="78" t="str">
        <f t="shared" si="77"/>
        <v/>
      </c>
      <c r="M294" s="41">
        <v>2.3E-2</v>
      </c>
    </row>
    <row r="295" spans="2:13" hidden="1" outlineLevel="1">
      <c r="B295" s="190">
        <f t="shared" si="68"/>
        <v>53144</v>
      </c>
      <c r="C295" s="175"/>
      <c r="D295" s="176"/>
      <c r="E295" s="176"/>
      <c r="F295" s="175"/>
      <c r="G295" s="177"/>
      <c r="I295" s="77">
        <f t="shared" si="71"/>
        <v>46</v>
      </c>
      <c r="J295" s="73">
        <f t="shared" si="76"/>
        <v>2045</v>
      </c>
      <c r="K295" s="78" t="str">
        <f t="shared" si="77"/>
        <v/>
      </c>
      <c r="M295" s="41">
        <v>2.3E-2</v>
      </c>
    </row>
    <row r="296" spans="2:13" hidden="1" outlineLevel="1">
      <c r="B296" s="190">
        <f t="shared" si="68"/>
        <v>53175</v>
      </c>
      <c r="C296" s="175"/>
      <c r="D296" s="176"/>
      <c r="E296" s="176"/>
      <c r="F296" s="175"/>
      <c r="G296" s="177"/>
      <c r="I296" s="77">
        <f t="shared" si="71"/>
        <v>47</v>
      </c>
      <c r="J296" s="73">
        <f t="shared" si="76"/>
        <v>2045</v>
      </c>
      <c r="K296" s="78" t="str">
        <f t="shared" si="77"/>
        <v/>
      </c>
      <c r="M296" s="41">
        <v>2.3E-2</v>
      </c>
    </row>
    <row r="297" spans="2:13" hidden="1" outlineLevel="1">
      <c r="B297" s="190">
        <f t="shared" si="68"/>
        <v>53206</v>
      </c>
      <c r="C297" s="175"/>
      <c r="D297" s="176"/>
      <c r="E297" s="176"/>
      <c r="F297" s="175"/>
      <c r="G297" s="177"/>
      <c r="I297" s="77">
        <f t="shared" si="71"/>
        <v>48</v>
      </c>
      <c r="J297" s="73">
        <f t="shared" si="76"/>
        <v>2045</v>
      </c>
      <c r="K297" s="78" t="str">
        <f t="shared" si="77"/>
        <v/>
      </c>
      <c r="M297" s="41">
        <v>2.3E-2</v>
      </c>
    </row>
    <row r="298" spans="2:13" hidden="1" outlineLevel="1">
      <c r="B298" s="190">
        <f t="shared" si="68"/>
        <v>53236</v>
      </c>
      <c r="C298" s="175"/>
      <c r="D298" s="176"/>
      <c r="E298" s="176"/>
      <c r="F298" s="175"/>
      <c r="G298" s="177"/>
      <c r="I298" s="77">
        <f t="shared" si="71"/>
        <v>49</v>
      </c>
      <c r="J298" s="73">
        <f t="shared" si="76"/>
        <v>2045</v>
      </c>
      <c r="K298" s="78" t="str">
        <f t="shared" si="77"/>
        <v/>
      </c>
      <c r="M298" s="41">
        <v>2.3E-2</v>
      </c>
    </row>
    <row r="299" spans="2:13" hidden="1" outlineLevel="1">
      <c r="B299" s="190">
        <f t="shared" si="68"/>
        <v>53267</v>
      </c>
      <c r="C299" s="175"/>
      <c r="D299" s="176"/>
      <c r="E299" s="176"/>
      <c r="F299" s="175"/>
      <c r="G299" s="177"/>
      <c r="I299" s="77">
        <f t="shared" si="71"/>
        <v>50</v>
      </c>
      <c r="J299" s="73">
        <f t="shared" si="76"/>
        <v>2045</v>
      </c>
      <c r="K299" s="78" t="str">
        <f t="shared" si="77"/>
        <v/>
      </c>
      <c r="M299" s="41">
        <v>2.3E-2</v>
      </c>
    </row>
    <row r="300" spans="2:13" hidden="1" outlineLevel="1">
      <c r="B300" s="191">
        <f t="shared" si="68"/>
        <v>53297</v>
      </c>
      <c r="C300" s="178"/>
      <c r="D300" s="179"/>
      <c r="E300" s="179"/>
      <c r="F300" s="178"/>
      <c r="G300" s="180"/>
      <c r="I300" s="64">
        <f t="shared" si="71"/>
        <v>51</v>
      </c>
      <c r="J300" s="73">
        <f t="shared" si="76"/>
        <v>2045</v>
      </c>
      <c r="K300" s="82" t="str">
        <f t="shared" si="77"/>
        <v/>
      </c>
      <c r="M300" s="41">
        <v>2.3E-2</v>
      </c>
    </row>
    <row r="301" spans="2:13" hidden="1" outlineLevel="1">
      <c r="B301" s="189">
        <f t="shared" si="68"/>
        <v>53328</v>
      </c>
      <c r="C301" s="181"/>
      <c r="D301" s="182"/>
      <c r="E301" s="182"/>
      <c r="F301" s="181"/>
      <c r="G301" s="183"/>
      <c r="I301" s="60">
        <f>I181</f>
        <v>53</v>
      </c>
      <c r="J301" s="73">
        <f t="shared" si="76"/>
        <v>2046</v>
      </c>
      <c r="K301" s="74" t="str">
        <f t="shared" si="77"/>
        <v/>
      </c>
      <c r="M301" s="41">
        <v>2.3E-2</v>
      </c>
    </row>
    <row r="302" spans="2:13" hidden="1" outlineLevel="1">
      <c r="B302" s="190">
        <f t="shared" si="68"/>
        <v>53359</v>
      </c>
      <c r="C302" s="175"/>
      <c r="D302" s="176"/>
      <c r="E302" s="176"/>
      <c r="F302" s="175"/>
      <c r="G302" s="177"/>
      <c r="I302" s="77">
        <f t="shared" si="71"/>
        <v>54</v>
      </c>
      <c r="J302" s="73">
        <f t="shared" si="76"/>
        <v>2046</v>
      </c>
      <c r="K302" s="78" t="str">
        <f t="shared" si="77"/>
        <v/>
      </c>
      <c r="M302" s="41">
        <v>2.3E-2</v>
      </c>
    </row>
    <row r="303" spans="2:13" hidden="1" outlineLevel="1">
      <c r="B303" s="190">
        <f t="shared" si="68"/>
        <v>53387</v>
      </c>
      <c r="C303" s="175"/>
      <c r="D303" s="176"/>
      <c r="E303" s="176"/>
      <c r="F303" s="175"/>
      <c r="G303" s="177"/>
      <c r="I303" s="77">
        <f t="shared" si="71"/>
        <v>55</v>
      </c>
      <c r="J303" s="73">
        <f t="shared" si="76"/>
        <v>2046</v>
      </c>
      <c r="K303" s="78" t="str">
        <f t="shared" si="77"/>
        <v/>
      </c>
      <c r="M303" s="41">
        <v>2.3E-2</v>
      </c>
    </row>
    <row r="304" spans="2:13" hidden="1" outlineLevel="1">
      <c r="B304" s="190">
        <f t="shared" si="68"/>
        <v>53418</v>
      </c>
      <c r="C304" s="175"/>
      <c r="D304" s="176"/>
      <c r="E304" s="176"/>
      <c r="F304" s="175"/>
      <c r="G304" s="177"/>
      <c r="I304" s="77">
        <f t="shared" si="71"/>
        <v>56</v>
      </c>
      <c r="J304" s="73">
        <f t="shared" si="76"/>
        <v>2046</v>
      </c>
      <c r="K304" s="78" t="str">
        <f t="shared" si="77"/>
        <v/>
      </c>
      <c r="M304" s="41">
        <v>2.3E-2</v>
      </c>
    </row>
    <row r="305" spans="2:13" hidden="1" outlineLevel="1">
      <c r="B305" s="190">
        <f t="shared" ref="B305:B323" si="78">EDATE(B304,1)</f>
        <v>53448</v>
      </c>
      <c r="C305" s="175"/>
      <c r="D305" s="176"/>
      <c r="E305" s="176"/>
      <c r="F305" s="175"/>
      <c r="G305" s="177"/>
      <c r="I305" s="77">
        <f t="shared" si="71"/>
        <v>57</v>
      </c>
      <c r="J305" s="73">
        <f t="shared" si="76"/>
        <v>2046</v>
      </c>
      <c r="K305" s="78" t="str">
        <f t="shared" si="77"/>
        <v/>
      </c>
      <c r="M305" s="41">
        <v>2.3E-2</v>
      </c>
    </row>
    <row r="306" spans="2:13" hidden="1" outlineLevel="1">
      <c r="B306" s="190">
        <f t="shared" si="78"/>
        <v>53479</v>
      </c>
      <c r="C306" s="175"/>
      <c r="D306" s="176"/>
      <c r="E306" s="176"/>
      <c r="F306" s="175"/>
      <c r="G306" s="177"/>
      <c r="I306" s="77">
        <f t="shared" ref="I306:I312" si="79">I186</f>
        <v>58</v>
      </c>
      <c r="J306" s="73">
        <f t="shared" si="76"/>
        <v>2046</v>
      </c>
      <c r="K306" s="78" t="str">
        <f t="shared" si="77"/>
        <v/>
      </c>
      <c r="M306" s="41">
        <v>2.3E-2</v>
      </c>
    </row>
    <row r="307" spans="2:13" hidden="1" outlineLevel="1">
      <c r="B307" s="190">
        <f t="shared" si="78"/>
        <v>53509</v>
      </c>
      <c r="C307" s="175"/>
      <c r="D307" s="176"/>
      <c r="E307" s="176"/>
      <c r="F307" s="175"/>
      <c r="G307" s="177"/>
      <c r="I307" s="77">
        <f t="shared" si="79"/>
        <v>59</v>
      </c>
      <c r="J307" s="73">
        <f t="shared" si="76"/>
        <v>2046</v>
      </c>
      <c r="K307" s="78" t="str">
        <f t="shared" si="77"/>
        <v/>
      </c>
      <c r="M307" s="41">
        <v>2.3E-2</v>
      </c>
    </row>
    <row r="308" spans="2:13" hidden="1" outlineLevel="1">
      <c r="B308" s="190">
        <f t="shared" si="78"/>
        <v>53540</v>
      </c>
      <c r="C308" s="175"/>
      <c r="D308" s="176"/>
      <c r="E308" s="176"/>
      <c r="F308" s="175"/>
      <c r="G308" s="177"/>
      <c r="I308" s="77">
        <f t="shared" si="79"/>
        <v>60</v>
      </c>
      <c r="J308" s="73">
        <f t="shared" si="76"/>
        <v>2046</v>
      </c>
      <c r="K308" s="78" t="str">
        <f t="shared" si="77"/>
        <v/>
      </c>
      <c r="M308" s="41">
        <v>2.3E-2</v>
      </c>
    </row>
    <row r="309" spans="2:13" hidden="1" outlineLevel="1">
      <c r="B309" s="190">
        <f t="shared" si="78"/>
        <v>53571</v>
      </c>
      <c r="C309" s="175"/>
      <c r="D309" s="176"/>
      <c r="E309" s="176"/>
      <c r="F309" s="175"/>
      <c r="G309" s="177"/>
      <c r="I309" s="77">
        <f t="shared" si="79"/>
        <v>61</v>
      </c>
      <c r="J309" s="73">
        <f t="shared" si="76"/>
        <v>2046</v>
      </c>
      <c r="K309" s="78" t="str">
        <f t="shared" si="77"/>
        <v/>
      </c>
      <c r="M309" s="41">
        <v>2.3E-2</v>
      </c>
    </row>
    <row r="310" spans="2:13" hidden="1" outlineLevel="1">
      <c r="B310" s="190">
        <f t="shared" si="78"/>
        <v>53601</v>
      </c>
      <c r="C310" s="175"/>
      <c r="D310" s="176"/>
      <c r="E310" s="176"/>
      <c r="F310" s="175"/>
      <c r="G310" s="177"/>
      <c r="I310" s="77">
        <f t="shared" si="79"/>
        <v>62</v>
      </c>
      <c r="J310" s="73">
        <f t="shared" si="76"/>
        <v>2046</v>
      </c>
      <c r="K310" s="78" t="str">
        <f t="shared" si="77"/>
        <v/>
      </c>
      <c r="M310" s="41">
        <v>2.3E-2</v>
      </c>
    </row>
    <row r="311" spans="2:13" hidden="1" outlineLevel="1">
      <c r="B311" s="190">
        <f t="shared" si="78"/>
        <v>53632</v>
      </c>
      <c r="C311" s="175"/>
      <c r="D311" s="176"/>
      <c r="E311" s="176"/>
      <c r="F311" s="175"/>
      <c r="G311" s="177"/>
      <c r="I311" s="77">
        <f t="shared" si="79"/>
        <v>63</v>
      </c>
      <c r="J311" s="73">
        <f t="shared" si="76"/>
        <v>2046</v>
      </c>
      <c r="K311" s="78" t="str">
        <f t="shared" si="77"/>
        <v/>
      </c>
      <c r="M311" s="41">
        <v>2.3E-2</v>
      </c>
    </row>
    <row r="312" spans="2:13" hidden="1" outlineLevel="1">
      <c r="B312" s="191">
        <f t="shared" si="78"/>
        <v>53662</v>
      </c>
      <c r="C312" s="178"/>
      <c r="D312" s="179"/>
      <c r="E312" s="179"/>
      <c r="F312" s="178"/>
      <c r="G312" s="180"/>
      <c r="I312" s="64">
        <f t="shared" si="79"/>
        <v>64</v>
      </c>
      <c r="J312" s="73">
        <f t="shared" si="76"/>
        <v>2046</v>
      </c>
      <c r="K312" s="82" t="str">
        <f t="shared" si="77"/>
        <v/>
      </c>
      <c r="M312" s="41">
        <v>2.3E-2</v>
      </c>
    </row>
    <row r="313" spans="2:13" hidden="1" outlineLevel="1">
      <c r="B313" s="189">
        <f t="shared" si="78"/>
        <v>53693</v>
      </c>
      <c r="C313" s="181"/>
      <c r="D313" s="182"/>
      <c r="E313" s="182"/>
      <c r="F313" s="181"/>
      <c r="G313" s="183"/>
      <c r="I313" s="60">
        <f>I193</f>
        <v>66</v>
      </c>
      <c r="J313" s="73">
        <f t="shared" si="76"/>
        <v>2047</v>
      </c>
      <c r="K313" s="74" t="str">
        <f t="shared" si="77"/>
        <v/>
      </c>
      <c r="M313" s="41">
        <v>2.3E-2</v>
      </c>
    </row>
    <row r="314" spans="2:13" hidden="1" outlineLevel="1">
      <c r="B314" s="190">
        <f t="shared" si="78"/>
        <v>53724</v>
      </c>
      <c r="C314" s="175"/>
      <c r="D314" s="176"/>
      <c r="E314" s="176"/>
      <c r="F314" s="175"/>
      <c r="G314" s="177"/>
      <c r="I314" s="77">
        <f t="shared" ref="I314:I324" si="80">I194</f>
        <v>67</v>
      </c>
      <c r="J314" s="73">
        <f t="shared" si="76"/>
        <v>2047</v>
      </c>
      <c r="K314" s="78" t="str">
        <f t="shared" si="77"/>
        <v/>
      </c>
      <c r="M314" s="41">
        <v>2.3E-2</v>
      </c>
    </row>
    <row r="315" spans="2:13" hidden="1" outlineLevel="1">
      <c r="B315" s="190">
        <f t="shared" si="78"/>
        <v>53752</v>
      </c>
      <c r="C315" s="175"/>
      <c r="D315" s="176"/>
      <c r="E315" s="176"/>
      <c r="F315" s="175"/>
      <c r="G315" s="177"/>
      <c r="I315" s="77">
        <f t="shared" si="80"/>
        <v>68</v>
      </c>
      <c r="J315" s="73">
        <f t="shared" si="76"/>
        <v>2047</v>
      </c>
      <c r="K315" s="78" t="str">
        <f t="shared" si="77"/>
        <v/>
      </c>
      <c r="M315" s="41">
        <v>2.3E-2</v>
      </c>
    </row>
    <row r="316" spans="2:13" hidden="1" outlineLevel="1">
      <c r="B316" s="190">
        <f t="shared" si="78"/>
        <v>53783</v>
      </c>
      <c r="C316" s="175"/>
      <c r="D316" s="176"/>
      <c r="E316" s="176"/>
      <c r="F316" s="175"/>
      <c r="G316" s="177"/>
      <c r="I316" s="77">
        <f t="shared" si="80"/>
        <v>69</v>
      </c>
      <c r="J316" s="73">
        <f t="shared" si="76"/>
        <v>2047</v>
      </c>
      <c r="K316" s="78" t="str">
        <f t="shared" si="77"/>
        <v/>
      </c>
      <c r="M316" s="41">
        <v>2.3E-2</v>
      </c>
    </row>
    <row r="317" spans="2:13" hidden="1" outlineLevel="1">
      <c r="B317" s="190">
        <f t="shared" si="78"/>
        <v>53813</v>
      </c>
      <c r="C317" s="175"/>
      <c r="D317" s="176"/>
      <c r="E317" s="176"/>
      <c r="F317" s="175"/>
      <c r="G317" s="177"/>
      <c r="I317" s="77">
        <f t="shared" si="80"/>
        <v>70</v>
      </c>
      <c r="J317" s="73">
        <f t="shared" si="76"/>
        <v>2047</v>
      </c>
      <c r="K317" s="78" t="str">
        <f t="shared" si="77"/>
        <v/>
      </c>
      <c r="M317" s="41">
        <v>2.3E-2</v>
      </c>
    </row>
    <row r="318" spans="2:13" hidden="1" outlineLevel="1">
      <c r="B318" s="190">
        <f t="shared" si="78"/>
        <v>53844</v>
      </c>
      <c r="C318" s="175"/>
      <c r="D318" s="176"/>
      <c r="E318" s="176"/>
      <c r="F318" s="175"/>
      <c r="G318" s="177"/>
      <c r="I318" s="77">
        <f t="shared" si="80"/>
        <v>71</v>
      </c>
      <c r="J318" s="73">
        <f t="shared" si="76"/>
        <v>2047</v>
      </c>
      <c r="K318" s="78" t="str">
        <f t="shared" si="77"/>
        <v/>
      </c>
      <c r="M318" s="41">
        <v>2.3E-2</v>
      </c>
    </row>
    <row r="319" spans="2:13" hidden="1" outlineLevel="1">
      <c r="B319" s="190">
        <f t="shared" si="78"/>
        <v>53874</v>
      </c>
      <c r="C319" s="175"/>
      <c r="D319" s="176"/>
      <c r="E319" s="176"/>
      <c r="F319" s="175"/>
      <c r="G319" s="177"/>
      <c r="I319" s="77">
        <f t="shared" si="80"/>
        <v>72</v>
      </c>
      <c r="J319" s="73">
        <f t="shared" si="76"/>
        <v>2047</v>
      </c>
      <c r="K319" s="78" t="str">
        <f t="shared" si="77"/>
        <v/>
      </c>
      <c r="M319" s="41">
        <v>2.3E-2</v>
      </c>
    </row>
    <row r="320" spans="2:13" hidden="1" outlineLevel="1">
      <c r="B320" s="190">
        <f t="shared" si="78"/>
        <v>53905</v>
      </c>
      <c r="C320" s="175"/>
      <c r="D320" s="176"/>
      <c r="E320" s="176"/>
      <c r="F320" s="175"/>
      <c r="G320" s="177"/>
      <c r="I320" s="77">
        <f t="shared" si="80"/>
        <v>73</v>
      </c>
      <c r="J320" s="73">
        <f t="shared" si="76"/>
        <v>2047</v>
      </c>
      <c r="K320" s="78" t="str">
        <f t="shared" si="77"/>
        <v/>
      </c>
      <c r="M320" s="41">
        <v>2.3E-2</v>
      </c>
    </row>
    <row r="321" spans="2:13" hidden="1" outlineLevel="1">
      <c r="B321" s="190">
        <f t="shared" si="78"/>
        <v>53936</v>
      </c>
      <c r="C321" s="175"/>
      <c r="D321" s="176"/>
      <c r="E321" s="176"/>
      <c r="F321" s="175"/>
      <c r="G321" s="177"/>
      <c r="I321" s="77">
        <f t="shared" si="80"/>
        <v>74</v>
      </c>
      <c r="J321" s="73">
        <f t="shared" si="76"/>
        <v>2047</v>
      </c>
      <c r="K321" s="78" t="str">
        <f t="shared" si="77"/>
        <v/>
      </c>
      <c r="M321" s="41">
        <v>2.3E-2</v>
      </c>
    </row>
    <row r="322" spans="2:13" hidden="1" outlineLevel="1">
      <c r="B322" s="190">
        <f t="shared" si="78"/>
        <v>53966</v>
      </c>
      <c r="C322" s="175"/>
      <c r="D322" s="176"/>
      <c r="E322" s="176"/>
      <c r="F322" s="175"/>
      <c r="G322" s="177"/>
      <c r="I322" s="77">
        <f t="shared" si="80"/>
        <v>75</v>
      </c>
      <c r="J322" s="73">
        <f t="shared" si="76"/>
        <v>2047</v>
      </c>
      <c r="K322" s="78" t="str">
        <f t="shared" si="77"/>
        <v/>
      </c>
      <c r="M322" s="41">
        <v>2.3E-2</v>
      </c>
    </row>
    <row r="323" spans="2:13" hidden="1" outlineLevel="1">
      <c r="B323" s="190">
        <f t="shared" si="78"/>
        <v>53997</v>
      </c>
      <c r="C323" s="175"/>
      <c r="D323" s="176"/>
      <c r="E323" s="176"/>
      <c r="F323" s="175"/>
      <c r="G323" s="177"/>
      <c r="I323" s="77">
        <f t="shared" si="80"/>
        <v>76</v>
      </c>
      <c r="J323" s="73">
        <f t="shared" si="76"/>
        <v>2047</v>
      </c>
      <c r="K323" s="78" t="str">
        <f t="shared" si="77"/>
        <v/>
      </c>
      <c r="M323" s="41">
        <v>2.3E-2</v>
      </c>
    </row>
    <row r="324" spans="2:13" hidden="1" outlineLevel="1">
      <c r="B324" s="191"/>
      <c r="C324" s="178"/>
      <c r="D324" s="179"/>
      <c r="E324" s="179"/>
      <c r="F324" s="178"/>
      <c r="G324" s="180"/>
      <c r="I324" s="64">
        <f t="shared" si="80"/>
        <v>77</v>
      </c>
      <c r="J324" s="73">
        <f t="shared" si="76"/>
        <v>1900</v>
      </c>
      <c r="K324" s="82" t="str">
        <f t="shared" si="77"/>
        <v/>
      </c>
      <c r="M324" s="41" t="e">
        <v>#N/A</v>
      </c>
    </row>
    <row r="325" spans="2:13" hidden="1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zoomScaleSheetLayoutView="70" workbookViewId="0">
      <selection activeCell="K22" sqref="K22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15.33203125" style="117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226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227</v>
      </c>
      <c r="I5" s="121" t="s">
        <v>72</v>
      </c>
      <c r="J5" s="17" t="s">
        <v>52</v>
      </c>
      <c r="K5" s="121" t="s">
        <v>223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385"/>
      <c r="R6" s="385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Q8" s="119"/>
      <c r="R8" s="119"/>
      <c r="S8" s="119"/>
    </row>
    <row r="9" spans="2:24" ht="15.75">
      <c r="B9" s="43" t="str">
        <f>C52</f>
        <v>2019 IRP Utah Wind Resource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Q12" s="128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16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Q13" s="128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371"/>
      <c r="Q14" s="128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372"/>
      <c r="P15" s="371"/>
      <c r="Q15" s="128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Q16" s="128"/>
      <c r="V16" s="153"/>
      <c r="X16" s="159"/>
    </row>
    <row r="17" spans="2:25">
      <c r="B17" s="135">
        <f t="shared" si="0"/>
        <v>2023</v>
      </c>
      <c r="C17" s="136">
        <v>1265.623188405797</v>
      </c>
      <c r="D17" s="128">
        <f t="shared" ref="D17" si="3">C17*$C$62</f>
        <v>87.31076284841852</v>
      </c>
      <c r="E17" s="148">
        <v>32.333333333333336</v>
      </c>
      <c r="F17" s="198">
        <f>$C$60</f>
        <v>1.4680258019147514</v>
      </c>
      <c r="G17" s="130">
        <f t="shared" ref="G17:G23" si="4">(D17+E17+F17)/(8.76*$C$63)</f>
        <v>46.866388818073915</v>
      </c>
      <c r="H17" s="128">
        <v>-21.479999999999997</v>
      </c>
      <c r="I17" s="130">
        <f t="shared" ref="I17:I23" si="5">(G17+H17)</f>
        <v>25.386388818073918</v>
      </c>
      <c r="J17" s="130">
        <f>ROUND(I17*$C$63*8.76,2)</f>
        <v>65.599999999999994</v>
      </c>
      <c r="K17" s="128">
        <f t="shared" si="2"/>
        <v>121.1121219836666</v>
      </c>
      <c r="L17" s="119"/>
      <c r="N17" s="117"/>
      <c r="O17" s="132"/>
      <c r="Q17" s="128"/>
      <c r="R17" s="128"/>
      <c r="V17" s="153"/>
      <c r="X17" s="159"/>
    </row>
    <row r="18" spans="2:25">
      <c r="B18" s="135">
        <f t="shared" si="0"/>
        <v>2024</v>
      </c>
      <c r="C18" s="136"/>
      <c r="D18" s="128">
        <f t="shared" ref="D18:E33" si="6">ROUND(D17*(1+(IFERROR(INDEX($D$66:$D$74,MATCH($B18,$C$66:$C$74,0),1),0)+IFERROR(INDEX($G$66:$G$74,MATCH($B18,$F$66:$F$74,0),1),0)+IFERROR(INDEX($J$66:$J$74,MATCH($B18,$I$66:$I$74,0),1),0))),2)</f>
        <v>89.23</v>
      </c>
      <c r="E18" s="148">
        <v>33.072463768115945</v>
      </c>
      <c r="F18" s="128">
        <f t="shared" ref="F18:F37" si="7">ROUND(F17*(1+(IFERROR(INDEX($D$66:$D$74,MATCH($B18,$C$66:$C$74,0),1),0)+IFERROR(INDEX($G$66:$G$74,MATCH($B18,$F$66:$F$74,0),1),0)+IFERROR(INDEX($J$66:$J$74,MATCH($B18,$I$66:$I$74,0),1),0))),2)</f>
        <v>1.5</v>
      </c>
      <c r="G18" s="130">
        <f t="shared" si="4"/>
        <v>47.907462180990628</v>
      </c>
      <c r="H18" s="128">
        <v>-21.479999999999997</v>
      </c>
      <c r="I18" s="130">
        <f t="shared" si="5"/>
        <v>26.427462180990631</v>
      </c>
      <c r="J18" s="130">
        <f t="shared" ref="J18:J37" si="8">ROUND(I18*$C$63*8.76,2)</f>
        <v>68.290000000000006</v>
      </c>
      <c r="K18" s="128">
        <f t="shared" si="2"/>
        <v>123.80246376811596</v>
      </c>
      <c r="L18" s="119"/>
      <c r="N18" s="117"/>
      <c r="Q18" s="128"/>
      <c r="R18" s="128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>
        <f t="shared" si="6"/>
        <v>91.28</v>
      </c>
      <c r="E19" s="148">
        <v>33.826086956521742</v>
      </c>
      <c r="F19" s="128">
        <f t="shared" si="7"/>
        <v>1.53</v>
      </c>
      <c r="G19" s="130">
        <f t="shared" si="4"/>
        <v>49.0039807122211</v>
      </c>
      <c r="H19" s="128">
        <v>-22.278000000000002</v>
      </c>
      <c r="I19" s="130">
        <f t="shared" si="5"/>
        <v>26.725980712221098</v>
      </c>
      <c r="J19" s="130">
        <f t="shared" si="8"/>
        <v>69.069999999999993</v>
      </c>
      <c r="K19" s="128">
        <f t="shared" si="2"/>
        <v>126.63608695652175</v>
      </c>
      <c r="L19" s="119"/>
      <c r="N19" s="117"/>
      <c r="Q19" s="128"/>
      <c r="R19" s="128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>
        <f t="shared" si="6"/>
        <v>93.38</v>
      </c>
      <c r="E20" s="148">
        <v>34.594202898550726</v>
      </c>
      <c r="F20" s="128">
        <f t="shared" si="7"/>
        <v>1.57</v>
      </c>
      <c r="G20" s="130">
        <f t="shared" si="4"/>
        <v>50.129325477343365</v>
      </c>
      <c r="H20" s="128">
        <v>-22.278000000000002</v>
      </c>
      <c r="I20" s="130">
        <f t="shared" si="5"/>
        <v>27.851325477343362</v>
      </c>
      <c r="J20" s="130">
        <f t="shared" si="8"/>
        <v>71.97</v>
      </c>
      <c r="K20" s="128">
        <f t="shared" si="2"/>
        <v>129.54420289855071</v>
      </c>
      <c r="L20" s="119"/>
      <c r="N20" s="117"/>
      <c r="Q20" s="128"/>
      <c r="R20" s="128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>
        <f t="shared" si="6"/>
        <v>95.53</v>
      </c>
      <c r="E21" s="148">
        <v>35.376811594202898</v>
      </c>
      <c r="F21" s="128">
        <f t="shared" si="7"/>
        <v>1.61</v>
      </c>
      <c r="G21" s="130">
        <f t="shared" si="4"/>
        <v>51.279626806827238</v>
      </c>
      <c r="H21" s="128">
        <v>-23.07</v>
      </c>
      <c r="I21" s="130">
        <f t="shared" si="5"/>
        <v>28.209626806827238</v>
      </c>
      <c r="J21" s="130">
        <f t="shared" si="8"/>
        <v>72.900000000000006</v>
      </c>
      <c r="K21" s="128">
        <f t="shared" si="2"/>
        <v>132.51681159420292</v>
      </c>
      <c r="L21" s="119"/>
      <c r="N21" s="117"/>
      <c r="Q21" s="128"/>
      <c r="R21" s="128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>
        <f t="shared" si="6"/>
        <v>97.73</v>
      </c>
      <c r="E22" s="148">
        <v>36.188405797101453</v>
      </c>
      <c r="F22" s="128">
        <f t="shared" si="7"/>
        <v>1.65</v>
      </c>
      <c r="G22" s="130">
        <f t="shared" si="4"/>
        <v>52.460492917383128</v>
      </c>
      <c r="H22" s="128">
        <v>-23.07</v>
      </c>
      <c r="I22" s="130">
        <f t="shared" si="5"/>
        <v>29.390492917383128</v>
      </c>
      <c r="J22" s="130">
        <f t="shared" si="8"/>
        <v>75.95</v>
      </c>
      <c r="K22" s="128">
        <f t="shared" si="2"/>
        <v>135.56840579710146</v>
      </c>
      <c r="L22" s="119"/>
      <c r="N22" s="117"/>
      <c r="Q22" s="128"/>
      <c r="R22" s="128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>
        <f t="shared" si="6"/>
        <v>100.08</v>
      </c>
      <c r="E23" s="148">
        <v>37.014492753623188</v>
      </c>
      <c r="F23" s="128">
        <f t="shared" si="7"/>
        <v>1.69</v>
      </c>
      <c r="G23" s="130">
        <f t="shared" si="4"/>
        <v>53.705012287602813</v>
      </c>
      <c r="H23" s="128">
        <v>-23.867999999999999</v>
      </c>
      <c r="I23" s="130">
        <f t="shared" si="5"/>
        <v>29.837012287602814</v>
      </c>
      <c r="J23" s="130">
        <f t="shared" si="8"/>
        <v>77.099999999999994</v>
      </c>
      <c r="K23" s="128">
        <f t="shared" si="2"/>
        <v>138.78449275362317</v>
      </c>
      <c r="L23" s="119"/>
      <c r="N23" s="117"/>
      <c r="Q23" s="128"/>
      <c r="R23" s="128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136"/>
      <c r="D24" s="128">
        <f t="shared" si="6"/>
        <v>102.38</v>
      </c>
      <c r="E24" s="148">
        <v>37.855072463768117</v>
      </c>
      <c r="F24" s="128">
        <f t="shared" si="7"/>
        <v>1.73</v>
      </c>
      <c r="G24" s="130">
        <f>(D24+E24+F24)/(8.76*$C$63)</f>
        <v>54.935791526881872</v>
      </c>
      <c r="H24" s="128">
        <v>-24.666</v>
      </c>
      <c r="I24" s="130">
        <f>(G24+H24)</f>
        <v>30.269791526881871</v>
      </c>
      <c r="J24" s="130">
        <f t="shared" si="8"/>
        <v>78.22</v>
      </c>
      <c r="K24" s="128">
        <f t="shared" si="2"/>
        <v>141.96507246376811</v>
      </c>
      <c r="L24" s="119"/>
      <c r="N24" s="117"/>
      <c r="Q24" s="128"/>
      <c r="R24" s="128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si="6"/>
        <v>104.73</v>
      </c>
      <c r="E25" s="148">
        <v>38.724637681159422</v>
      </c>
      <c r="F25" s="128">
        <f t="shared" si="7"/>
        <v>1.77</v>
      </c>
      <c r="G25" s="130">
        <f t="shared" ref="G25:G37" si="9">(D25+E25+F25)/(8.76*$C$63)</f>
        <v>56.197135547232975</v>
      </c>
      <c r="H25" s="128">
        <v>-24.666</v>
      </c>
      <c r="I25" s="130">
        <f t="shared" ref="I25:I37" si="10">(G25+H25)</f>
        <v>31.531135547232974</v>
      </c>
      <c r="J25" s="130">
        <f t="shared" si="8"/>
        <v>81.48</v>
      </c>
      <c r="K25" s="128">
        <f t="shared" si="2"/>
        <v>145.22463768115944</v>
      </c>
      <c r="L25" s="119"/>
      <c r="N25" s="117"/>
      <c r="Q25" s="128"/>
      <c r="R25" s="128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6"/>
        <v>107.14</v>
      </c>
      <c r="E26" s="148">
        <v>39.608695652173914</v>
      </c>
      <c r="F26" s="128">
        <f t="shared" si="7"/>
        <v>1.81</v>
      </c>
      <c r="G26" s="130">
        <f t="shared" si="9"/>
        <v>57.48730580147587</v>
      </c>
      <c r="H26" s="128">
        <v>-25.457999999999998</v>
      </c>
      <c r="I26" s="130">
        <f t="shared" si="10"/>
        <v>32.029305801475871</v>
      </c>
      <c r="J26" s="130">
        <f t="shared" si="8"/>
        <v>82.77</v>
      </c>
      <c r="K26" s="128">
        <f t="shared" si="2"/>
        <v>148.55869565217392</v>
      </c>
      <c r="L26" s="119"/>
      <c r="N26" s="117"/>
      <c r="Q26" s="128"/>
      <c r="R26" s="128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6"/>
        <v>109.6</v>
      </c>
      <c r="E27" s="148">
        <v>40.507246376811594</v>
      </c>
      <c r="F27" s="128">
        <f t="shared" si="7"/>
        <v>1.85</v>
      </c>
      <c r="G27" s="130">
        <f t="shared" si="9"/>
        <v>58.802432620080339</v>
      </c>
      <c r="H27" s="128">
        <v>0</v>
      </c>
      <c r="I27" s="130">
        <f t="shared" si="10"/>
        <v>58.802432620080339</v>
      </c>
      <c r="J27" s="130">
        <f t="shared" si="8"/>
        <v>151.96</v>
      </c>
      <c r="K27" s="128">
        <f t="shared" si="2"/>
        <v>151.95724637681158</v>
      </c>
      <c r="L27" s="119"/>
      <c r="N27" s="117"/>
      <c r="Q27" s="128"/>
      <c r="R27" s="128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6"/>
        <v>112.12</v>
      </c>
      <c r="E28" s="148">
        <v>41.434782608695649</v>
      </c>
      <c r="F28" s="128">
        <f t="shared" si="7"/>
        <v>1.89</v>
      </c>
      <c r="G28" s="130">
        <f t="shared" si="9"/>
        <v>60.151993889287077</v>
      </c>
      <c r="H28" s="128">
        <v>0</v>
      </c>
      <c r="I28" s="130">
        <f t="shared" si="10"/>
        <v>60.151993889287077</v>
      </c>
      <c r="J28" s="130">
        <f t="shared" si="8"/>
        <v>155.44</v>
      </c>
      <c r="K28" s="128">
        <f t="shared" si="2"/>
        <v>155.44478260869565</v>
      </c>
      <c r="L28" s="119"/>
      <c r="N28" s="117"/>
      <c r="Q28" s="128"/>
      <c r="R28" s="128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6"/>
        <v>114.7</v>
      </c>
      <c r="E29" s="148">
        <v>42.376811594202898</v>
      </c>
      <c r="F29" s="128">
        <f t="shared" si="7"/>
        <v>1.93</v>
      </c>
      <c r="G29" s="130">
        <f t="shared" si="9"/>
        <v>61.530381392385621</v>
      </c>
      <c r="H29" s="128">
        <v>0</v>
      </c>
      <c r="I29" s="130">
        <f t="shared" si="10"/>
        <v>61.530381392385621</v>
      </c>
      <c r="J29" s="130">
        <f t="shared" si="8"/>
        <v>159.01</v>
      </c>
      <c r="K29" s="128">
        <f t="shared" si="2"/>
        <v>159.0068115942029</v>
      </c>
      <c r="L29" s="119"/>
      <c r="N29" s="117"/>
      <c r="Q29" s="128"/>
      <c r="R29" s="128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6"/>
        <v>117.34</v>
      </c>
      <c r="E30" s="148">
        <v>43.347826086956523</v>
      </c>
      <c r="F30" s="128">
        <f t="shared" si="7"/>
        <v>1.97</v>
      </c>
      <c r="G30" s="130">
        <f t="shared" si="9"/>
        <v>62.943203346086435</v>
      </c>
      <c r="H30" s="128">
        <v>0</v>
      </c>
      <c r="I30" s="130">
        <f t="shared" si="10"/>
        <v>62.943203346086435</v>
      </c>
      <c r="J30" s="130">
        <f t="shared" si="8"/>
        <v>162.66</v>
      </c>
      <c r="K30" s="128">
        <f t="shared" si="2"/>
        <v>162.65782608695653</v>
      </c>
      <c r="L30" s="119"/>
      <c r="N30" s="117"/>
      <c r="Q30" s="128"/>
      <c r="R30" s="128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6"/>
        <v>120.04</v>
      </c>
      <c r="E31" s="148">
        <v>44.333333333333336</v>
      </c>
      <c r="F31" s="128">
        <f t="shared" si="7"/>
        <v>2.02</v>
      </c>
      <c r="G31" s="130">
        <f t="shared" si="9"/>
        <v>64.388721203209258</v>
      </c>
      <c r="H31" s="128">
        <v>0</v>
      </c>
      <c r="I31" s="130">
        <f t="shared" si="10"/>
        <v>64.388721203209258</v>
      </c>
      <c r="J31" s="130">
        <f t="shared" si="8"/>
        <v>166.39</v>
      </c>
      <c r="K31" s="128">
        <f t="shared" si="2"/>
        <v>166.39333333333335</v>
      </c>
      <c r="L31" s="119"/>
      <c r="N31" s="117"/>
      <c r="Q31" s="128"/>
      <c r="R31" s="128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6"/>
        <v>122.8</v>
      </c>
      <c r="E32" s="148">
        <v>45.347826086956523</v>
      </c>
      <c r="F32" s="128">
        <f t="shared" si="7"/>
        <v>2.0699999999999998</v>
      </c>
      <c r="G32" s="130">
        <f t="shared" si="9"/>
        <v>65.868673510934343</v>
      </c>
      <c r="H32" s="128">
        <v>0</v>
      </c>
      <c r="I32" s="130">
        <f t="shared" si="10"/>
        <v>65.868673510934343</v>
      </c>
      <c r="J32" s="130">
        <f t="shared" si="8"/>
        <v>170.22</v>
      </c>
      <c r="K32" s="128">
        <f t="shared" si="2"/>
        <v>170.21782608695651</v>
      </c>
      <c r="L32" s="119"/>
      <c r="N32" s="117"/>
      <c r="Q32" s="128"/>
      <c r="R32" s="128"/>
      <c r="T32" s="161"/>
      <c r="U32" s="153"/>
      <c r="V32" s="153"/>
      <c r="W32" s="153"/>
      <c r="X32" s="159"/>
      <c r="Y32" s="153"/>
    </row>
    <row r="33" spans="2:18">
      <c r="B33" s="135">
        <f t="shared" si="0"/>
        <v>2039</v>
      </c>
      <c r="C33" s="136"/>
      <c r="D33" s="128">
        <f t="shared" si="6"/>
        <v>125.62</v>
      </c>
      <c r="E33" s="128">
        <f t="shared" si="6"/>
        <v>46.39</v>
      </c>
      <c r="F33" s="128">
        <f t="shared" si="7"/>
        <v>2.12</v>
      </c>
      <c r="G33" s="130">
        <f t="shared" si="9"/>
        <v>67.382555529757767</v>
      </c>
      <c r="H33" s="128">
        <v>0</v>
      </c>
      <c r="I33" s="130">
        <f t="shared" si="10"/>
        <v>67.382555529757767</v>
      </c>
      <c r="J33" s="130">
        <f t="shared" si="8"/>
        <v>174.13</v>
      </c>
      <c r="K33" s="128">
        <f t="shared" si="2"/>
        <v>174.13</v>
      </c>
      <c r="L33" s="119"/>
      <c r="N33" s="117"/>
      <c r="Q33" s="128"/>
      <c r="R33" s="128"/>
    </row>
    <row r="34" spans="2:18">
      <c r="B34" s="135">
        <f t="shared" si="0"/>
        <v>2040</v>
      </c>
      <c r="C34" s="136"/>
      <c r="D34" s="128">
        <f t="shared" ref="D34:E37" si="11">ROUND(D33*(1+(IFERROR(INDEX($D$66:$D$74,MATCH($B34,$C$66:$C$74,0),1),0)+IFERROR(INDEX($G$66:$G$74,MATCH($B34,$F$66:$F$74,0),1),0)+IFERROR(INDEX($J$66:$J$74,MATCH($B34,$I$66:$I$74,0),1),0))),2)</f>
        <v>128.51</v>
      </c>
      <c r="E34" s="128">
        <f t="shared" si="11"/>
        <v>47.46</v>
      </c>
      <c r="F34" s="128">
        <f t="shared" si="7"/>
        <v>2.17</v>
      </c>
      <c r="G34" s="130">
        <f t="shared" si="9"/>
        <v>68.934293011376838</v>
      </c>
      <c r="H34" s="128">
        <v>0</v>
      </c>
      <c r="I34" s="130">
        <f t="shared" si="10"/>
        <v>68.934293011376838</v>
      </c>
      <c r="J34" s="130">
        <f t="shared" si="8"/>
        <v>178.14</v>
      </c>
      <c r="K34" s="128">
        <f t="shared" si="2"/>
        <v>178.14</v>
      </c>
      <c r="L34" s="119"/>
      <c r="N34" s="117"/>
      <c r="Q34" s="128"/>
      <c r="R34" s="128"/>
    </row>
    <row r="35" spans="2:18">
      <c r="B35" s="135">
        <f t="shared" si="0"/>
        <v>2041</v>
      </c>
      <c r="C35" s="136"/>
      <c r="D35" s="128">
        <f t="shared" si="11"/>
        <v>131.34</v>
      </c>
      <c r="E35" s="128">
        <f t="shared" si="11"/>
        <v>48.5</v>
      </c>
      <c r="F35" s="128">
        <f t="shared" si="7"/>
        <v>2.2200000000000002</v>
      </c>
      <c r="G35" s="130">
        <f t="shared" si="9"/>
        <v>70.451203467223905</v>
      </c>
      <c r="H35" s="128">
        <v>0</v>
      </c>
      <c r="I35" s="130">
        <f t="shared" si="10"/>
        <v>70.451203467223905</v>
      </c>
      <c r="J35" s="130">
        <f t="shared" si="8"/>
        <v>182.06</v>
      </c>
      <c r="K35" s="128">
        <f t="shared" si="2"/>
        <v>182.06</v>
      </c>
      <c r="L35" s="119"/>
      <c r="N35" s="117"/>
      <c r="Q35" s="128"/>
      <c r="R35" s="128"/>
    </row>
    <row r="36" spans="2:18">
      <c r="B36" s="135">
        <f t="shared" si="0"/>
        <v>2042</v>
      </c>
      <c r="C36" s="136"/>
      <c r="D36" s="128">
        <f t="shared" si="11"/>
        <v>134.22999999999999</v>
      </c>
      <c r="E36" s="128">
        <f t="shared" si="11"/>
        <v>49.57</v>
      </c>
      <c r="F36" s="128">
        <f t="shared" si="7"/>
        <v>2.27</v>
      </c>
      <c r="G36" s="130">
        <f t="shared" si="9"/>
        <v>72.002940948842976</v>
      </c>
      <c r="H36" s="128">
        <v>0</v>
      </c>
      <c r="I36" s="130">
        <f t="shared" si="10"/>
        <v>72.002940948842976</v>
      </c>
      <c r="J36" s="130">
        <f t="shared" si="8"/>
        <v>186.07</v>
      </c>
      <c r="K36" s="128">
        <f t="shared" si="2"/>
        <v>186.07</v>
      </c>
      <c r="L36" s="119"/>
      <c r="N36" s="117"/>
      <c r="Q36" s="128"/>
      <c r="R36" s="128"/>
    </row>
    <row r="37" spans="2:18">
      <c r="B37" s="135">
        <f t="shared" si="0"/>
        <v>2043</v>
      </c>
      <c r="C37" s="136"/>
      <c r="D37" s="128">
        <f t="shared" si="11"/>
        <v>137.32</v>
      </c>
      <c r="E37" s="128">
        <f t="shared" si="11"/>
        <v>50.71</v>
      </c>
      <c r="F37" s="128">
        <f t="shared" si="7"/>
        <v>2.3199999999999998</v>
      </c>
      <c r="G37" s="130">
        <f t="shared" si="9"/>
        <v>73.659159507778043</v>
      </c>
      <c r="H37" s="128">
        <v>0</v>
      </c>
      <c r="I37" s="130">
        <f t="shared" si="10"/>
        <v>73.659159507778043</v>
      </c>
      <c r="J37" s="130">
        <f t="shared" si="8"/>
        <v>190.35</v>
      </c>
      <c r="K37" s="128">
        <f t="shared" si="2"/>
        <v>190.35</v>
      </c>
      <c r="L37" s="119"/>
      <c r="Q37" s="128"/>
      <c r="R37" s="128"/>
    </row>
    <row r="38" spans="2:18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</row>
    <row r="39" spans="2:18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Q39" s="373"/>
      <c r="R39" s="373"/>
    </row>
    <row r="40" spans="2:18">
      <c r="B40" s="126"/>
      <c r="C40" s="131"/>
      <c r="D40" s="128"/>
      <c r="E40" s="128"/>
      <c r="F40" s="129"/>
      <c r="G40" s="128"/>
      <c r="H40" s="128"/>
      <c r="I40" s="130"/>
      <c r="J40" s="130"/>
      <c r="K40" s="137"/>
    </row>
    <row r="42" spans="2:18" ht="14.25">
      <c r="B42" s="138" t="s">
        <v>25</v>
      </c>
      <c r="C42" s="139"/>
      <c r="D42" s="139"/>
      <c r="E42" s="139"/>
      <c r="F42" s="139"/>
      <c r="G42" s="139"/>
      <c r="H42" s="139"/>
    </row>
    <row r="44" spans="2:18">
      <c r="B44" s="117" t="s">
        <v>62</v>
      </c>
      <c r="C44" s="140" t="s">
        <v>63</v>
      </c>
      <c r="D44" s="141" t="s">
        <v>101</v>
      </c>
    </row>
    <row r="45" spans="2:18">
      <c r="C45" s="140" t="str">
        <f>C7</f>
        <v>(a)</v>
      </c>
      <c r="D45" s="117" t="s">
        <v>64</v>
      </c>
    </row>
    <row r="46" spans="2:18">
      <c r="C46" s="140" t="str">
        <f>D7</f>
        <v>(b)</v>
      </c>
      <c r="D46" s="130" t="str">
        <f>"= "&amp;C7&amp;" x "&amp;C62</f>
        <v>= (a) x 0.0689863805027125</v>
      </c>
    </row>
    <row r="47" spans="2:18">
      <c r="C47" s="140" t="str">
        <f>G7</f>
        <v>(e)</v>
      </c>
      <c r="D47" s="130" t="str">
        <f>"= ("&amp;$D$7&amp;" + "&amp;$E$7&amp;") /  (8.76 x "&amp;TEXT(C63,"0.0%")&amp;")"</f>
        <v>= ((b) + (c)) /  (8.76 x 29.5%)</v>
      </c>
    </row>
    <row r="48" spans="2:18">
      <c r="C48" s="140" t="str">
        <f>I7</f>
        <v>(g)</v>
      </c>
      <c r="D48" s="130" t="str">
        <f>"= "&amp;$G$7&amp;" + "&amp;$H$7</f>
        <v>= (e) + (f)</v>
      </c>
    </row>
    <row r="49" spans="2:27">
      <c r="C49" s="140" t="str">
        <f>K7</f>
        <v>(i)</v>
      </c>
      <c r="D49" s="85" t="str">
        <f>D44</f>
        <v>Plant Costs  - 2019 IRP Update - Table 6.1 &amp; 6.2</v>
      </c>
    </row>
    <row r="50" spans="2:27">
      <c r="C50" s="140"/>
      <c r="D50" s="130"/>
    </row>
    <row r="51" spans="2:27" ht="13.5" thickBot="1"/>
    <row r="52" spans="2:27" ht="13.5" thickBot="1">
      <c r="C52" s="42" t="str">
        <f>B2&amp;" - "&amp;B3</f>
        <v>2019 IRP Utah Wind Resource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7" ht="13.5" thickBot="1">
      <c r="C53" s="145" t="s">
        <v>65</v>
      </c>
      <c r="D53" s="146" t="s">
        <v>66</v>
      </c>
      <c r="E53" s="146"/>
      <c r="F53" s="146"/>
      <c r="G53" s="146"/>
      <c r="H53" s="146"/>
      <c r="I53" s="143"/>
      <c r="J53" s="143"/>
      <c r="K53" s="144"/>
    </row>
    <row r="54" spans="2:27">
      <c r="P54" s="117" t="s">
        <v>102</v>
      </c>
      <c r="Q54" s="277">
        <v>2023</v>
      </c>
    </row>
    <row r="55" spans="2:27">
      <c r="B55" s="85" t="s">
        <v>100</v>
      </c>
      <c r="C55" s="374">
        <v>1301.4978814276944</v>
      </c>
      <c r="D55" s="117" t="s">
        <v>64</v>
      </c>
      <c r="T55" s="117" t="str">
        <f>$Q$56&amp;"Proposed Station Capital Costs"</f>
        <v>H3.US1_WD_CPProposed Station Capital Costs</v>
      </c>
    </row>
    <row r="56" spans="2:27">
      <c r="B56" s="85" t="s">
        <v>100</v>
      </c>
      <c r="C56" s="148">
        <v>28.802174620531375</v>
      </c>
      <c r="D56" s="117" t="s">
        <v>67</v>
      </c>
      <c r="O56" s="117">
        <v>69</v>
      </c>
      <c r="P56" s="117" t="s">
        <v>32</v>
      </c>
      <c r="Q56" s="277" t="s">
        <v>228</v>
      </c>
      <c r="T56" s="117" t="str">
        <f>Q56&amp;"Proposed Station Fixed Costs"</f>
        <v>H3.US1_WD_CPProposed Station Fixed Costs</v>
      </c>
      <c r="AA56" s="278"/>
    </row>
    <row r="57" spans="2:27" ht="24" customHeight="1">
      <c r="B57" s="85"/>
      <c r="C57" s="153"/>
      <c r="D57" s="117" t="s">
        <v>104</v>
      </c>
    </row>
    <row r="58" spans="2:27">
      <c r="B58" s="85" t="s">
        <v>100</v>
      </c>
      <c r="C58" s="148">
        <v>0</v>
      </c>
      <c r="D58" s="117" t="s">
        <v>68</v>
      </c>
      <c r="K58" s="119"/>
      <c r="L58" s="375"/>
      <c r="M58" s="52"/>
      <c r="N58" s="163"/>
      <c r="O58" s="52"/>
      <c r="P58" s="52"/>
      <c r="Q58" s="119"/>
      <c r="R58" s="119"/>
      <c r="U58" s="119"/>
      <c r="V58" s="119"/>
      <c r="W58" s="119"/>
      <c r="X58" s="119"/>
      <c r="Y58" s="119"/>
    </row>
    <row r="59" spans="2:27">
      <c r="B59" s="85"/>
      <c r="C59" s="158"/>
      <c r="D59" s="117" t="s">
        <v>69</v>
      </c>
      <c r="I59" s="376" t="s">
        <v>90</v>
      </c>
      <c r="L59" s="377"/>
      <c r="M59" s="152"/>
      <c r="O59" s="150"/>
      <c r="P59" s="119"/>
      <c r="Q59" s="213" t="str">
        <f>Q56&amp;Q54</f>
        <v>H3.US1_WD_CP2023</v>
      </c>
      <c r="R59" s="119"/>
      <c r="U59" s="119"/>
      <c r="V59" s="119"/>
      <c r="W59" s="119"/>
      <c r="X59" s="119"/>
      <c r="Y59" s="119"/>
    </row>
    <row r="60" spans="2:27">
      <c r="B60" s="369" t="s">
        <v>236</v>
      </c>
      <c r="C60" s="153">
        <v>1.4680258019147514</v>
      </c>
      <c r="D60" s="117" t="s">
        <v>217</v>
      </c>
      <c r="F60" s="117" t="s">
        <v>220</v>
      </c>
      <c r="K60" s="377"/>
      <c r="L60" s="377"/>
      <c r="M60" s="377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377"/>
      <c r="L61" s="377"/>
      <c r="M61" s="377"/>
      <c r="N61" s="164"/>
      <c r="O61" s="377"/>
      <c r="R61" s="119"/>
      <c r="T61" s="119"/>
      <c r="U61" s="119"/>
      <c r="V61" s="119"/>
      <c r="W61" s="119"/>
      <c r="X61" s="119"/>
      <c r="Y61" s="119"/>
    </row>
    <row r="62" spans="2:27">
      <c r="C62" s="378">
        <v>6.898638050271251E-2</v>
      </c>
      <c r="D62" s="117" t="s">
        <v>36</v>
      </c>
      <c r="K62" s="289"/>
      <c r="L62" s="156"/>
      <c r="M62" s="156"/>
      <c r="O62" s="157"/>
    </row>
    <row r="63" spans="2:27">
      <c r="C63" s="379">
        <v>0.29499999999999998</v>
      </c>
      <c r="D63" s="117" t="s">
        <v>37</v>
      </c>
    </row>
    <row r="64" spans="2:27" ht="13.5" thickBot="1">
      <c r="D64" s="154"/>
    </row>
    <row r="65" spans="3:14" ht="13.5" thickBot="1">
      <c r="C65" s="40" t="s">
        <v>237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3.2000000000000001E-2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2.1999999999999999E-2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2.1999999999999999E-2</v>
      </c>
      <c r="N72" s="164"/>
    </row>
    <row r="73" spans="3:14" s="119" customFormat="1">
      <c r="C73" s="87">
        <f t="shared" si="12"/>
        <v>2024</v>
      </c>
      <c r="D73" s="41">
        <v>2.1999999999999999E-2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2.1999999999999999E-2</v>
      </c>
      <c r="N73" s="164"/>
    </row>
    <row r="74" spans="3:14" s="119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2.3E-2</v>
      </c>
      <c r="H74" s="41"/>
      <c r="I74" s="87">
        <f t="shared" si="14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102"/>
  <sheetViews>
    <sheetView topLeftCell="A4" zoomScale="70" zoomScaleNormal="70" workbookViewId="0">
      <selection activeCell="I26" sqref="I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9.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61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98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13</v>
      </c>
      <c r="I5" s="121" t="s">
        <v>103</v>
      </c>
      <c r="J5" s="121" t="s">
        <v>72</v>
      </c>
      <c r="K5" s="17" t="s">
        <v>52</v>
      </c>
      <c r="L5" s="121" t="s">
        <v>223</v>
      </c>
      <c r="N5" s="213"/>
      <c r="O5" s="213"/>
      <c r="Q5" s="213"/>
      <c r="S5" s="275"/>
      <c r="U5" s="272"/>
      <c r="V5" s="273"/>
      <c r="W5" s="272"/>
      <c r="X5" s="273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76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2019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2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8"/>
      <c r="F12" s="148"/>
      <c r="G12" s="130"/>
      <c r="H12" s="148"/>
      <c r="I12" s="128"/>
      <c r="J12" s="130"/>
      <c r="K12" s="130"/>
      <c r="L12" s="128">
        <f t="shared" ref="L12:L37" si="1">(D12+E12+F12)</f>
        <v>0</v>
      </c>
      <c r="M12" s="119"/>
      <c r="O12" s="117"/>
      <c r="S12" s="148"/>
      <c r="U12" s="161"/>
      <c r="V12" s="153"/>
      <c r="W12" s="153"/>
    </row>
    <row r="13" spans="2:25">
      <c r="B13" s="135">
        <f t="shared" si="0"/>
        <v>2019</v>
      </c>
      <c r="C13" s="136"/>
      <c r="D13" s="128"/>
      <c r="E13" s="148"/>
      <c r="F13" s="148"/>
      <c r="G13" s="130"/>
      <c r="H13" s="128"/>
      <c r="I13" s="128"/>
      <c r="J13" s="130"/>
      <c r="K13" s="130"/>
      <c r="L13" s="128">
        <f t="shared" si="1"/>
        <v>0</v>
      </c>
      <c r="M13" s="119"/>
      <c r="O13" s="117"/>
      <c r="W13" s="153"/>
    </row>
    <row r="14" spans="2:25">
      <c r="B14" s="135">
        <f t="shared" si="0"/>
        <v>2020</v>
      </c>
      <c r="C14" s="136"/>
      <c r="D14" s="128"/>
      <c r="E14" s="128"/>
      <c r="F14" s="128"/>
      <c r="G14" s="130"/>
      <c r="H14" s="128"/>
      <c r="I14" s="128"/>
      <c r="J14" s="130"/>
      <c r="K14" s="130"/>
      <c r="L14" s="128">
        <f t="shared" si="1"/>
        <v>0</v>
      </c>
      <c r="M14" s="119"/>
      <c r="O14" s="117"/>
      <c r="P14" s="132"/>
      <c r="Q14" s="133"/>
      <c r="R14" s="134"/>
      <c r="W14" s="153"/>
    </row>
    <row r="15" spans="2:25">
      <c r="B15" s="135">
        <f t="shared" si="0"/>
        <v>2021</v>
      </c>
      <c r="C15" s="136"/>
      <c r="D15" s="128"/>
      <c r="E15" s="128"/>
      <c r="F15" s="128"/>
      <c r="G15" s="130"/>
      <c r="H15" s="128"/>
      <c r="I15" s="128"/>
      <c r="J15" s="130"/>
      <c r="K15" s="130"/>
      <c r="L15" s="128">
        <f t="shared" si="1"/>
        <v>0</v>
      </c>
      <c r="M15" s="119"/>
      <c r="O15" s="117"/>
      <c r="P15" s="271"/>
      <c r="Q15" s="133"/>
      <c r="R15" s="134"/>
      <c r="W15" s="153"/>
    </row>
    <row r="16" spans="2:25">
      <c r="B16" s="135">
        <f t="shared" si="0"/>
        <v>2022</v>
      </c>
      <c r="C16" s="136"/>
      <c r="D16" s="128"/>
      <c r="E16" s="128"/>
      <c r="F16" s="128"/>
      <c r="G16" s="130"/>
      <c r="H16" s="128"/>
      <c r="I16" s="128"/>
      <c r="J16" s="130"/>
      <c r="K16" s="130"/>
      <c r="L16" s="128">
        <f t="shared" si="1"/>
        <v>0</v>
      </c>
      <c r="M16" s="119"/>
      <c r="O16" s="117"/>
      <c r="W16" s="153"/>
    </row>
    <row r="17" spans="2:26">
      <c r="B17" s="135">
        <f t="shared" si="0"/>
        <v>2023</v>
      </c>
      <c r="C17" s="136"/>
      <c r="D17" s="128"/>
      <c r="E17" s="128"/>
      <c r="F17" s="128"/>
      <c r="G17" s="130"/>
      <c r="H17" s="128"/>
      <c r="I17" s="128"/>
      <c r="J17" s="130"/>
      <c r="K17" s="130"/>
      <c r="L17" s="128">
        <f t="shared" si="1"/>
        <v>0</v>
      </c>
      <c r="M17" s="119"/>
      <c r="O17" s="117"/>
      <c r="P17" s="132"/>
      <c r="W17" s="153"/>
    </row>
    <row r="18" spans="2:26">
      <c r="B18" s="135">
        <f t="shared" si="0"/>
        <v>2024</v>
      </c>
      <c r="C18" s="347">
        <v>1252.8729166666667</v>
      </c>
      <c r="D18" s="128">
        <f>C18*$C$62</f>
        <v>86.431167750709889</v>
      </c>
      <c r="E18" s="268">
        <v>32.969791666666666</v>
      </c>
      <c r="F18" s="370">
        <f>C60</f>
        <v>47.870308055404152</v>
      </c>
      <c r="G18" s="130">
        <f>(D18+E18+F18)/(8.76*$C$63)</f>
        <v>43.795627401653867</v>
      </c>
      <c r="H18" s="128"/>
      <c r="I18" s="128">
        <v>0</v>
      </c>
      <c r="J18" s="130">
        <f>(G18+H18+I18)</f>
        <v>43.795627401653867</v>
      </c>
      <c r="K18" s="130">
        <f t="shared" ref="K18:K32" si="2">ROUND(J18*$C$63*8.76,2)</f>
        <v>167.27</v>
      </c>
      <c r="L18" s="128">
        <f t="shared" si="1"/>
        <v>167.27126747278072</v>
      </c>
      <c r="M18" s="119"/>
      <c r="O18" s="117"/>
      <c r="Q18" s="130"/>
      <c r="U18" s="161"/>
      <c r="V18" s="153"/>
      <c r="W18" s="153"/>
      <c r="X18" s="153"/>
      <c r="Y18" s="153"/>
      <c r="Z18" s="153"/>
    </row>
    <row r="19" spans="2:26">
      <c r="B19" s="135">
        <f t="shared" si="0"/>
        <v>2025</v>
      </c>
      <c r="C19" s="136"/>
      <c r="D19" s="128">
        <f t="shared" ref="D19:D37" si="3">ROUND(D18*(1+(IFERROR(INDEX($D$66:$D$74,MATCH($B19,$C$66:$C$74,0),1),0)+IFERROR(INDEX($G$66:$G$74,MATCH($B19,$F$66:$F$74,0),1),0)+IFERROR(INDEX($J$66:$J$74,MATCH($B19,$I$66:$I$74,0),1),0))),2)</f>
        <v>88.42</v>
      </c>
      <c r="E19" s="268">
        <v>33.73020833333333</v>
      </c>
      <c r="F19" s="128">
        <f t="shared" ref="F19:F37" si="4">ROUND(F18*(1+(IFERROR(INDEX($D$66:$D$74,MATCH($B19,$C$66:$C$74,0),1),0)+IFERROR(INDEX($G$66:$G$74,MATCH($B19,$F$66:$F$74,0),1),0)+IFERROR(INDEX($J$66:$J$74,MATCH($B19,$I$66:$I$74,0),1),0))),2)</f>
        <v>48.97</v>
      </c>
      <c r="G19" s="130">
        <f t="shared" ref="G19:G37" si="5">(D19+E19+F19)/(8.76*$C$63)</f>
        <v>44.8033723800148</v>
      </c>
      <c r="H19" s="128"/>
      <c r="I19" s="128">
        <f t="shared" ref="I19:I27" si="6">ROUND(I18*(1+(IFERROR(INDEX($D$66:$D$74,MATCH($B19,$C$66:$C$74,0),1),0)+IFERROR(INDEX($G$66:$G$74,MATCH($B19,$F$66:$F$74,0),1),0)+IFERROR(INDEX($J$66:$J$74,MATCH($B19,$I$66:$I$74,0),1),0))),2)</f>
        <v>0</v>
      </c>
      <c r="J19" s="130">
        <f t="shared" ref="J19:J37" si="7">(G19+H19+I19)</f>
        <v>44.8033723800148</v>
      </c>
      <c r="K19" s="130">
        <f t="shared" si="2"/>
        <v>171.12</v>
      </c>
      <c r="L19" s="128">
        <f t="shared" si="1"/>
        <v>171.12020833333332</v>
      </c>
      <c r="M19" s="119"/>
      <c r="O19" s="117"/>
      <c r="Q19" s="130"/>
      <c r="U19" s="161"/>
      <c r="V19" s="153"/>
      <c r="W19" s="153"/>
      <c r="X19" s="153"/>
      <c r="Y19" s="153"/>
      <c r="Z19" s="153"/>
    </row>
    <row r="20" spans="2:26">
      <c r="B20" s="135">
        <f t="shared" si="0"/>
        <v>2026</v>
      </c>
      <c r="C20" s="136"/>
      <c r="D20" s="128">
        <f t="shared" si="3"/>
        <v>90.45</v>
      </c>
      <c r="E20" s="268">
        <v>34.490104166666669</v>
      </c>
      <c r="F20" s="128">
        <f t="shared" si="4"/>
        <v>50.1</v>
      </c>
      <c r="G20" s="130">
        <f t="shared" si="5"/>
        <v>45.829695071076486</v>
      </c>
      <c r="H20" s="128"/>
      <c r="I20" s="128">
        <f t="shared" si="6"/>
        <v>0</v>
      </c>
      <c r="J20" s="130">
        <f t="shared" si="7"/>
        <v>45.829695071076486</v>
      </c>
      <c r="K20" s="130">
        <f t="shared" si="2"/>
        <v>175.04</v>
      </c>
      <c r="L20" s="128">
        <f t="shared" si="1"/>
        <v>175.04010416666668</v>
      </c>
      <c r="M20" s="119"/>
      <c r="O20" s="117"/>
      <c r="Q20" s="130"/>
      <c r="S20" s="153"/>
      <c r="U20" s="161"/>
      <c r="V20" s="153"/>
      <c r="W20" s="153"/>
      <c r="X20" s="153"/>
      <c r="Y20" s="153"/>
      <c r="Z20" s="153"/>
    </row>
    <row r="21" spans="2:26">
      <c r="B21" s="135">
        <f t="shared" si="0"/>
        <v>2027</v>
      </c>
      <c r="C21" s="136"/>
      <c r="D21" s="128">
        <f t="shared" si="3"/>
        <v>92.53</v>
      </c>
      <c r="E21" s="268">
        <v>35.280208333333334</v>
      </c>
      <c r="F21" s="128">
        <f t="shared" si="4"/>
        <v>51.25</v>
      </c>
      <c r="G21" s="130">
        <f t="shared" si="5"/>
        <v>46.882254705849491</v>
      </c>
      <c r="H21" s="198">
        <v>1</v>
      </c>
      <c r="I21" s="128">
        <f t="shared" si="6"/>
        <v>0</v>
      </c>
      <c r="J21" s="130">
        <f t="shared" si="7"/>
        <v>47.882254705849491</v>
      </c>
      <c r="K21" s="130">
        <f t="shared" si="2"/>
        <v>182.88</v>
      </c>
      <c r="L21" s="128">
        <f t="shared" si="1"/>
        <v>179.06020833333332</v>
      </c>
      <c r="M21" s="119"/>
      <c r="O21" s="117"/>
      <c r="Q21" s="130"/>
      <c r="S21" s="153"/>
      <c r="U21" s="161"/>
      <c r="V21" s="153"/>
      <c r="W21" s="153"/>
      <c r="X21" s="153"/>
      <c r="Y21" s="153"/>
      <c r="Z21" s="153"/>
    </row>
    <row r="22" spans="2:26">
      <c r="B22" s="135">
        <f t="shared" si="0"/>
        <v>2028</v>
      </c>
      <c r="C22" s="136"/>
      <c r="D22" s="128">
        <f t="shared" si="3"/>
        <v>94.66</v>
      </c>
      <c r="E22" s="268">
        <v>36.09010416666667</v>
      </c>
      <c r="F22" s="128">
        <f t="shared" si="4"/>
        <v>52.43</v>
      </c>
      <c r="G22" s="130">
        <f t="shared" si="5"/>
        <v>47.960942191012805</v>
      </c>
      <c r="H22" s="198">
        <v>1</v>
      </c>
      <c r="I22" s="128">
        <f t="shared" si="6"/>
        <v>0</v>
      </c>
      <c r="J22" s="130">
        <f t="shared" si="7"/>
        <v>48.960942191012805</v>
      </c>
      <c r="K22" s="130">
        <f t="shared" si="2"/>
        <v>187</v>
      </c>
      <c r="L22" s="128">
        <f t="shared" si="1"/>
        <v>183.18010416666667</v>
      </c>
      <c r="M22" s="119"/>
      <c r="O22" s="117"/>
      <c r="Q22" s="130"/>
      <c r="S22" s="153"/>
      <c r="U22" s="161"/>
      <c r="V22" s="153"/>
      <c r="W22" s="153"/>
      <c r="X22" s="153"/>
      <c r="Y22" s="153"/>
      <c r="Z22" s="153"/>
    </row>
    <row r="23" spans="2:26">
      <c r="B23" s="135">
        <f t="shared" si="0"/>
        <v>2029</v>
      </c>
      <c r="C23" s="136"/>
      <c r="D23" s="128">
        <f t="shared" si="3"/>
        <v>96.93</v>
      </c>
      <c r="E23" s="268">
        <v>36.90989583333333</v>
      </c>
      <c r="F23" s="128">
        <f t="shared" si="4"/>
        <v>53.69</v>
      </c>
      <c r="G23" s="130">
        <f t="shared" si="5"/>
        <v>49.09982191606273</v>
      </c>
      <c r="H23" s="198">
        <v>1</v>
      </c>
      <c r="I23" s="128">
        <f t="shared" si="6"/>
        <v>0</v>
      </c>
      <c r="J23" s="130">
        <f t="shared" si="7"/>
        <v>50.09982191606273</v>
      </c>
      <c r="K23" s="130">
        <f t="shared" si="2"/>
        <v>191.35</v>
      </c>
      <c r="L23" s="128">
        <f t="shared" si="1"/>
        <v>187.52989583333334</v>
      </c>
      <c r="M23" s="119"/>
      <c r="O23" s="117"/>
      <c r="Q23" s="130"/>
      <c r="S23" s="153"/>
      <c r="U23" s="161"/>
      <c r="V23" s="153"/>
      <c r="W23" s="153"/>
      <c r="X23" s="153"/>
      <c r="Y23" s="153"/>
      <c r="Z23" s="153"/>
    </row>
    <row r="24" spans="2:26">
      <c r="B24" s="135">
        <f t="shared" si="0"/>
        <v>2030</v>
      </c>
      <c r="C24" s="136"/>
      <c r="D24" s="128">
        <f t="shared" si="3"/>
        <v>99.16</v>
      </c>
      <c r="E24" s="268">
        <v>37.75</v>
      </c>
      <c r="F24" s="128">
        <f t="shared" si="4"/>
        <v>54.92</v>
      </c>
      <c r="G24" s="130">
        <f t="shared" si="5"/>
        <v>50.225692262578015</v>
      </c>
      <c r="H24" s="198">
        <v>1</v>
      </c>
      <c r="I24" s="128">
        <f t="shared" si="6"/>
        <v>0</v>
      </c>
      <c r="J24" s="130">
        <f t="shared" si="7"/>
        <v>51.225692262578015</v>
      </c>
      <c r="K24" s="130">
        <f t="shared" si="2"/>
        <v>195.65</v>
      </c>
      <c r="L24" s="128">
        <f t="shared" si="1"/>
        <v>191.82999999999998</v>
      </c>
      <c r="M24" s="119"/>
      <c r="O24" s="117"/>
      <c r="Q24" s="130"/>
      <c r="S24" s="153"/>
      <c r="U24" s="161"/>
      <c r="V24" s="153"/>
      <c r="W24" s="153"/>
      <c r="X24" s="153"/>
      <c r="Y24" s="153"/>
      <c r="Z24" s="153"/>
    </row>
    <row r="25" spans="2:26">
      <c r="B25" s="135">
        <f t="shared" si="0"/>
        <v>2031</v>
      </c>
      <c r="C25" s="136"/>
      <c r="D25" s="128">
        <f t="shared" si="3"/>
        <v>101.44</v>
      </c>
      <c r="E25" s="268">
        <v>38.609895833333333</v>
      </c>
      <c r="F25" s="128">
        <f t="shared" si="4"/>
        <v>56.18</v>
      </c>
      <c r="G25" s="130">
        <f t="shared" si="5"/>
        <v>51.37769045948361</v>
      </c>
      <c r="H25" s="198">
        <v>1</v>
      </c>
      <c r="I25" s="128">
        <f t="shared" si="6"/>
        <v>0</v>
      </c>
      <c r="J25" s="130">
        <f t="shared" si="7"/>
        <v>52.37769045948361</v>
      </c>
      <c r="K25" s="130">
        <f t="shared" si="2"/>
        <v>200.05</v>
      </c>
      <c r="L25" s="128">
        <f t="shared" si="1"/>
        <v>196.22989583333333</v>
      </c>
      <c r="M25" s="119"/>
      <c r="O25" s="117"/>
      <c r="Q25" s="130"/>
      <c r="S25" s="153"/>
      <c r="U25" s="161"/>
      <c r="V25" s="153"/>
      <c r="W25" s="153"/>
      <c r="X25" s="153"/>
      <c r="Y25" s="153"/>
      <c r="Z25" s="153"/>
    </row>
    <row r="26" spans="2:26">
      <c r="B26" s="135">
        <f t="shared" si="0"/>
        <v>2032</v>
      </c>
      <c r="C26" s="136"/>
      <c r="D26" s="128">
        <f t="shared" si="3"/>
        <v>103.77</v>
      </c>
      <c r="E26" s="268">
        <v>39.490104166666669</v>
      </c>
      <c r="F26" s="128">
        <f t="shared" si="4"/>
        <v>57.47</v>
      </c>
      <c r="G26" s="130">
        <f t="shared" si="5"/>
        <v>52.555952873430805</v>
      </c>
      <c r="H26" s="198">
        <v>1</v>
      </c>
      <c r="I26" s="128">
        <f t="shared" si="6"/>
        <v>0</v>
      </c>
      <c r="J26" s="130">
        <f t="shared" si="7"/>
        <v>53.555952873430805</v>
      </c>
      <c r="K26" s="130">
        <f t="shared" si="2"/>
        <v>204.55</v>
      </c>
      <c r="L26" s="128">
        <f t="shared" si="1"/>
        <v>200.73010416666668</v>
      </c>
      <c r="M26" s="119"/>
      <c r="O26" s="117"/>
      <c r="Q26" s="130"/>
      <c r="S26" s="153"/>
      <c r="U26" s="161"/>
      <c r="V26" s="153"/>
      <c r="W26" s="153"/>
      <c r="X26" s="153"/>
      <c r="Y26" s="153"/>
      <c r="Z26" s="153"/>
    </row>
    <row r="27" spans="2:26">
      <c r="B27" s="135">
        <f t="shared" si="0"/>
        <v>2033</v>
      </c>
      <c r="C27" s="136"/>
      <c r="D27" s="128">
        <f t="shared" si="3"/>
        <v>106.16</v>
      </c>
      <c r="E27" s="268">
        <v>40.390104166666667</v>
      </c>
      <c r="F27" s="128">
        <f t="shared" si="4"/>
        <v>58.79</v>
      </c>
      <c r="G27" s="130">
        <f t="shared" si="5"/>
        <v>53.76296137747336</v>
      </c>
      <c r="H27" s="198">
        <v>1</v>
      </c>
      <c r="I27" s="128">
        <f t="shared" si="6"/>
        <v>0</v>
      </c>
      <c r="J27" s="130">
        <f t="shared" si="7"/>
        <v>54.76296137747336</v>
      </c>
      <c r="K27" s="130">
        <f t="shared" si="2"/>
        <v>209.16</v>
      </c>
      <c r="L27" s="128">
        <f t="shared" si="1"/>
        <v>205.34010416666666</v>
      </c>
      <c r="M27" s="119"/>
      <c r="O27" s="117"/>
      <c r="Q27" s="130"/>
      <c r="S27" s="153"/>
      <c r="U27" s="161"/>
      <c r="V27" s="153"/>
      <c r="W27" s="153"/>
      <c r="X27" s="153"/>
      <c r="Y27" s="153"/>
      <c r="Z27" s="153"/>
    </row>
    <row r="28" spans="2:26">
      <c r="B28" s="135">
        <f t="shared" si="0"/>
        <v>2034</v>
      </c>
      <c r="C28" s="136"/>
      <c r="D28" s="128">
        <f t="shared" si="3"/>
        <v>108.6</v>
      </c>
      <c r="E28" s="268">
        <v>41.309895833333336</v>
      </c>
      <c r="F28" s="128">
        <f t="shared" si="4"/>
        <v>60.14</v>
      </c>
      <c r="G28" s="130">
        <f t="shared" si="5"/>
        <v>54.996097731906211</v>
      </c>
      <c r="H28" s="198">
        <v>1</v>
      </c>
      <c r="I28" s="128"/>
      <c r="J28" s="130">
        <f t="shared" si="7"/>
        <v>55.996097731906211</v>
      </c>
      <c r="K28" s="130">
        <f t="shared" si="2"/>
        <v>213.87</v>
      </c>
      <c r="L28" s="128">
        <f t="shared" si="1"/>
        <v>210.04989583333332</v>
      </c>
      <c r="M28" s="119"/>
      <c r="O28" s="117"/>
      <c r="Q28" s="130"/>
      <c r="S28" s="153"/>
      <c r="U28" s="161"/>
      <c r="V28" s="153"/>
      <c r="W28" s="153"/>
      <c r="X28" s="153"/>
      <c r="Y28" s="153"/>
      <c r="Z28" s="153"/>
    </row>
    <row r="29" spans="2:26">
      <c r="B29" s="135">
        <f t="shared" si="0"/>
        <v>2035</v>
      </c>
      <c r="C29" s="136"/>
      <c r="D29" s="128">
        <f t="shared" si="3"/>
        <v>111.1</v>
      </c>
      <c r="E29" s="268">
        <v>42.25</v>
      </c>
      <c r="F29" s="128">
        <f t="shared" si="4"/>
        <v>61.52</v>
      </c>
      <c r="G29" s="130">
        <f t="shared" si="5"/>
        <v>56.258116543085755</v>
      </c>
      <c r="H29" s="198">
        <v>1</v>
      </c>
      <c r="I29" s="128"/>
      <c r="J29" s="130">
        <f t="shared" si="7"/>
        <v>57.258116543085755</v>
      </c>
      <c r="K29" s="130">
        <f t="shared" si="2"/>
        <v>218.69</v>
      </c>
      <c r="L29" s="128">
        <f t="shared" si="1"/>
        <v>214.87</v>
      </c>
      <c r="M29" s="119"/>
      <c r="O29" s="117"/>
      <c r="Q29" s="130"/>
      <c r="S29" s="153"/>
      <c r="U29" s="161"/>
      <c r="V29" s="153"/>
      <c r="W29" s="153"/>
      <c r="X29" s="153"/>
      <c r="Y29" s="153"/>
      <c r="Z29" s="153"/>
    </row>
    <row r="30" spans="2:26">
      <c r="B30" s="135">
        <f t="shared" si="0"/>
        <v>2036</v>
      </c>
      <c r="C30" s="136"/>
      <c r="D30" s="128">
        <f t="shared" si="3"/>
        <v>113.66</v>
      </c>
      <c r="E30" s="268">
        <v>43.219791666666666</v>
      </c>
      <c r="F30" s="128">
        <f t="shared" si="4"/>
        <v>62.93</v>
      </c>
      <c r="G30" s="130">
        <f t="shared" si="5"/>
        <v>57.551472410735485</v>
      </c>
      <c r="H30" s="198">
        <v>1</v>
      </c>
      <c r="I30" s="128"/>
      <c r="J30" s="130">
        <f t="shared" si="7"/>
        <v>58.551472410735485</v>
      </c>
      <c r="K30" s="130">
        <f t="shared" si="2"/>
        <v>223.63</v>
      </c>
      <c r="L30" s="128">
        <f t="shared" si="1"/>
        <v>219.80979166666668</v>
      </c>
      <c r="M30" s="119"/>
      <c r="O30" s="117"/>
      <c r="Q30" s="130"/>
      <c r="S30" s="153"/>
      <c r="U30" s="161"/>
      <c r="V30" s="153"/>
      <c r="W30" s="153"/>
      <c r="X30" s="153"/>
      <c r="Y30" s="153"/>
      <c r="Z30" s="153"/>
    </row>
    <row r="31" spans="2:26">
      <c r="B31" s="135">
        <f t="shared" si="0"/>
        <v>2037</v>
      </c>
      <c r="C31" s="136"/>
      <c r="D31" s="128">
        <f t="shared" si="3"/>
        <v>116.27</v>
      </c>
      <c r="E31" s="268">
        <v>44.2</v>
      </c>
      <c r="F31" s="128">
        <f t="shared" si="4"/>
        <v>64.38</v>
      </c>
      <c r="G31" s="130">
        <f t="shared" si="5"/>
        <v>58.871119768757069</v>
      </c>
      <c r="H31" s="198">
        <v>1</v>
      </c>
      <c r="I31" s="128"/>
      <c r="J31" s="130">
        <f t="shared" si="7"/>
        <v>59.871119768757069</v>
      </c>
      <c r="K31" s="130">
        <f t="shared" si="2"/>
        <v>228.67</v>
      </c>
      <c r="L31" s="128">
        <f t="shared" si="1"/>
        <v>224.85</v>
      </c>
      <c r="M31" s="119"/>
      <c r="O31" s="117"/>
      <c r="Q31" s="130"/>
      <c r="S31" s="153"/>
      <c r="U31" s="161"/>
      <c r="V31" s="153"/>
      <c r="W31" s="153"/>
      <c r="X31" s="153"/>
      <c r="Y31" s="153"/>
      <c r="Z31" s="153"/>
    </row>
    <row r="32" spans="2:26">
      <c r="B32" s="135">
        <f t="shared" si="0"/>
        <v>2038</v>
      </c>
      <c r="C32" s="136"/>
      <c r="D32" s="128">
        <f t="shared" si="3"/>
        <v>118.94</v>
      </c>
      <c r="E32" s="268">
        <v>45.209895833333334</v>
      </c>
      <c r="F32" s="128">
        <f t="shared" si="4"/>
        <v>65.86</v>
      </c>
      <c r="G32" s="130">
        <f t="shared" si="5"/>
        <v>60.222104183248859</v>
      </c>
      <c r="H32" s="198">
        <v>1</v>
      </c>
      <c r="I32" s="128"/>
      <c r="J32" s="130">
        <f t="shared" si="7"/>
        <v>61.222104183248859</v>
      </c>
      <c r="K32" s="130">
        <f t="shared" si="2"/>
        <v>233.83</v>
      </c>
      <c r="L32" s="128">
        <f t="shared" si="1"/>
        <v>230.00989583333336</v>
      </c>
      <c r="M32" s="119"/>
      <c r="O32" s="117"/>
      <c r="Q32" s="130"/>
      <c r="S32" s="153"/>
      <c r="U32" s="161"/>
      <c r="V32" s="153"/>
      <c r="W32" s="153"/>
      <c r="X32" s="153"/>
      <c r="Y32" s="153"/>
      <c r="Z32" s="153"/>
    </row>
    <row r="33" spans="2:28">
      <c r="B33" s="135">
        <f t="shared" si="0"/>
        <v>2039</v>
      </c>
      <c r="C33" s="136"/>
      <c r="D33" s="128">
        <f t="shared" si="3"/>
        <v>121.68</v>
      </c>
      <c r="E33" s="364">
        <f>ROUND(E32*(1+(IFERROR(INDEX($D$66:$D$74,MATCH($B33,$C$66:$C$74,0),1),0)+IFERROR(INDEX($G$66:$G$74,MATCH($B33,$F$66:$F$74,0),1),0)+IFERROR(INDEX($J$66:$J$74,MATCH($B33,$I$66:$I$74,0),1),0))),2)</f>
        <v>46.25</v>
      </c>
      <c r="F33" s="128">
        <f t="shared" si="4"/>
        <v>67.37</v>
      </c>
      <c r="G33" s="130">
        <f t="shared" si="5"/>
        <v>61.607180260567219</v>
      </c>
      <c r="H33" s="198">
        <v>1</v>
      </c>
      <c r="I33" s="128"/>
      <c r="J33" s="130">
        <f t="shared" si="7"/>
        <v>62.607180260567219</v>
      </c>
      <c r="K33" s="130">
        <f t="shared" ref="K33:K37" si="8">ROUND(J33*$C$63*8.76,2)</f>
        <v>239.12</v>
      </c>
      <c r="L33" s="128">
        <f t="shared" si="1"/>
        <v>235.3</v>
      </c>
      <c r="M33" s="119"/>
      <c r="O33" s="117"/>
      <c r="AB33" s="277"/>
    </row>
    <row r="34" spans="2:28">
      <c r="B34" s="135">
        <f t="shared" si="0"/>
        <v>2040</v>
      </c>
      <c r="C34" s="136"/>
      <c r="D34" s="128">
        <f t="shared" si="3"/>
        <v>124.48</v>
      </c>
      <c r="E34" s="364">
        <f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4"/>
        <v>68.92</v>
      </c>
      <c r="G34" s="130">
        <f t="shared" si="5"/>
        <v>63.023647941016307</v>
      </c>
      <c r="H34" s="198">
        <v>1</v>
      </c>
      <c r="I34" s="128"/>
      <c r="J34" s="130">
        <f t="shared" si="7"/>
        <v>64.023647941016307</v>
      </c>
      <c r="K34" s="130">
        <f t="shared" si="8"/>
        <v>244.53</v>
      </c>
      <c r="L34" s="128">
        <f t="shared" si="1"/>
        <v>240.71000000000004</v>
      </c>
      <c r="M34" s="119"/>
      <c r="O34" s="117"/>
      <c r="AB34" s="277"/>
    </row>
    <row r="35" spans="2:28">
      <c r="B35" s="135">
        <f t="shared" si="0"/>
        <v>2041</v>
      </c>
      <c r="C35" s="136"/>
      <c r="D35" s="128">
        <f t="shared" si="3"/>
        <v>127.22</v>
      </c>
      <c r="E35" s="364">
        <f>ROUND(E34*(1+(IFERROR(INDEX($D$66:$D$74,MATCH($B35,$C$66:$C$74,0),1),0)+IFERROR(INDEX($G$66:$G$74,MATCH($B35,$F$66:$F$74,0),1),0)+IFERROR(INDEX($J$66:$J$74,MATCH($B35,$I$66:$I$74,0),1),0))),2)</f>
        <v>48.35</v>
      </c>
      <c r="F35" s="128">
        <f t="shared" si="4"/>
        <v>70.44</v>
      </c>
      <c r="G35" s="130">
        <f t="shared" si="5"/>
        <v>64.411314984709477</v>
      </c>
      <c r="H35" s="198">
        <v>1</v>
      </c>
      <c r="I35" s="128"/>
      <c r="J35" s="130">
        <f t="shared" si="7"/>
        <v>65.411314984709477</v>
      </c>
      <c r="K35" s="130">
        <f t="shared" si="8"/>
        <v>249.83</v>
      </c>
      <c r="L35" s="128">
        <f t="shared" si="1"/>
        <v>246.01</v>
      </c>
      <c r="M35" s="119"/>
      <c r="O35" s="117"/>
      <c r="AB35" s="277"/>
    </row>
    <row r="36" spans="2:28">
      <c r="B36" s="135">
        <f t="shared" si="0"/>
        <v>2042</v>
      </c>
      <c r="C36" s="136"/>
      <c r="D36" s="128">
        <f t="shared" si="3"/>
        <v>130.02000000000001</v>
      </c>
      <c r="E36" s="364">
        <f>ROUND(E35*(1+(IFERROR(INDEX($D$66:$D$74,MATCH($B36,$C$66:$C$74,0),1),0)+IFERROR(INDEX($G$66:$G$74,MATCH($B36,$F$66:$F$74,0),1),0)+IFERROR(INDEX($J$66:$J$74,MATCH($B36,$I$66:$I$74,0),1),0))),2)</f>
        <v>49.41</v>
      </c>
      <c r="F36" s="128">
        <f t="shared" si="4"/>
        <v>71.989999999999995</v>
      </c>
      <c r="G36" s="130">
        <f t="shared" si="5"/>
        <v>65.827782665158566</v>
      </c>
      <c r="H36" s="198">
        <v>1</v>
      </c>
      <c r="I36" s="128"/>
      <c r="J36" s="130">
        <f t="shared" si="7"/>
        <v>66.827782665158566</v>
      </c>
      <c r="K36" s="130">
        <f t="shared" si="8"/>
        <v>255.24</v>
      </c>
      <c r="L36" s="128">
        <f t="shared" si="1"/>
        <v>251.42000000000002</v>
      </c>
      <c r="M36" s="119"/>
      <c r="O36" s="117"/>
      <c r="AB36" s="277"/>
    </row>
    <row r="37" spans="2:28">
      <c r="B37" s="135">
        <f t="shared" si="0"/>
        <v>2043</v>
      </c>
      <c r="C37" s="136"/>
      <c r="D37" s="128">
        <f t="shared" si="3"/>
        <v>133.01</v>
      </c>
      <c r="E37" s="364">
        <f>ROUND(E36*(1+(IFERROR(INDEX($D$66:$D$74,MATCH($B37,$C$66:$C$74,0),1),0)+IFERROR(INDEX($G$66:$G$74,MATCH($B37,$F$66:$F$74,0),1),0)+IFERROR(INDEX($J$66:$J$74,MATCH($B37,$I$66:$I$74,0),1),0))),2)</f>
        <v>50.55</v>
      </c>
      <c r="F37" s="128">
        <f t="shared" si="4"/>
        <v>73.650000000000006</v>
      </c>
      <c r="G37" s="130">
        <f t="shared" si="5"/>
        <v>67.343743454400752</v>
      </c>
      <c r="H37" s="198">
        <v>1</v>
      </c>
      <c r="I37" s="128"/>
      <c r="J37" s="130">
        <f t="shared" si="7"/>
        <v>68.343743454400752</v>
      </c>
      <c r="K37" s="130">
        <f t="shared" si="8"/>
        <v>261.02999999999997</v>
      </c>
      <c r="L37" s="128">
        <f t="shared" si="1"/>
        <v>257.21000000000004</v>
      </c>
      <c r="AB37" s="277"/>
    </row>
    <row r="38" spans="2:28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  <c r="AB38" s="277"/>
    </row>
    <row r="39" spans="2:28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  <c r="AB39" s="277"/>
    </row>
    <row r="40" spans="2:28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  <c r="AB40" s="277"/>
    </row>
    <row r="41" spans="2:28">
      <c r="AB41" s="277"/>
    </row>
    <row r="42" spans="2:28" ht="14.25">
      <c r="B42" s="138" t="s">
        <v>25</v>
      </c>
      <c r="C42" s="139"/>
      <c r="D42" s="139"/>
      <c r="E42" s="139"/>
      <c r="F42" s="139"/>
      <c r="G42" s="139"/>
      <c r="H42" s="139"/>
      <c r="I42" s="139"/>
      <c r="AB42" s="277"/>
    </row>
    <row r="43" spans="2:28">
      <c r="AB43" s="277"/>
    </row>
    <row r="44" spans="2:28">
      <c r="B44" s="117" t="s">
        <v>62</v>
      </c>
      <c r="C44" s="140" t="s">
        <v>63</v>
      </c>
      <c r="D44" s="141" t="s">
        <v>101</v>
      </c>
      <c r="AB44" s="277"/>
    </row>
    <row r="45" spans="2:28">
      <c r="C45" s="140" t="str">
        <f>C7</f>
        <v>(a)</v>
      </c>
      <c r="D45" s="117" t="s">
        <v>64</v>
      </c>
      <c r="AB45" s="277"/>
    </row>
    <row r="46" spans="2:28">
      <c r="C46" s="140" t="str">
        <f>D7</f>
        <v>(b)</v>
      </c>
      <c r="D46" s="130" t="str">
        <f>"= "&amp;C7&amp;" x "&amp;C62</f>
        <v>= (a) x 0.0689863805027125</v>
      </c>
      <c r="AB46" s="277"/>
    </row>
    <row r="47" spans="2:28">
      <c r="C47" s="140" t="str">
        <f>G7</f>
        <v>(e)</v>
      </c>
      <c r="D47" s="130" t="str">
        <f>"= ("&amp;$D$7&amp;" + "&amp;$E$7&amp;") /  (8.76 x "&amp;TEXT(C63,"0.0%")&amp;")"</f>
        <v>= ((b) + (c)) /  (8.76 x 43.6%)</v>
      </c>
      <c r="AB47" s="277"/>
    </row>
    <row r="48" spans="2:28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- 2019 IRP Update - Table 6.1 &amp; 6.2</v>
      </c>
      <c r="AB49" s="278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2019 IRP Wyoming Wind Resource - 44% Capacity Factor</v>
      </c>
      <c r="D52" s="142"/>
      <c r="E52" s="142"/>
      <c r="F52" s="142"/>
      <c r="G52" s="142"/>
      <c r="H52" s="142"/>
      <c r="I52" s="142"/>
      <c r="J52" s="143"/>
      <c r="K52" s="143"/>
      <c r="L52" s="144"/>
    </row>
    <row r="53" spans="2:28" ht="13.5" thickBot="1">
      <c r="C53" s="145" t="s">
        <v>65</v>
      </c>
      <c r="D53" s="146" t="s">
        <v>66</v>
      </c>
      <c r="E53" s="146"/>
      <c r="F53" s="146"/>
      <c r="G53" s="146"/>
      <c r="H53" s="146"/>
      <c r="I53" s="147"/>
      <c r="J53" s="143"/>
      <c r="K53" s="143"/>
      <c r="L53" s="144"/>
    </row>
    <row r="54" spans="2:28">
      <c r="Q54" s="117" t="s">
        <v>102</v>
      </c>
      <c r="R54" s="117">
        <v>2024</v>
      </c>
    </row>
    <row r="55" spans="2:28">
      <c r="B55" s="85" t="s">
        <v>100</v>
      </c>
      <c r="C55" s="170">
        <v>1301.4978814276944</v>
      </c>
      <c r="D55" s="117" t="s">
        <v>64</v>
      </c>
      <c r="P55" s="117">
        <v>1920</v>
      </c>
      <c r="Q55" s="117" t="s">
        <v>32</v>
      </c>
      <c r="R55" s="117" t="s">
        <v>99</v>
      </c>
      <c r="U55" s="117" t="str">
        <f>$R$55&amp;"Proposed Station Capital Costs"</f>
        <v>H4.AE1_WDProposed Station Capital Costs</v>
      </c>
    </row>
    <row r="56" spans="2:28">
      <c r="B56" s="85" t="s">
        <v>100</v>
      </c>
      <c r="C56" s="268">
        <v>28.802174620531375</v>
      </c>
      <c r="D56" s="117" t="s">
        <v>67</v>
      </c>
      <c r="U56" s="117" t="str">
        <f>$R$55&amp;"Proposed Station Fixed Costs"</f>
        <v>H4.AE1_WDProposed Station Fixed Costs</v>
      </c>
    </row>
    <row r="57" spans="2:28" ht="24" customHeight="1">
      <c r="B57" s="85"/>
      <c r="C57" s="270"/>
      <c r="D57" s="117" t="s">
        <v>104</v>
      </c>
      <c r="R57" s="213" t="str">
        <f>R55&amp;R54</f>
        <v>H4.AE1_WD2024</v>
      </c>
      <c r="U57" s="117" t="str">
        <f>$R$55&amp;"Proposed Station Variable O&amp;M Costs"</f>
        <v>H4.AE1_WDProposed Station Variable O&amp;M Costs</v>
      </c>
    </row>
    <row r="58" spans="2:28">
      <c r="B58" s="85" t="s">
        <v>100</v>
      </c>
      <c r="C58" s="268">
        <v>0.65</v>
      </c>
      <c r="D58" s="117" t="s">
        <v>68</v>
      </c>
      <c r="F58" s="117" t="s">
        <v>151</v>
      </c>
      <c r="L58" s="119"/>
      <c r="M58" s="149"/>
      <c r="N58" s="52"/>
      <c r="O58" s="163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8">
        <v>-6.2214116072769627</v>
      </c>
      <c r="D59" s="117" t="s">
        <v>69</v>
      </c>
      <c r="J59" s="196" t="s">
        <v>90</v>
      </c>
      <c r="M59" s="151"/>
      <c r="N59" s="152"/>
      <c r="P59" s="150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47.870308055404152</v>
      </c>
      <c r="D60" s="117" t="s">
        <v>217</v>
      </c>
      <c r="F60" s="274" t="s">
        <v>178</v>
      </c>
      <c r="L60" s="151"/>
      <c r="M60" s="151"/>
      <c r="N60" s="151"/>
      <c r="O60" s="164"/>
      <c r="P60" s="150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99"/>
      <c r="L61" s="151"/>
      <c r="M61" s="151"/>
      <c r="N61" s="151"/>
      <c r="O61" s="164"/>
      <c r="P61" s="151"/>
      <c r="S61" s="119"/>
      <c r="U61" s="119"/>
      <c r="V61" s="119"/>
      <c r="W61" s="119"/>
      <c r="X61" s="119"/>
      <c r="Y61" s="119"/>
      <c r="Z61" s="119"/>
    </row>
    <row r="62" spans="2:28">
      <c r="C62" s="269">
        <v>6.898638050271251E-2</v>
      </c>
      <c r="D62" s="117" t="s">
        <v>36</v>
      </c>
      <c r="L62" s="155"/>
      <c r="M62" s="156"/>
      <c r="N62" s="156"/>
      <c r="P62" s="157"/>
    </row>
    <row r="63" spans="2:28">
      <c r="C63" s="207">
        <v>0.436</v>
      </c>
      <c r="D63" s="117" t="s">
        <v>37</v>
      </c>
    </row>
    <row r="64" spans="2:28" ht="13.5" thickBot="1">
      <c r="D64" s="154"/>
    </row>
    <row r="65" spans="3:15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2"/>
      <c r="L65" s="144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5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5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5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5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5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5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O72" s="164"/>
    </row>
    <row r="73" spans="3:15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O73" s="164"/>
    </row>
    <row r="74" spans="3:15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O74" s="164"/>
    </row>
    <row r="75" spans="3:15" s="119" customFormat="1">
      <c r="O75" s="164"/>
    </row>
    <row r="76" spans="3:15" s="119" customFormat="1">
      <c r="O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154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13</v>
      </c>
      <c r="I5" s="121" t="s">
        <v>72</v>
      </c>
      <c r="J5" s="17" t="s">
        <v>52</v>
      </c>
      <c r="K5" s="121" t="s">
        <v>223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R8" s="119"/>
      <c r="S8" s="119"/>
      <c r="T8" s="119"/>
      <c r="U8" s="119"/>
      <c r="V8" s="119"/>
      <c r="W8" s="119"/>
      <c r="X8" s="119"/>
    </row>
    <row r="9" spans="2:24" ht="15.75">
      <c r="B9" s="43" t="str">
        <f>C52</f>
        <v>2019 IRP Idaho Wind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37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133"/>
      <c r="Q14" s="134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271"/>
      <c r="P15" s="133"/>
      <c r="Q15" s="134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V16" s="153"/>
      <c r="X16" s="159"/>
    </row>
    <row r="17" spans="2:25">
      <c r="B17" s="135">
        <f t="shared" si="0"/>
        <v>2023</v>
      </c>
      <c r="C17" s="136"/>
      <c r="D17" s="128"/>
      <c r="E17" s="128"/>
      <c r="F17" s="128"/>
      <c r="G17" s="130"/>
      <c r="H17" s="128">
        <f t="shared" si="1"/>
        <v>0</v>
      </c>
      <c r="I17" s="130"/>
      <c r="J17" s="130"/>
      <c r="K17" s="128">
        <f t="shared" si="2"/>
        <v>0</v>
      </c>
      <c r="L17" s="119"/>
      <c r="N17" s="117"/>
      <c r="O17" s="132"/>
      <c r="V17" s="153"/>
      <c r="X17" s="159"/>
    </row>
    <row r="18" spans="2:25">
      <c r="B18" s="135">
        <f t="shared" si="0"/>
        <v>2024</v>
      </c>
      <c r="C18" s="136"/>
      <c r="D18" s="128"/>
      <c r="E18" s="148"/>
      <c r="F18" s="148"/>
      <c r="G18" s="130"/>
      <c r="H18" s="128">
        <f t="shared" si="1"/>
        <v>0</v>
      </c>
      <c r="I18" s="130"/>
      <c r="J18" s="130"/>
      <c r="K18" s="128">
        <f t="shared" si="2"/>
        <v>0</v>
      </c>
      <c r="L18" s="119"/>
      <c r="N18" s="117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/>
      <c r="E19" s="148"/>
      <c r="F19" s="148"/>
      <c r="G19" s="130"/>
      <c r="H19" s="128">
        <f t="shared" si="1"/>
        <v>0</v>
      </c>
      <c r="I19" s="130"/>
      <c r="J19" s="130"/>
      <c r="K19" s="128">
        <f t="shared" si="2"/>
        <v>0</v>
      </c>
      <c r="L19" s="119"/>
      <c r="N19" s="117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/>
      <c r="E20" s="148"/>
      <c r="F20" s="148"/>
      <c r="G20" s="130"/>
      <c r="H20" s="128">
        <f t="shared" si="1"/>
        <v>0</v>
      </c>
      <c r="I20" s="130"/>
      <c r="J20" s="130"/>
      <c r="K20" s="128">
        <f t="shared" si="2"/>
        <v>0</v>
      </c>
      <c r="L20" s="119"/>
      <c r="N20" s="117"/>
      <c r="R20" s="153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/>
      <c r="E21" s="148"/>
      <c r="F21" s="148"/>
      <c r="G21" s="130"/>
      <c r="H21" s="128">
        <f t="shared" si="1"/>
        <v>0</v>
      </c>
      <c r="I21" s="130"/>
      <c r="J21" s="130"/>
      <c r="K21" s="128">
        <f t="shared" si="2"/>
        <v>0</v>
      </c>
      <c r="L21" s="119"/>
      <c r="N21" s="117"/>
      <c r="R21" s="153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/>
      <c r="E22" s="148"/>
      <c r="F22" s="148"/>
      <c r="G22" s="130"/>
      <c r="H22" s="128">
        <f t="shared" si="1"/>
        <v>0</v>
      </c>
      <c r="I22" s="130"/>
      <c r="J22" s="130"/>
      <c r="K22" s="128">
        <f t="shared" si="2"/>
        <v>0</v>
      </c>
      <c r="L22" s="119"/>
      <c r="N22" s="117"/>
      <c r="R22" s="153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/>
      <c r="E23" s="148"/>
      <c r="F23" s="148"/>
      <c r="G23" s="130"/>
      <c r="H23" s="128">
        <f t="shared" si="1"/>
        <v>0</v>
      </c>
      <c r="I23" s="130"/>
      <c r="J23" s="130"/>
      <c r="K23" s="128">
        <f t="shared" si="2"/>
        <v>0</v>
      </c>
      <c r="L23" s="119"/>
      <c r="N23" s="117"/>
      <c r="R23" s="153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347">
        <v>1253.063829787234</v>
      </c>
      <c r="D24" s="128">
        <f>C24*$C$62</f>
        <v>86.448873617021263</v>
      </c>
      <c r="E24" s="268">
        <v>37.749134282416321</v>
      </c>
      <c r="F24" s="128">
        <f>C60</f>
        <v>12.097273854334603</v>
      </c>
      <c r="G24" s="130">
        <f>(D24+E24+F24)/(8.76*$C$63)</f>
        <v>41.937525924556674</v>
      </c>
      <c r="H24" s="128">
        <f t="shared" si="1"/>
        <v>0</v>
      </c>
      <c r="I24" s="130">
        <f>(G24+H24)</f>
        <v>41.937525924556674</v>
      </c>
      <c r="J24" s="130">
        <f t="shared" ref="J24:J32" si="3">ROUND(I24*$C$63*8.76,2)</f>
        <v>136.30000000000001</v>
      </c>
      <c r="K24" s="128">
        <f t="shared" si="2"/>
        <v>136.2952817537722</v>
      </c>
      <c r="L24" s="119"/>
      <c r="N24" s="117"/>
      <c r="R24" s="153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ref="D25:E37" si="4">ROUND(D24*(1+(IFERROR(INDEX($D$66:$D$74,MATCH($B25,$C$66:$C$74,0),1),0)+IFERROR(INDEX($G$66:$G$74,MATCH($B25,$F$66:$F$74,0),1),0)+IFERROR(INDEX($J$66:$J$74,MATCH($B25,$I$66:$I$74,0),1),0))),2)</f>
        <v>88.44</v>
      </c>
      <c r="E25" s="268">
        <v>38.610042323970752</v>
      </c>
      <c r="F25" s="128">
        <f t="shared" ref="F25" si="5">ROUND(F24*(1+(IFERROR(INDEX($D$66:$D$74,MATCH($B25,$C$66:$C$74,0),1),0)+IFERROR(INDEX($G$66:$G$74,MATCH($B25,$F$66:$F$74,0),1),0)+IFERROR(INDEX($J$66:$J$74,MATCH($B25,$I$66:$I$74,0),1),0))),2)</f>
        <v>12.38</v>
      </c>
      <c r="G25" s="130">
        <f t="shared" ref="G25:G37" si="6">(D25+E25+F25)/(8.76*$C$63)</f>
        <v>42.902079509892665</v>
      </c>
      <c r="H25" s="128">
        <f t="shared" si="1"/>
        <v>0</v>
      </c>
      <c r="I25" s="130">
        <f t="shared" ref="I25:I37" si="7">(G25+H25)</f>
        <v>42.902079509892665</v>
      </c>
      <c r="J25" s="130">
        <f t="shared" si="3"/>
        <v>139.43</v>
      </c>
      <c r="K25" s="128">
        <f t="shared" si="2"/>
        <v>139.43004232397075</v>
      </c>
      <c r="L25" s="119"/>
      <c r="N25" s="117"/>
      <c r="R25" s="153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4"/>
        <v>90.47</v>
      </c>
      <c r="E26" s="268">
        <v>39.490188534051562</v>
      </c>
      <c r="F26" s="128">
        <f t="shared" ref="F26" si="8">ROUND(F25*(1+(IFERROR(INDEX($D$66:$D$74,MATCH($B26,$C$66:$C$74,0),1),0)+IFERROR(INDEX($G$66:$G$74,MATCH($B26,$F$66:$F$74,0),1),0)+IFERROR(INDEX($J$66:$J$74,MATCH($B26,$I$66:$I$74,0),1),0))),2)</f>
        <v>12.66</v>
      </c>
      <c r="G26" s="130">
        <f t="shared" si="6"/>
        <v>43.883675040324057</v>
      </c>
      <c r="H26" s="128">
        <f t="shared" si="1"/>
        <v>0</v>
      </c>
      <c r="I26" s="130">
        <f t="shared" si="7"/>
        <v>43.883675040324057</v>
      </c>
      <c r="J26" s="130">
        <f t="shared" si="3"/>
        <v>142.62</v>
      </c>
      <c r="K26" s="128">
        <f t="shared" si="2"/>
        <v>142.62018853405155</v>
      </c>
      <c r="L26" s="119"/>
      <c r="N26" s="117"/>
      <c r="R26" s="153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4"/>
        <v>92.55</v>
      </c>
      <c r="E27" s="268">
        <v>40.389572912658728</v>
      </c>
      <c r="F27" s="128">
        <f t="shared" ref="F27" si="9">ROUND(F26*(1+(IFERROR(INDEX($D$66:$D$74,MATCH($B27,$C$66:$C$74,0),1),0)+IFERROR(INDEX($G$66:$G$74,MATCH($B27,$F$66:$F$74,0),1),0)+IFERROR(INDEX($J$66:$J$74,MATCH($B27,$I$66:$I$74,0),1),0))),2)</f>
        <v>12.95</v>
      </c>
      <c r="G27" s="130">
        <f t="shared" si="6"/>
        <v>44.889651845763858</v>
      </c>
      <c r="H27" s="128">
        <f t="shared" si="1"/>
        <v>0</v>
      </c>
      <c r="I27" s="130">
        <f t="shared" si="7"/>
        <v>44.889651845763858</v>
      </c>
      <c r="J27" s="130">
        <f t="shared" si="3"/>
        <v>145.88999999999999</v>
      </c>
      <c r="K27" s="128">
        <f t="shared" si="2"/>
        <v>145.88957291265871</v>
      </c>
      <c r="L27" s="119"/>
      <c r="N27" s="117"/>
      <c r="R27" s="153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4"/>
        <v>94.68</v>
      </c>
      <c r="E28" s="268">
        <v>41.310119276644869</v>
      </c>
      <c r="F28" s="128">
        <f t="shared" ref="F28" si="10">ROUND(F27*(1+(IFERROR(INDEX($D$66:$D$74,MATCH($B28,$C$66:$C$74,0),1),0)+IFERROR(INDEX($G$66:$G$74,MATCH($B28,$F$66:$F$74,0),1),0)+IFERROR(INDEX($J$66:$J$74,MATCH($B28,$I$66:$I$74,0),1),0))),2)</f>
        <v>13.25</v>
      </c>
      <c r="G28" s="130">
        <f t="shared" si="6"/>
        <v>45.920601877144605</v>
      </c>
      <c r="H28" s="128">
        <f t="shared" si="1"/>
        <v>0</v>
      </c>
      <c r="I28" s="130">
        <f t="shared" si="7"/>
        <v>45.920601877144605</v>
      </c>
      <c r="J28" s="130">
        <f t="shared" si="3"/>
        <v>149.24</v>
      </c>
      <c r="K28" s="128">
        <f t="shared" si="2"/>
        <v>149.24011927664486</v>
      </c>
      <c r="L28" s="119"/>
      <c r="N28" s="117"/>
      <c r="R28" s="153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4"/>
        <v>96.86</v>
      </c>
      <c r="E29" s="268">
        <v>42.249903809157374</v>
      </c>
      <c r="F29" s="128">
        <f t="shared" ref="F29" si="11">ROUND(F28*(1+(IFERROR(INDEX($D$66:$D$74,MATCH($B29,$C$66:$C$74,0),1),0)+IFERROR(INDEX($G$66:$G$74,MATCH($B29,$F$66:$F$74,0),1),0)+IFERROR(INDEX($J$66:$J$74,MATCH($B29,$I$66:$I$74,0),1),0))),2)</f>
        <v>13.55</v>
      </c>
      <c r="G29" s="130">
        <f t="shared" si="6"/>
        <v>46.972856222586557</v>
      </c>
      <c r="H29" s="128">
        <f t="shared" si="1"/>
        <v>0</v>
      </c>
      <c r="I29" s="130">
        <f t="shared" si="7"/>
        <v>46.972856222586557</v>
      </c>
      <c r="J29" s="130">
        <f t="shared" si="3"/>
        <v>152.66</v>
      </c>
      <c r="K29" s="128">
        <f t="shared" si="2"/>
        <v>152.65990380915738</v>
      </c>
      <c r="L29" s="119"/>
      <c r="N29" s="117"/>
      <c r="R29" s="153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4"/>
        <v>99.09</v>
      </c>
      <c r="E30" s="268">
        <v>43.219507502885733</v>
      </c>
      <c r="F30" s="128">
        <f t="shared" ref="F30" si="12">ROUND(F29*(1+(IFERROR(INDEX($D$66:$D$74,MATCH($B30,$C$66:$C$74,0),1),0)+IFERROR(INDEX($G$66:$G$74,MATCH($B30,$F$66:$F$74,0),1),0)+IFERROR(INDEX($J$66:$J$74,MATCH($B30,$I$66:$I$74,0),1),0))),2)</f>
        <v>13.86</v>
      </c>
      <c r="G30" s="130">
        <f t="shared" si="6"/>
        <v>48.052747573165739</v>
      </c>
      <c r="H30" s="128">
        <f t="shared" si="1"/>
        <v>0</v>
      </c>
      <c r="I30" s="130">
        <f t="shared" si="7"/>
        <v>48.052747573165739</v>
      </c>
      <c r="J30" s="130">
        <f t="shared" si="3"/>
        <v>156.16999999999999</v>
      </c>
      <c r="K30" s="128">
        <f t="shared" si="2"/>
        <v>156.16950750288572</v>
      </c>
      <c r="L30" s="119"/>
      <c r="N30" s="117"/>
      <c r="R30" s="153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4"/>
        <v>101.37</v>
      </c>
      <c r="E31" s="268">
        <v>44.199692189303583</v>
      </c>
      <c r="F31" s="128">
        <f t="shared" ref="F31" si="13">ROUND(F30*(1+(IFERROR(INDEX($D$66:$D$74,MATCH($B31,$C$66:$C$74,0),1),0)+IFERROR(INDEX($G$66:$G$74,MATCH($B31,$F$66:$F$74,0),1),0)+IFERROR(INDEX($J$66:$J$74,MATCH($B31,$I$66:$I$74,0),1),0))),2)</f>
        <v>14.18</v>
      </c>
      <c r="G31" s="130">
        <f t="shared" si="6"/>
        <v>49.154356419557047</v>
      </c>
      <c r="H31" s="128">
        <f t="shared" si="1"/>
        <v>0</v>
      </c>
      <c r="I31" s="130">
        <f t="shared" si="7"/>
        <v>49.154356419557047</v>
      </c>
      <c r="J31" s="130">
        <f t="shared" si="3"/>
        <v>159.75</v>
      </c>
      <c r="K31" s="128">
        <f t="shared" si="2"/>
        <v>159.7496921893036</v>
      </c>
      <c r="L31" s="119"/>
      <c r="N31" s="117"/>
      <c r="R31" s="153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4"/>
        <v>103.7</v>
      </c>
      <c r="E32" s="268">
        <v>45.210657945363607</v>
      </c>
      <c r="F32" s="128">
        <f t="shared" ref="F32" si="14">ROUND(F31*(1+(IFERROR(INDEX($D$66:$D$74,MATCH($B32,$C$66:$C$74,0),1),0)+IFERROR(INDEX($G$66:$G$74,MATCH($B32,$F$66:$F$74,0),1),0)+IFERROR(INDEX($J$66:$J$74,MATCH($B32,$I$66:$I$74,0),1),0))),2)</f>
        <v>14.51</v>
      </c>
      <c r="G32" s="130">
        <f t="shared" si="6"/>
        <v>50.283898246551836</v>
      </c>
      <c r="H32" s="128">
        <f t="shared" si="1"/>
        <v>0</v>
      </c>
      <c r="I32" s="130">
        <f t="shared" si="7"/>
        <v>50.283898246551836</v>
      </c>
      <c r="J32" s="130">
        <f t="shared" si="3"/>
        <v>163.41999999999999</v>
      </c>
      <c r="K32" s="128">
        <f t="shared" si="2"/>
        <v>163.42065794536359</v>
      </c>
      <c r="L32" s="119"/>
      <c r="N32" s="117"/>
      <c r="R32" s="153"/>
      <c r="T32" s="161"/>
      <c r="U32" s="153"/>
      <c r="V32" s="153"/>
      <c r="W32" s="153"/>
      <c r="X32" s="159"/>
      <c r="Y32" s="153"/>
    </row>
    <row r="33" spans="2:27">
      <c r="B33" s="135">
        <f t="shared" si="0"/>
        <v>2039</v>
      </c>
      <c r="C33" s="136"/>
      <c r="D33" s="128">
        <f t="shared" si="4"/>
        <v>106.09</v>
      </c>
      <c r="E33" s="128">
        <f t="shared" si="4"/>
        <v>46.25</v>
      </c>
      <c r="F33" s="128">
        <f t="shared" ref="F33" si="15">ROUND(F32*(1+(IFERROR(INDEX($D$66:$D$74,MATCH($B33,$C$66:$C$74,0),1),0)+IFERROR(INDEX($G$66:$G$74,MATCH($B33,$F$66:$F$74,0),1),0)+IFERROR(INDEX($J$66:$J$74,MATCH($B33,$I$66:$I$74,0),1),0))),2)</f>
        <v>14.84</v>
      </c>
      <c r="G33" s="130">
        <f t="shared" si="6"/>
        <v>51.440633115484502</v>
      </c>
      <c r="H33" s="128">
        <f t="shared" si="1"/>
        <v>0</v>
      </c>
      <c r="I33" s="130">
        <f t="shared" si="7"/>
        <v>51.440633115484502</v>
      </c>
      <c r="J33" s="130">
        <f t="shared" ref="J33:J37" si="16">ROUND(I33*$C$63*8.76,2)</f>
        <v>167.18</v>
      </c>
      <c r="K33" s="128">
        <f t="shared" si="2"/>
        <v>167.18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4"/>
        <v>108.53</v>
      </c>
      <c r="E34" s="128">
        <f t="shared" ref="E34:F34" si="17"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17"/>
        <v>15.18</v>
      </c>
      <c r="G34" s="130">
        <f t="shared" si="6"/>
        <v>52.622186119213779</v>
      </c>
      <c r="H34" s="128">
        <f t="shared" si="1"/>
        <v>0</v>
      </c>
      <c r="I34" s="130">
        <f t="shared" si="7"/>
        <v>52.622186119213779</v>
      </c>
      <c r="J34" s="130">
        <f t="shared" si="16"/>
        <v>171.02</v>
      </c>
      <c r="K34" s="128">
        <f t="shared" si="2"/>
        <v>171.02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4"/>
        <v>110.92</v>
      </c>
      <c r="E35" s="128">
        <f t="shared" ref="E35:F35" si="18">ROUND(E34*(1+(IFERROR(INDEX($D$66:$D$74,MATCH($B35,$C$66:$C$74,0),1),0)+IFERROR(INDEX($G$66:$G$74,MATCH($B35,$F$66:$F$74,0),1),0)+IFERROR(INDEX($J$66:$J$74,MATCH($B35,$I$66:$I$74,0),1),0))),2)</f>
        <v>48.35</v>
      </c>
      <c r="F35" s="128">
        <f t="shared" si="18"/>
        <v>15.51</v>
      </c>
      <c r="G35" s="130">
        <f t="shared" si="6"/>
        <v>53.779123435365364</v>
      </c>
      <c r="H35" s="128">
        <f t="shared" si="1"/>
        <v>0</v>
      </c>
      <c r="I35" s="130">
        <f t="shared" si="7"/>
        <v>53.779123435365364</v>
      </c>
      <c r="J35" s="130">
        <f t="shared" si="16"/>
        <v>174.78</v>
      </c>
      <c r="K35" s="128">
        <f t="shared" si="2"/>
        <v>174.78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4"/>
        <v>113.36</v>
      </c>
      <c r="E36" s="128">
        <f t="shared" ref="E36:F36" si="19">ROUND(E35*(1+(IFERROR(INDEX($D$66:$D$74,MATCH($B36,$C$66:$C$74,0),1),0)+IFERROR(INDEX($G$66:$G$74,MATCH($B36,$F$66:$F$74,0),1),0)+IFERROR(INDEX($J$66:$J$74,MATCH($B36,$I$66:$I$74,0),1),0))),2)</f>
        <v>49.41</v>
      </c>
      <c r="F36" s="128">
        <f t="shared" si="19"/>
        <v>15.85</v>
      </c>
      <c r="G36" s="130">
        <f t="shared" si="6"/>
        <v>54.960676439094634</v>
      </c>
      <c r="H36" s="128">
        <f t="shared" si="1"/>
        <v>0</v>
      </c>
      <c r="I36" s="130">
        <f t="shared" si="7"/>
        <v>54.960676439094634</v>
      </c>
      <c r="J36" s="130">
        <f t="shared" si="16"/>
        <v>178.62</v>
      </c>
      <c r="K36" s="128">
        <f t="shared" si="2"/>
        <v>178.61999999999998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4"/>
        <v>115.97</v>
      </c>
      <c r="E37" s="128">
        <f t="shared" ref="E37:F37" si="20">ROUND(E36*(1+(IFERROR(INDEX($D$66:$D$74,MATCH($B37,$C$66:$C$74,0),1),0)+IFERROR(INDEX($G$66:$G$74,MATCH($B37,$F$66:$F$74,0),1),0)+IFERROR(INDEX($J$66:$J$74,MATCH($B37,$I$66:$I$74,0),1),0))),2)</f>
        <v>50.55</v>
      </c>
      <c r="F37" s="128">
        <f t="shared" si="20"/>
        <v>16.21</v>
      </c>
      <c r="G37" s="130">
        <f t="shared" si="6"/>
        <v>56.225307388398626</v>
      </c>
      <c r="H37" s="128">
        <f t="shared" si="1"/>
        <v>0</v>
      </c>
      <c r="I37" s="130">
        <f t="shared" si="7"/>
        <v>56.225307388398626</v>
      </c>
      <c r="J37" s="130">
        <f t="shared" si="16"/>
        <v>182.73</v>
      </c>
      <c r="K37" s="128">
        <f t="shared" si="2"/>
        <v>182.73</v>
      </c>
      <c r="L37" s="119"/>
      <c r="AA37" s="277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AA38" s="277"/>
    </row>
    <row r="39" spans="2:27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AA39" s="277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AA40" s="277"/>
    </row>
    <row r="41" spans="2:27"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62</v>
      </c>
      <c r="C44" s="140" t="s">
        <v>63</v>
      </c>
      <c r="D44" s="141" t="s">
        <v>101</v>
      </c>
      <c r="AA44" s="277"/>
    </row>
    <row r="45" spans="2:27">
      <c r="C45" s="140" t="str">
        <f>C7</f>
        <v>(a)</v>
      </c>
      <c r="D45" s="117" t="s">
        <v>64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Idaho Wind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65</v>
      </c>
      <c r="D53" s="146" t="s">
        <v>66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102</v>
      </c>
      <c r="Q54" s="117">
        <v>2030</v>
      </c>
    </row>
    <row r="55" spans="2:27">
      <c r="B55" s="85" t="s">
        <v>100</v>
      </c>
      <c r="C55" s="170">
        <v>1358.4350565953944</v>
      </c>
      <c r="D55" s="117" t="s">
        <v>64</v>
      </c>
      <c r="T55" s="117" t="str">
        <f>$Q$56&amp;"Proposed Station Capital Costs"</f>
        <v>H_.GO2_WDProposed Station Capital Costs</v>
      </c>
    </row>
    <row r="56" spans="2:27">
      <c r="B56" s="85" t="s">
        <v>100</v>
      </c>
      <c r="C56" s="268">
        <v>28.802174620531375</v>
      </c>
      <c r="D56" s="117" t="s">
        <v>67</v>
      </c>
      <c r="O56" s="117">
        <v>470</v>
      </c>
      <c r="P56" s="117" t="s">
        <v>32</v>
      </c>
      <c r="Q56" s="117" t="s">
        <v>152</v>
      </c>
      <c r="T56" s="117" t="str">
        <f>Q56&amp;"Proposed Station Fixed Costs"</f>
        <v>H_.GO2_WDProposed Station Fixed Costs</v>
      </c>
      <c r="Z56" s="117" t="s">
        <v>109</v>
      </c>
      <c r="AA56" s="278">
        <f>PMT(0.0692,30,NPV(0.0692,AA18:AA53))</f>
        <v>0</v>
      </c>
    </row>
    <row r="57" spans="2:27" ht="24" customHeight="1">
      <c r="B57" s="85"/>
      <c r="C57" s="270"/>
      <c r="D57" s="117" t="s">
        <v>104</v>
      </c>
      <c r="O57" s="117">
        <v>569.6</v>
      </c>
      <c r="P57" s="117" t="s">
        <v>32</v>
      </c>
      <c r="Q57" s="117" t="s">
        <v>153</v>
      </c>
      <c r="T57" s="117" t="str">
        <f>Q57&amp;"Proposed Station Fixed Costs"</f>
        <v>L_.GO2_WDProposed Station Fixed Costs</v>
      </c>
    </row>
    <row r="58" spans="2:27">
      <c r="B58" s="85" t="s">
        <v>100</v>
      </c>
      <c r="C58" s="268">
        <v>0</v>
      </c>
      <c r="D58" s="117" t="s">
        <v>68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69</v>
      </c>
      <c r="I59" s="196" t="s">
        <v>90</v>
      </c>
      <c r="L59" s="151"/>
      <c r="M59" s="152"/>
      <c r="O59" s="150"/>
      <c r="P59" s="119"/>
      <c r="Q59" s="213" t="str">
        <f>Q56&amp;Q54</f>
        <v>H_.GO2_WD2030</v>
      </c>
      <c r="R59" s="119"/>
      <c r="T59" s="117" t="str">
        <f>$Q$57&amp;"Proposed Station Variable O&amp;M Costs"</f>
        <v>L_.GO2_WDProposed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217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21">C66+1</f>
        <v>2018</v>
      </c>
      <c r="D67" s="41">
        <v>2.4E-2</v>
      </c>
      <c r="E67" s="85"/>
      <c r="F67" s="87">
        <f t="shared" ref="F67:F74" si="2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21"/>
        <v>2019</v>
      </c>
      <c r="D68" s="41">
        <v>1.7999999999999999E-2</v>
      </c>
      <c r="E68" s="85"/>
      <c r="F68" s="87">
        <f t="shared" si="22"/>
        <v>2028</v>
      </c>
      <c r="G68" s="41">
        <v>2.3E-2</v>
      </c>
      <c r="H68" s="41"/>
      <c r="I68" s="87">
        <f t="shared" ref="I68:I74" si="23">I67+1</f>
        <v>2037</v>
      </c>
      <c r="J68" s="41">
        <v>2.3E-2</v>
      </c>
    </row>
    <row r="69" spans="3:14">
      <c r="C69" s="87">
        <f t="shared" si="21"/>
        <v>2020</v>
      </c>
      <c r="D69" s="41">
        <v>1.2E-2</v>
      </c>
      <c r="E69" s="85"/>
      <c r="F69" s="87">
        <f t="shared" si="22"/>
        <v>2029</v>
      </c>
      <c r="G69" s="41">
        <v>2.4E-2</v>
      </c>
      <c r="H69" s="41"/>
      <c r="I69" s="87">
        <f t="shared" si="23"/>
        <v>2038</v>
      </c>
      <c r="J69" s="41">
        <v>2.3E-2</v>
      </c>
    </row>
    <row r="70" spans="3:14">
      <c r="C70" s="87">
        <f t="shared" si="21"/>
        <v>2021</v>
      </c>
      <c r="D70" s="41">
        <v>3.2000000000000001E-2</v>
      </c>
      <c r="E70" s="85"/>
      <c r="F70" s="87">
        <f t="shared" si="22"/>
        <v>2030</v>
      </c>
      <c r="G70" s="41">
        <v>2.3E-2</v>
      </c>
      <c r="H70" s="41"/>
      <c r="I70" s="87">
        <f t="shared" si="23"/>
        <v>2039</v>
      </c>
      <c r="J70" s="41">
        <v>2.3E-2</v>
      </c>
    </row>
    <row r="71" spans="3:14">
      <c r="C71" s="87">
        <f t="shared" si="21"/>
        <v>2022</v>
      </c>
      <c r="D71" s="41">
        <v>2.1999999999999999E-2</v>
      </c>
      <c r="E71" s="85"/>
      <c r="F71" s="87">
        <f t="shared" si="22"/>
        <v>2031</v>
      </c>
      <c r="G71" s="41">
        <v>2.3E-2</v>
      </c>
      <c r="H71" s="41"/>
      <c r="I71" s="87">
        <f t="shared" si="23"/>
        <v>2040</v>
      </c>
      <c r="J71" s="41">
        <v>2.3E-2</v>
      </c>
    </row>
    <row r="72" spans="3:14" s="119" customFormat="1">
      <c r="C72" s="87">
        <f t="shared" si="21"/>
        <v>2023</v>
      </c>
      <c r="D72" s="41">
        <v>2.1000000000000001E-2</v>
      </c>
      <c r="E72" s="86"/>
      <c r="F72" s="87">
        <f t="shared" si="22"/>
        <v>2032</v>
      </c>
      <c r="G72" s="41">
        <v>2.3E-2</v>
      </c>
      <c r="H72" s="41"/>
      <c r="I72" s="87">
        <f t="shared" si="23"/>
        <v>2041</v>
      </c>
      <c r="J72" s="41">
        <v>2.1999999999999999E-2</v>
      </c>
      <c r="N72" s="164"/>
    </row>
    <row r="73" spans="3:14" s="119" customFormat="1">
      <c r="C73" s="87">
        <f t="shared" si="21"/>
        <v>2024</v>
      </c>
      <c r="D73" s="41">
        <v>2.1999999999999999E-2</v>
      </c>
      <c r="E73" s="86"/>
      <c r="F73" s="87">
        <f t="shared" si="22"/>
        <v>2033</v>
      </c>
      <c r="G73" s="41">
        <v>2.3E-2</v>
      </c>
      <c r="H73" s="41"/>
      <c r="I73" s="87">
        <f t="shared" si="23"/>
        <v>2042</v>
      </c>
      <c r="J73" s="41">
        <v>2.1999999999999999E-2</v>
      </c>
      <c r="N73" s="164"/>
    </row>
    <row r="74" spans="3:14" s="119" customFormat="1">
      <c r="C74" s="87">
        <f t="shared" si="21"/>
        <v>2025</v>
      </c>
      <c r="D74" s="41">
        <v>2.3E-2</v>
      </c>
      <c r="E74" s="86"/>
      <c r="F74" s="87">
        <f t="shared" si="22"/>
        <v>2034</v>
      </c>
      <c r="G74" s="41">
        <v>2.3E-2</v>
      </c>
      <c r="H74" s="41"/>
      <c r="I74" s="87">
        <f t="shared" si="2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105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61</v>
      </c>
      <c r="H5" s="17" t="s">
        <v>13</v>
      </c>
      <c r="I5" s="121" t="s">
        <v>72</v>
      </c>
      <c r="J5" s="17" t="s">
        <v>52</v>
      </c>
      <c r="K5" s="121" t="s">
        <v>223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</row>
    <row r="13" spans="2:27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</row>
    <row r="14" spans="2:27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</row>
    <row r="15" spans="2:27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</row>
    <row r="16" spans="2:27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</row>
    <row r="17" spans="2:28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</row>
    <row r="18" spans="2:28">
      <c r="B18" s="135">
        <f t="shared" si="0"/>
        <v>2024</v>
      </c>
      <c r="C18" s="347">
        <v>1230.021663778163</v>
      </c>
      <c r="D18" s="128">
        <f>C18*$C$62</f>
        <v>62.546601603119584</v>
      </c>
      <c r="E18" s="128">
        <f t="shared" si="1"/>
        <v>27.85</v>
      </c>
      <c r="F18" s="128">
        <f>C60*(1+INDEX($D$66:$D$74,MATCH(B18,$C$66:$C$74,0),1))</f>
        <v>1.5003223695568759</v>
      </c>
      <c r="G18" s="130">
        <f>(D18+E18+F18)/(8.76*$C$63)</f>
        <v>32.278512108421658</v>
      </c>
      <c r="H18" s="128">
        <f t="shared" si="2"/>
        <v>0</v>
      </c>
      <c r="I18" s="130">
        <f>(G18+H18)</f>
        <v>32.278512108421658</v>
      </c>
      <c r="J18" s="130">
        <f t="shared" ref="J18:J32" si="4">ROUND(I18*$C$63*8.76,2)</f>
        <v>91.9</v>
      </c>
      <c r="K18" s="128">
        <f t="shared" si="3"/>
        <v>91.896923972676461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6"/>
      <c r="AB18" s="279"/>
    </row>
    <row r="19" spans="2:28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63.99</v>
      </c>
      <c r="E19" s="128">
        <f t="shared" si="1"/>
        <v>28.49</v>
      </c>
      <c r="F19" s="128">
        <f t="shared" si="5"/>
        <v>1.53</v>
      </c>
      <c r="G19" s="130">
        <f t="shared" ref="G19:G37" si="6">(D19+E19+F19)/(8.76*$C$63)</f>
        <v>33.020723568668778</v>
      </c>
      <c r="H19" s="128">
        <f t="shared" si="2"/>
        <v>0</v>
      </c>
      <c r="I19" s="130">
        <f t="shared" ref="I19:I37" si="7">(G19+H19)</f>
        <v>33.020723568668778</v>
      </c>
      <c r="J19" s="130">
        <f t="shared" si="4"/>
        <v>94.01</v>
      </c>
      <c r="K19" s="128">
        <f t="shared" si="3"/>
        <v>94.01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</row>
    <row r="20" spans="2:28">
      <c r="B20" s="135">
        <f t="shared" si="0"/>
        <v>2026</v>
      </c>
      <c r="C20" s="136"/>
      <c r="D20" s="128">
        <f t="shared" si="5"/>
        <v>65.459999999999994</v>
      </c>
      <c r="E20" s="128">
        <f t="shared" si="1"/>
        <v>29.15</v>
      </c>
      <c r="F20" s="128">
        <f t="shared" si="5"/>
        <v>1.57</v>
      </c>
      <c r="G20" s="130">
        <f t="shared" si="6"/>
        <v>33.782929399367745</v>
      </c>
      <c r="H20" s="128">
        <f t="shared" si="2"/>
        <v>0</v>
      </c>
      <c r="I20" s="130">
        <f t="shared" si="7"/>
        <v>33.782929399367745</v>
      </c>
      <c r="J20" s="130">
        <f t="shared" si="4"/>
        <v>96.18</v>
      </c>
      <c r="K20" s="128">
        <f t="shared" si="3"/>
        <v>96.179999999999978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</row>
    <row r="21" spans="2:28">
      <c r="B21" s="135">
        <f t="shared" si="0"/>
        <v>2027</v>
      </c>
      <c r="C21" s="136"/>
      <c r="D21" s="128">
        <f t="shared" si="5"/>
        <v>66.97</v>
      </c>
      <c r="E21" s="128">
        <f t="shared" si="1"/>
        <v>29.82</v>
      </c>
      <c r="F21" s="128">
        <f t="shared" si="5"/>
        <v>1.61</v>
      </c>
      <c r="G21" s="130">
        <f t="shared" si="6"/>
        <v>34.562697576396204</v>
      </c>
      <c r="H21" s="128">
        <f t="shared" si="2"/>
        <v>0</v>
      </c>
      <c r="I21" s="130">
        <f t="shared" si="7"/>
        <v>34.562697576396204</v>
      </c>
      <c r="J21" s="130">
        <f t="shared" si="4"/>
        <v>98.4</v>
      </c>
      <c r="K21" s="128">
        <f t="shared" si="3"/>
        <v>98.399999999999991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</row>
    <row r="22" spans="2:28">
      <c r="B22" s="135">
        <f t="shared" si="0"/>
        <v>2028</v>
      </c>
      <c r="C22" s="136"/>
      <c r="D22" s="128">
        <f t="shared" si="5"/>
        <v>68.510000000000005</v>
      </c>
      <c r="E22" s="128">
        <f t="shared" si="1"/>
        <v>30.51</v>
      </c>
      <c r="F22" s="128">
        <f t="shared" si="5"/>
        <v>1.65</v>
      </c>
      <c r="G22" s="130">
        <f t="shared" si="6"/>
        <v>35.360028099754132</v>
      </c>
      <c r="H22" s="128">
        <f t="shared" si="2"/>
        <v>0</v>
      </c>
      <c r="I22" s="130">
        <f t="shared" si="7"/>
        <v>35.360028099754132</v>
      </c>
      <c r="J22" s="130">
        <f t="shared" si="4"/>
        <v>100.67</v>
      </c>
      <c r="K22" s="128">
        <f t="shared" si="3"/>
        <v>100.67000000000002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</row>
    <row r="23" spans="2:28">
      <c r="B23" s="135">
        <f t="shared" si="0"/>
        <v>2029</v>
      </c>
      <c r="C23" s="136"/>
      <c r="D23" s="128">
        <f t="shared" si="5"/>
        <v>70.150000000000006</v>
      </c>
      <c r="E23" s="128">
        <f t="shared" si="1"/>
        <v>31.24</v>
      </c>
      <c r="F23" s="128">
        <f t="shared" si="5"/>
        <v>1.69</v>
      </c>
      <c r="G23" s="130">
        <f t="shared" si="6"/>
        <v>36.206533192834563</v>
      </c>
      <c r="H23" s="128">
        <f t="shared" si="2"/>
        <v>0</v>
      </c>
      <c r="I23" s="130">
        <f t="shared" si="7"/>
        <v>36.206533192834563</v>
      </c>
      <c r="J23" s="130">
        <f t="shared" si="4"/>
        <v>103.08</v>
      </c>
      <c r="K23" s="128">
        <f t="shared" si="3"/>
        <v>103.08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</row>
    <row r="24" spans="2:28">
      <c r="B24" s="135">
        <f t="shared" si="0"/>
        <v>2030</v>
      </c>
      <c r="C24" s="136"/>
      <c r="D24" s="128">
        <f t="shared" si="5"/>
        <v>71.760000000000005</v>
      </c>
      <c r="E24" s="128">
        <f t="shared" si="1"/>
        <v>31.96</v>
      </c>
      <c r="F24" s="128">
        <f t="shared" si="5"/>
        <v>1.73</v>
      </c>
      <c r="G24" s="130">
        <f t="shared" si="6"/>
        <v>37.038988408851424</v>
      </c>
      <c r="H24" s="128">
        <f t="shared" si="2"/>
        <v>0</v>
      </c>
      <c r="I24" s="130">
        <f t="shared" si="7"/>
        <v>37.038988408851424</v>
      </c>
      <c r="J24" s="130">
        <f t="shared" si="4"/>
        <v>105.45</v>
      </c>
      <c r="K24" s="128">
        <f t="shared" si="3"/>
        <v>105.45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</row>
    <row r="25" spans="2:28">
      <c r="B25" s="135">
        <f t="shared" si="0"/>
        <v>2031</v>
      </c>
      <c r="C25" s="136"/>
      <c r="D25" s="128">
        <f t="shared" si="5"/>
        <v>73.41</v>
      </c>
      <c r="E25" s="128">
        <f t="shared" si="1"/>
        <v>32.700000000000003</v>
      </c>
      <c r="F25" s="128">
        <f t="shared" si="5"/>
        <v>1.77</v>
      </c>
      <c r="G25" s="130">
        <f t="shared" si="6"/>
        <v>37.892518440463647</v>
      </c>
      <c r="H25" s="128">
        <f t="shared" si="2"/>
        <v>0</v>
      </c>
      <c r="I25" s="130">
        <f t="shared" si="7"/>
        <v>37.892518440463647</v>
      </c>
      <c r="J25" s="130">
        <f t="shared" si="4"/>
        <v>107.88</v>
      </c>
      <c r="K25" s="128">
        <f t="shared" si="3"/>
        <v>107.88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</row>
    <row r="26" spans="2:28">
      <c r="B26" s="135">
        <f t="shared" si="0"/>
        <v>2032</v>
      </c>
      <c r="C26" s="136"/>
      <c r="D26" s="128">
        <f t="shared" si="5"/>
        <v>75.099999999999994</v>
      </c>
      <c r="E26" s="128">
        <f t="shared" si="1"/>
        <v>33.450000000000003</v>
      </c>
      <c r="F26" s="128">
        <f t="shared" si="5"/>
        <v>1.81</v>
      </c>
      <c r="G26" s="130">
        <f t="shared" si="6"/>
        <v>38.76361081840534</v>
      </c>
      <c r="H26" s="128">
        <f t="shared" si="2"/>
        <v>0</v>
      </c>
      <c r="I26" s="130">
        <f t="shared" si="7"/>
        <v>38.76361081840534</v>
      </c>
      <c r="J26" s="130">
        <f t="shared" si="4"/>
        <v>110.36</v>
      </c>
      <c r="K26" s="128">
        <f t="shared" si="3"/>
        <v>110.36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</row>
    <row r="27" spans="2:28">
      <c r="B27" s="135">
        <f t="shared" si="0"/>
        <v>2033</v>
      </c>
      <c r="C27" s="136"/>
      <c r="D27" s="128">
        <f t="shared" si="5"/>
        <v>76.83</v>
      </c>
      <c r="E27" s="128">
        <f t="shared" si="1"/>
        <v>34.22</v>
      </c>
      <c r="F27" s="128">
        <f t="shared" si="5"/>
        <v>1.85</v>
      </c>
      <c r="G27" s="130">
        <f t="shared" si="6"/>
        <v>39.655778011942395</v>
      </c>
      <c r="H27" s="128">
        <f t="shared" si="2"/>
        <v>0</v>
      </c>
      <c r="I27" s="130">
        <f t="shared" si="7"/>
        <v>39.655778011942395</v>
      </c>
      <c r="J27" s="130">
        <f t="shared" si="4"/>
        <v>112.9</v>
      </c>
      <c r="K27" s="128">
        <f t="shared" si="3"/>
        <v>112.89999999999999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</row>
    <row r="28" spans="2:28">
      <c r="B28" s="135">
        <f t="shared" si="0"/>
        <v>2034</v>
      </c>
      <c r="C28" s="136"/>
      <c r="D28" s="128">
        <f t="shared" si="5"/>
        <v>78.599999999999994</v>
      </c>
      <c r="E28" s="128">
        <f t="shared" si="1"/>
        <v>35.01</v>
      </c>
      <c r="F28" s="128">
        <f t="shared" si="5"/>
        <v>1.89</v>
      </c>
      <c r="G28" s="130">
        <f t="shared" si="6"/>
        <v>40.569020021074813</v>
      </c>
      <c r="H28" s="128">
        <f t="shared" si="2"/>
        <v>0</v>
      </c>
      <c r="I28" s="130">
        <f t="shared" si="7"/>
        <v>40.569020021074813</v>
      </c>
      <c r="J28" s="130">
        <f t="shared" si="4"/>
        <v>115.5</v>
      </c>
      <c r="K28" s="128">
        <f t="shared" si="3"/>
        <v>115.49999999999999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</row>
    <row r="29" spans="2:28">
      <c r="B29" s="135">
        <f t="shared" si="0"/>
        <v>2035</v>
      </c>
      <c r="C29" s="136"/>
      <c r="D29" s="128">
        <f t="shared" si="5"/>
        <v>80.41</v>
      </c>
      <c r="E29" s="128">
        <f t="shared" si="1"/>
        <v>35.82</v>
      </c>
      <c r="F29" s="128">
        <f t="shared" si="5"/>
        <v>1.93</v>
      </c>
      <c r="G29" s="130">
        <f t="shared" si="6"/>
        <v>41.5033368458026</v>
      </c>
      <c r="H29" s="128">
        <f t="shared" si="2"/>
        <v>0</v>
      </c>
      <c r="I29" s="130">
        <f t="shared" si="7"/>
        <v>41.5033368458026</v>
      </c>
      <c r="J29" s="130">
        <f t="shared" si="4"/>
        <v>118.16</v>
      </c>
      <c r="K29" s="128">
        <f t="shared" si="3"/>
        <v>118.16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</row>
    <row r="30" spans="2:28">
      <c r="B30" s="135">
        <f t="shared" si="0"/>
        <v>2036</v>
      </c>
      <c r="C30" s="136"/>
      <c r="D30" s="128">
        <f t="shared" si="5"/>
        <v>82.26</v>
      </c>
      <c r="E30" s="128">
        <f t="shared" si="1"/>
        <v>36.64</v>
      </c>
      <c r="F30" s="128">
        <f t="shared" si="5"/>
        <v>1.97</v>
      </c>
      <c r="G30" s="130">
        <f t="shared" si="6"/>
        <v>42.455216016859858</v>
      </c>
      <c r="H30" s="128">
        <f t="shared" si="2"/>
        <v>0</v>
      </c>
      <c r="I30" s="130">
        <f t="shared" si="7"/>
        <v>42.455216016859858</v>
      </c>
      <c r="J30" s="130">
        <f t="shared" si="4"/>
        <v>120.87</v>
      </c>
      <c r="K30" s="128">
        <f t="shared" si="3"/>
        <v>120.87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</row>
    <row r="31" spans="2:28">
      <c r="B31" s="135">
        <f t="shared" si="0"/>
        <v>2037</v>
      </c>
      <c r="C31" s="136"/>
      <c r="D31" s="128">
        <f t="shared" si="5"/>
        <v>84.15</v>
      </c>
      <c r="E31" s="128">
        <f t="shared" si="1"/>
        <v>37.479999999999997</v>
      </c>
      <c r="F31" s="128">
        <f t="shared" si="5"/>
        <v>2.02</v>
      </c>
      <c r="G31" s="130">
        <f t="shared" si="6"/>
        <v>43.431682472778363</v>
      </c>
      <c r="H31" s="128">
        <f t="shared" si="2"/>
        <v>0</v>
      </c>
      <c r="I31" s="130">
        <f t="shared" si="7"/>
        <v>43.431682472778363</v>
      </c>
      <c r="J31" s="130">
        <f t="shared" si="4"/>
        <v>123.65</v>
      </c>
      <c r="K31" s="128">
        <f t="shared" si="3"/>
        <v>123.64999999999999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</row>
    <row r="32" spans="2:28">
      <c r="B32" s="135">
        <f t="shared" si="0"/>
        <v>2038</v>
      </c>
      <c r="C32" s="136"/>
      <c r="D32" s="128">
        <f t="shared" si="5"/>
        <v>86.09</v>
      </c>
      <c r="E32" s="128">
        <f t="shared" si="1"/>
        <v>38.340000000000003</v>
      </c>
      <c r="F32" s="128">
        <f t="shared" si="5"/>
        <v>2.0699999999999998</v>
      </c>
      <c r="G32" s="130">
        <f t="shared" si="6"/>
        <v>44.43273621355813</v>
      </c>
      <c r="H32" s="128">
        <f t="shared" si="2"/>
        <v>0</v>
      </c>
      <c r="I32" s="130">
        <f t="shared" si="7"/>
        <v>44.43273621355813</v>
      </c>
      <c r="J32" s="130">
        <f t="shared" si="4"/>
        <v>126.5</v>
      </c>
      <c r="K32" s="128">
        <f t="shared" si="3"/>
        <v>126.5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</row>
    <row r="33" spans="2:30">
      <c r="B33" s="135">
        <f t="shared" si="0"/>
        <v>2039</v>
      </c>
      <c r="C33" s="136"/>
      <c r="D33" s="128">
        <f t="shared" si="5"/>
        <v>88.07</v>
      </c>
      <c r="E33" s="128">
        <f t="shared" si="1"/>
        <v>39.22</v>
      </c>
      <c r="F33" s="128">
        <f t="shared" si="5"/>
        <v>2.12</v>
      </c>
      <c r="G33" s="130">
        <f t="shared" si="6"/>
        <v>45.454864769933259</v>
      </c>
      <c r="H33" s="128">
        <f t="shared" si="2"/>
        <v>0</v>
      </c>
      <c r="I33" s="130">
        <f t="shared" si="7"/>
        <v>45.454864769933259</v>
      </c>
      <c r="J33" s="130">
        <f t="shared" ref="J33:J37" si="8">ROUND(I33*$C$63*8.76,2)</f>
        <v>129.41</v>
      </c>
      <c r="K33" s="128">
        <f t="shared" si="3"/>
        <v>129.41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77"/>
    </row>
    <row r="34" spans="2:30">
      <c r="B34" s="135">
        <f t="shared" si="0"/>
        <v>2040</v>
      </c>
      <c r="C34" s="136"/>
      <c r="D34" s="128">
        <f t="shared" si="5"/>
        <v>90.1</v>
      </c>
      <c r="E34" s="128">
        <f t="shared" si="1"/>
        <v>40.119999999999997</v>
      </c>
      <c r="F34" s="128">
        <f t="shared" si="5"/>
        <v>2.17</v>
      </c>
      <c r="G34" s="130">
        <f t="shared" si="6"/>
        <v>46.501580611169651</v>
      </c>
      <c r="H34" s="128">
        <f t="shared" si="2"/>
        <v>0</v>
      </c>
      <c r="I34" s="130">
        <f t="shared" si="7"/>
        <v>46.501580611169651</v>
      </c>
      <c r="J34" s="130">
        <f t="shared" si="8"/>
        <v>132.38999999999999</v>
      </c>
      <c r="K34" s="128">
        <f t="shared" si="3"/>
        <v>132.38999999999999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77"/>
    </row>
    <row r="35" spans="2:30">
      <c r="B35" s="135">
        <f t="shared" si="0"/>
        <v>2041</v>
      </c>
      <c r="C35" s="136"/>
      <c r="D35" s="128">
        <f t="shared" si="5"/>
        <v>92.08</v>
      </c>
      <c r="E35" s="128">
        <f t="shared" si="1"/>
        <v>41</v>
      </c>
      <c r="F35" s="128">
        <f t="shared" si="5"/>
        <v>2.2200000000000002</v>
      </c>
      <c r="G35" s="130">
        <f t="shared" si="6"/>
        <v>47.52370916754478</v>
      </c>
      <c r="H35" s="128">
        <f t="shared" si="2"/>
        <v>0</v>
      </c>
      <c r="I35" s="130">
        <f t="shared" si="7"/>
        <v>47.52370916754478</v>
      </c>
      <c r="J35" s="130">
        <f t="shared" si="8"/>
        <v>135.30000000000001</v>
      </c>
      <c r="K35" s="128">
        <f t="shared" si="3"/>
        <v>135.29999999999998</v>
      </c>
      <c r="L35" s="119"/>
      <c r="N35" s="117"/>
      <c r="R35" s="119"/>
      <c r="AC35" s="277"/>
    </row>
    <row r="36" spans="2:30">
      <c r="B36" s="135">
        <f t="shared" si="0"/>
        <v>2042</v>
      </c>
      <c r="C36" s="136"/>
      <c r="D36" s="128">
        <f t="shared" si="5"/>
        <v>94.11</v>
      </c>
      <c r="E36" s="128">
        <f t="shared" si="1"/>
        <v>41.9</v>
      </c>
      <c r="F36" s="128">
        <f t="shared" si="5"/>
        <v>2.27</v>
      </c>
      <c r="G36" s="130">
        <f t="shared" si="6"/>
        <v>48.570425008781172</v>
      </c>
      <c r="H36" s="128">
        <f t="shared" si="2"/>
        <v>0</v>
      </c>
      <c r="I36" s="130">
        <f t="shared" si="7"/>
        <v>48.570425008781172</v>
      </c>
      <c r="J36" s="130">
        <f t="shared" si="8"/>
        <v>138.28</v>
      </c>
      <c r="K36" s="128">
        <f t="shared" si="3"/>
        <v>138.28</v>
      </c>
      <c r="L36" s="119"/>
      <c r="N36" s="117"/>
      <c r="R36" s="119"/>
      <c r="AC36" s="277"/>
    </row>
    <row r="37" spans="2:30">
      <c r="B37" s="135">
        <f t="shared" si="0"/>
        <v>2043</v>
      </c>
      <c r="C37" s="136"/>
      <c r="D37" s="128">
        <f t="shared" si="5"/>
        <v>96.27</v>
      </c>
      <c r="E37" s="128">
        <f t="shared" si="1"/>
        <v>42.86</v>
      </c>
      <c r="F37" s="128">
        <f t="shared" si="5"/>
        <v>2.3199999999999998</v>
      </c>
      <c r="G37" s="130">
        <f t="shared" si="6"/>
        <v>49.683877766069543</v>
      </c>
      <c r="H37" s="128">
        <f t="shared" si="2"/>
        <v>0</v>
      </c>
      <c r="I37" s="130">
        <f t="shared" si="7"/>
        <v>49.683877766069543</v>
      </c>
      <c r="J37" s="130">
        <f t="shared" si="8"/>
        <v>141.44999999999999</v>
      </c>
      <c r="K37" s="128">
        <f t="shared" si="3"/>
        <v>141.44999999999999</v>
      </c>
      <c r="R37" s="119"/>
      <c r="AC37" s="277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77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77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61"/>
      <c r="S40" s="119"/>
      <c r="AD40" s="277"/>
    </row>
    <row r="41" spans="2:30">
      <c r="N41" s="117"/>
      <c r="O41" s="161"/>
      <c r="S41" s="119"/>
      <c r="AD41" s="277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77"/>
    </row>
    <row r="43" spans="2:30">
      <c r="AC43" s="277"/>
    </row>
    <row r="44" spans="2:30">
      <c r="B44" s="117" t="s">
        <v>62</v>
      </c>
      <c r="C44" s="140" t="s">
        <v>63</v>
      </c>
      <c r="D44" s="141" t="s">
        <v>101</v>
      </c>
      <c r="AC44" s="277"/>
    </row>
    <row r="45" spans="2:30">
      <c r="C45" s="140" t="str">
        <f>C7</f>
        <v>(a)</v>
      </c>
      <c r="D45" s="117" t="s">
        <v>64</v>
      </c>
      <c r="AC45" s="277"/>
    </row>
    <row r="46" spans="2:30">
      <c r="C46" s="140" t="str">
        <f>D7</f>
        <v>(b)</v>
      </c>
      <c r="D46" s="130" t="str">
        <f>"= "&amp;C7&amp;" x "&amp;C62</f>
        <v>= (a) x 0.05085</v>
      </c>
      <c r="AC46" s="277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32.5%)</v>
      </c>
      <c r="AC47" s="277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65</v>
      </c>
      <c r="D53" s="146" t="s">
        <v>66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102</v>
      </c>
      <c r="Q54" s="274">
        <v>2024</v>
      </c>
    </row>
    <row r="55" spans="2:25">
      <c r="B55" s="85" t="s">
        <v>100</v>
      </c>
      <c r="C55" s="170">
        <v>1611.5125096665929</v>
      </c>
      <c r="D55" s="117" t="s">
        <v>64</v>
      </c>
      <c r="O55" s="278">
        <v>230.8</v>
      </c>
      <c r="P55" s="117" t="s">
        <v>32</v>
      </c>
      <c r="Q55" s="274" t="s">
        <v>106</v>
      </c>
      <c r="R55" s="274" t="s">
        <v>107</v>
      </c>
      <c r="T55" s="274" t="str">
        <f>$Q$55&amp;"Proposed Station Capital Costs"</f>
        <v>L1.US1_PVSProposed Station Capital Costs</v>
      </c>
    </row>
    <row r="56" spans="2:25">
      <c r="B56" s="85" t="s">
        <v>100</v>
      </c>
      <c r="C56" s="268">
        <v>24.570618817436728</v>
      </c>
      <c r="D56" s="117" t="s">
        <v>67</v>
      </c>
      <c r="R56" s="119"/>
      <c r="T56" s="274" t="str">
        <f>$Q$55&amp;"Proposed Station Fixed Costs"</f>
        <v>L1.US1_PVSProposed Station Fixed Costs</v>
      </c>
    </row>
    <row r="57" spans="2:25" ht="24" customHeight="1">
      <c r="B57" s="85"/>
      <c r="C57" s="270"/>
      <c r="D57" s="117" t="s">
        <v>104</v>
      </c>
      <c r="Q57" s="213" t="str">
        <f>Q55&amp;Q54</f>
        <v>L1.US1_PVS2024</v>
      </c>
      <c r="T57" s="274" t="str">
        <f>$Q$55&amp;"Proposed Station Variable O&amp;M Costs"</f>
        <v>L1.US1_PVSProposed Station Variable O&amp;M Costs</v>
      </c>
    </row>
    <row r="58" spans="2:25">
      <c r="B58" s="85" t="s">
        <v>100</v>
      </c>
      <c r="C58" s="268">
        <v>0</v>
      </c>
      <c r="D58" s="117" t="s">
        <v>68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69</v>
      </c>
      <c r="I59" s="196" t="s">
        <v>90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2023$</v>
      </c>
      <c r="C60" s="270">
        <f>INDEX('Table 3 TransCost'!$39:$39,1,MATCH(F60,'Table 3 TransCost'!$4:$4,0)+2)</f>
        <v>1.4680258019147514</v>
      </c>
      <c r="D60" s="117" t="s">
        <v>217</v>
      </c>
      <c r="F60" s="274" t="s">
        <v>220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108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54</vt:i4>
      </vt:variant>
    </vt:vector>
  </HeadingPairs>
  <TitlesOfParts>
    <vt:vector size="73" baseType="lpstr">
      <vt:lpstr>Table 1</vt:lpstr>
      <vt:lpstr>Table 2</vt:lpstr>
      <vt:lpstr>Table 4</vt:lpstr>
      <vt:lpstr>Table3ACsummary</vt:lpstr>
      <vt:lpstr>Table 5</vt:lpstr>
      <vt:lpstr>Table 3 UT CP Wind_2023</vt:lpstr>
      <vt:lpstr>Table 3 WYAE Wind_2024</vt:lpstr>
      <vt:lpstr>Table 3 ID Wind_2030</vt:lpstr>
      <vt:lpstr>Table 3 PV wS UTS_2024</vt:lpstr>
      <vt:lpstr>Table 3 PV wS UTS_2030</vt:lpstr>
      <vt:lpstr>Table 3 PV wS JB_2024</vt:lpstr>
      <vt:lpstr>Table 3 PV wS JB_2029</vt:lpstr>
      <vt:lpstr>Table 3 PV wS SO_2024</vt:lpstr>
      <vt:lpstr>Table 3 PV wS YK_2024</vt:lpstr>
      <vt:lpstr>Table 3 PV wS UTN_2024</vt:lpstr>
      <vt:lpstr>Table 3 185 MW (NTN) 2026)</vt:lpstr>
      <vt:lpstr>Table 3 YK Wind wS_2029</vt:lpstr>
      <vt:lpstr>Table 3 ID Wind wS_2032</vt:lpstr>
      <vt:lpstr>Table 3 TransCost</vt:lpstr>
      <vt:lpstr>_200_SCCT_UtahN</vt:lpstr>
      <vt:lpstr>_200_SCCT_WYNE</vt:lpstr>
      <vt:lpstr>'Table 3 185 MW (NTN) 2026)'!_30_Geo_West</vt:lpstr>
      <vt:lpstr>'Table 3 TransCost'!_30_Geo_West</vt:lpstr>
      <vt:lpstr>_30_Geo_West</vt:lpstr>
      <vt:lpstr>'Table 3 185 MW (NTN) 2026)'!_436_CCCT_WestMain</vt:lpstr>
      <vt:lpstr>'Table 3 TransCost'!_436_CCCT_WestMain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'Table 1'!Print_Area</vt:lpstr>
      <vt:lpstr>'Table 2'!Print_Area</vt:lpstr>
      <vt:lpstr>'Table 3 185 MW (NTN) 2026)'!Print_Area</vt:lpstr>
      <vt:lpstr>'Table 3 ID Wind wS_2032'!Print_Area</vt:lpstr>
      <vt:lpstr>'Table 3 ID Wind_2030'!Print_Area</vt:lpstr>
      <vt:lpstr>'Table 3 PV wS JB_2024'!Print_Area</vt:lpstr>
      <vt:lpstr>'Table 3 PV wS JB_2029'!Print_Area</vt:lpstr>
      <vt:lpstr>'Table 3 PV wS SO_2024'!Print_Area</vt:lpstr>
      <vt:lpstr>'Table 3 PV wS UTN_2024'!Print_Area</vt:lpstr>
      <vt:lpstr>'Table 3 PV wS UTS_2024'!Print_Area</vt:lpstr>
      <vt:lpstr>'Table 3 PV wS UTS_2030'!Print_Area</vt:lpstr>
      <vt:lpstr>'Table 3 PV wS YK_2024'!Print_Area</vt:lpstr>
      <vt:lpstr>'Table 3 TransCost'!Print_Area</vt:lpstr>
      <vt:lpstr>'Table 3 UT CP Wind_2023'!Print_Area</vt:lpstr>
      <vt:lpstr>'Table 3 WYAE Wind_2024'!Print_Area</vt:lpstr>
      <vt:lpstr>'Table 3 YK Wind wS_2029'!Print_Area</vt:lpstr>
      <vt:lpstr>'Table 4'!Print_Area</vt:lpstr>
      <vt:lpstr>'Table 5'!Print_Area</vt:lpstr>
      <vt:lpstr>Table3ACsummary!Print_Area</vt:lpstr>
      <vt:lpstr>'Table 2'!Print_Titles</vt:lpstr>
      <vt:lpstr>'Table 3 185 MW (NTN) 2026)'!Print_Titles</vt:lpstr>
      <vt:lpstr>'Table 2'!Study_Cap_Adj</vt:lpstr>
      <vt:lpstr>'Table 3 185 MW (NTN) 2026)'!Study_Cap_Adj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2021-12-17T21:52:58Z</dcterms:modified>
</cp:coreProperties>
</file>