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CAM-ECAM-ECAC\Utah (EBA-REC-SOLAR)\2020 EBA\"/>
    </mc:Choice>
  </mc:AlternateContent>
  <xr:revisionPtr revIDLastSave="0" documentId="13_ncr:1_{4207C93D-B73F-4040-9067-442E55DF9716}" xr6:coauthVersionLast="45" xr6:coauthVersionMax="45" xr10:uidLastSave="{00000000-0000-0000-0000-000000000000}"/>
  <bookViews>
    <workbookView xWindow="-110" yWindow="-110" windowWidth="19420" windowHeight="10420" tabRatio="826" activeTab="1" xr2:uid="{00000000-000D-0000-FFFF-FFFF00000000}"/>
  </bookViews>
  <sheets>
    <sheet name="Table 1" sheetId="32" r:id="rId1"/>
    <sheet name="Exhibit-RMP(RMM-1) page 1" sheetId="10" r:id="rId2"/>
    <sheet name="Exhibit-RMP(RMM-1) page 2" sheetId="6" r:id="rId3"/>
    <sheet name="Exhibit-RMP(RMM-2)" sheetId="5" r:id="rId4"/>
    <sheet name="Comparison" sheetId="30" r:id="rId5"/>
    <sheet name="Sch73 Adj" sheetId="23" r:id="rId6"/>
    <sheet name="Sch1 Bill Impact" sheetId="9" r:id="rId7"/>
    <sheet name="Allocator-2014" sheetId="18" r:id="rId8"/>
    <sheet name="Note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4" hidden="1">{#N/A,#N/A,FALSE,"Summary";#N/A,#N/A,FALSE,"SmPlants";#N/A,#N/A,FALSE,"Utah";#N/A,#N/A,FALSE,"Idaho";#N/A,#N/A,FALSE,"Lewis River";#N/A,#N/A,FALSE,"NrthUmpq";#N/A,#N/A,FALSE,"KlamRog"}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4" hidden="1">{#N/A,#N/A,FALSE,"Summary";#N/A,#N/A,FALSE,"SmPlants";#N/A,#N/A,FALSE,"Utah";#N/A,#N/A,FALSE,"Idaho";#N/A,#N/A,FALSE,"Lewis River";#N/A,#N/A,FALSE,"NrthUmpq";#N/A,#N/A,FALSE,"KlamRog"}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4" hidden="1">{#N/A,#N/A,FALSE,"Summary";#N/A,#N/A,FALSE,"SmPlants";#N/A,#N/A,FALSE,"Utah";#N/A,#N/A,FALSE,"Idaho";#N/A,#N/A,FALSE,"Lewis River";#N/A,#N/A,FALSE,"NrthUmpq";#N/A,#N/A,FALSE,"KlamRog"}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4" hidden="1">{#N/A,#N/A,FALSE,"Summary";#N/A,#N/A,FALSE,"SmPlants";#N/A,#N/A,FALSE,"Utah";#N/A,#N/A,FALSE,"Idaho";#N/A,#N/A,FALSE,"Lewis River";#N/A,#N/A,FALSE,"NrthUmpq";#N/A,#N/A,FALSE,"KlamRog"}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4" hidden="1">{#N/A,#N/A,FALSE,"Summary";#N/A,#N/A,FALSE,"SmPlants";#N/A,#N/A,FALSE,"Utah";#N/A,#N/A,FALSE,"Idaho";#N/A,#N/A,FALSE,"Lewis River";#N/A,#N/A,FALSE,"NrthUmpq";#N/A,#N/A,FALSE,"KlamRog"}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4" hidden="1">{#N/A,#N/A,FALSE,"Summary";#N/A,#N/A,FALSE,"SmPlants";#N/A,#N/A,FALSE,"Utah";#N/A,#N/A,FALSE,"Idaho";#N/A,#N/A,FALSE,"Lewis River";#N/A,#N/A,FALSE,"NrthUmpq";#N/A,#N/A,FALSE,"KlamRog"}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4" hidden="1">{#N/A,#N/A,FALSE,"Summary";#N/A,#N/A,FALSE,"SmPlants";#N/A,#N/A,FALSE,"Utah";#N/A,#N/A,FALSE,"Idaho";#N/A,#N/A,FALSE,"Lewis River";#N/A,#N/A,FALSE,"NrthUmpq";#N/A,#N/A,FALSE,"KlamRog"}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4" hidden="1">{#N/A,#N/A,FALSE,"Summary";#N/A,#N/A,FALSE,"SmPlants";#N/A,#N/A,FALSE,"Utah";#N/A,#N/A,FALSE,"Idaho";#N/A,#N/A,FALSE,"Lewis River";#N/A,#N/A,FALSE,"NrthUmpq";#N/A,#N/A,FALSE,"KlamRog"}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" hidden="1">[1]Inputs!#REF!</definedName>
    <definedName name="__123Graph_A" localSheetId="3" hidden="1">'Exhibit-RMP(RMM-2)'!#REF!</definedName>
    <definedName name="__123Graph_A" localSheetId="6" hidden="1">[1]Inputs!#REF!</definedName>
    <definedName name="__123Graph_A" localSheetId="0" hidden="1">[2]Inputs!#REF!</definedName>
    <definedName name="__123Graph_A" hidden="1">[1]Inputs!#REF!</definedName>
    <definedName name="__123Graph_AGRAPH1" localSheetId="3" hidden="1">'Exhibit-RMP(RMM-2)'!#REF!</definedName>
    <definedName name="__123Graph_B" localSheetId="1" hidden="1">[1]Inputs!#REF!</definedName>
    <definedName name="__123Graph_B" localSheetId="3" hidden="1">'Exhibit-RMP(RMM-2)'!#REF!</definedName>
    <definedName name="__123Graph_B" localSheetId="6" hidden="1">[1]Inputs!#REF!</definedName>
    <definedName name="__123Graph_B" localSheetId="0" hidden="1">[2]Inputs!#REF!</definedName>
    <definedName name="__123Graph_B" hidden="1">[1]Inputs!#REF!</definedName>
    <definedName name="__123Graph_C" localSheetId="3" hidden="1">'Exhibit-RMP(RMM-2)'!#REF!</definedName>
    <definedName name="__123Graph_D" localSheetId="1" hidden="1">[1]Inputs!#REF!</definedName>
    <definedName name="__123Graph_D" localSheetId="3" hidden="1">'Exhibit-RMP(RMM-2)'!#REF!</definedName>
    <definedName name="__123Graph_D" localSheetId="6" hidden="1">[1]Inputs!#REF!</definedName>
    <definedName name="__123Graph_D" localSheetId="0" hidden="1">[2]Inputs!#REF!</definedName>
    <definedName name="__123Graph_D" hidden="1">[1]Inputs!#REF!</definedName>
    <definedName name="__123Graph_E" localSheetId="3" hidden="1">'Exhibit-RMP(RMM-2)'!#REF!</definedName>
    <definedName name="__123Graph_E" localSheetId="0" hidden="1">[3]Input!$E$22:$E$37</definedName>
    <definedName name="__123Graph_E" hidden="1">[4]Input!$E$22:$E$37</definedName>
    <definedName name="__123Graph_F" localSheetId="3" hidden="1">'Exhibit-RMP(RMM-2)'!#REF!</definedName>
    <definedName name="__123Graph_F" localSheetId="0" hidden="1">[3]Input!$D$22:$D$37</definedName>
    <definedName name="__123Graph_F" hidden="1">[4]Input!$D$22:$D$37</definedName>
    <definedName name="__j1" localSheetId="4" hidden="1">{"PRINT",#N/A,TRUE,"APPA";"PRINT",#N/A,TRUE,"APS";"PRINT",#N/A,TRUE,"BHPL";"PRINT",#N/A,TRUE,"BHPL2";"PRINT",#N/A,TRUE,"CDWR";"PRINT",#N/A,TRUE,"EWEB";"PRINT",#N/A,TRUE,"LADWP";"PRINT",#N/A,TRUE,"NEVBASE"}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4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4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4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4" hidden="1">{#N/A,#N/A,FALSE,"Summary";#N/A,#N/A,FALSE,"SmPlants";#N/A,#N/A,FALSE,"Utah";#N/A,#N/A,FALSE,"Idaho";#N/A,#N/A,FALSE,"Lewis River";#N/A,#N/A,FALSE,"NrthUmpq";#N/A,#N/A,FALSE,"KlamRog"}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ist_Values" localSheetId="3" hidden="1">'Exhibit-RMP(RMM-2)'!#REF!</definedName>
    <definedName name="_Fill" localSheetId="4" hidden="1">#REF!</definedName>
    <definedName name="_Fill" localSheetId="1" hidden="1">#REF!</definedName>
    <definedName name="_Fill" localSheetId="2" hidden="1">#REF!</definedName>
    <definedName name="_Fill" localSheetId="3" hidden="1">'Exhibit-RMP(RMM-2)'!#REF!</definedName>
    <definedName name="_Fill" localSheetId="6" hidden="1">#REF!</definedName>
    <definedName name="_Fill" localSheetId="0" hidden="1">#REF!</definedName>
    <definedName name="_Fill" hidden="1">#REF!</definedName>
    <definedName name="_xlnm._FilterDatabase" localSheetId="4" hidden="1">#REF!</definedName>
    <definedName name="_xlnm._FilterDatabase" localSheetId="3" hidden="1">'Exhibit-RMP(RMM-2)'!$I$473:$I$474</definedName>
    <definedName name="_xlnm._FilterDatabase" localSheetId="0" hidden="1">#REF!</definedName>
    <definedName name="_xlnm._FilterDatabase" hidden="1">#REF!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4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0" hidden="1">#REF!</definedName>
    <definedName name="_Key1" hidden="1">#REF!</definedName>
    <definedName name="_Key2" localSheetId="4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0" hidden="1">#REF!</definedName>
    <definedName name="_Key2" hidden="1">#REF!</definedName>
    <definedName name="_OM1" localSheetId="4" hidden="1">{#N/A,#N/A,FALSE,"Summary";#N/A,#N/A,FALSE,"SmPlants";#N/A,#N/A,FALSE,"Utah";#N/A,#N/A,FALSE,"Idaho";#N/A,#N/A,FALSE,"Lewis River";#N/A,#N/A,FALSE,"NrthUmpq";#N/A,#N/A,FALSE,"KlamRog"}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1" hidden="1">255</definedName>
    <definedName name="_Order1" localSheetId="2" hidden="1">255</definedName>
    <definedName name="_Order1" localSheetId="6" hidden="1">255</definedName>
    <definedName name="_Order1" localSheetId="0" hidden="1">255</definedName>
    <definedName name="_Order1" hidden="1">0</definedName>
    <definedName name="_Order2" localSheetId="1" hidden="1">255</definedName>
    <definedName name="_Order2" localSheetId="2" hidden="1">255</definedName>
    <definedName name="_Order2" localSheetId="6" hidden="1">255</definedName>
    <definedName name="_Order2" hidden="1">0</definedName>
    <definedName name="_Regression_Out" localSheetId="4" hidden="1">#REF!</definedName>
    <definedName name="_Regression_Out" localSheetId="2" hidden="1">#REF!</definedName>
    <definedName name="_Regression_Out" localSheetId="3" hidden="1">#REF!</definedName>
    <definedName name="_Regression_Out" hidden="1">#REF!</definedName>
    <definedName name="_Regression_X" localSheetId="4" hidden="1">#REF!</definedName>
    <definedName name="_Regression_X" localSheetId="2" hidden="1">#REF!</definedName>
    <definedName name="_Regression_X" localSheetId="3" hidden="1">#REF!</definedName>
    <definedName name="_Regression_X" hidden="1">#REF!</definedName>
    <definedName name="_Regression_Y" localSheetId="4" hidden="1">#REF!</definedName>
    <definedName name="_Regression_Y" localSheetId="2" hidden="1">#REF!</definedName>
    <definedName name="_Regression_Y" localSheetId="3" hidden="1">#REF!</definedName>
    <definedName name="_Regression_Y" hidden="1">#REF!</definedName>
    <definedName name="_Sort" localSheetId="4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0" hidden="1">#REF!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2" hidden="1">#REF!</definedName>
    <definedName name="a" localSheetId="3" hidden="1">#REF!</definedName>
    <definedName name="a" localSheetId="6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lkjslkj" localSheetId="4" hidden="1">{0,#N/A,TRUE,0;0,#N/A,TRUE,0;0,#N/A,TRUE,0;0,#N/A,TRUE,0;0,#N/A,TRUE,0;0,#N/A,TRUE,0;0,#N/A,TRUE,0;0,#N/A,TRUE,0}</definedName>
    <definedName name="alkjslkj" hidden="1">{0,#N/A,TRUE,0;0,#N/A,TRUE,0;0,#N/A,TRUE,0;0,#N/A,TRUE,0;0,#N/A,TRUE,0;0,#N/A,TRUE,0;0,#N/A,TRUE,0;0,#N/A,TRUE,0}</definedName>
    <definedName name="anscount" hidden="1">1</definedName>
    <definedName name="asa" localSheetId="4" hidden="1">{"Factors Pages 1-2",#N/A,FALSE,"Factors";"Factors Page 3",#N/A,FALSE,"Factors";"Factors Page 4",#N/A,FALSE,"Factors";"Factors Page 5",#N/A,FALSE,"Factors";"Factors Pages 8-27",#N/A,FALSE,"Factors"}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localSheetId="4" hidden="1">{#N/A,#N/A,FALSE,"Summary";#N/A,#N/A,FALSE,"SmPlants";#N/A,#N/A,FALSE,"Utah";#N/A,#N/A,FALSE,"Idaho";#N/A,#N/A,FALSE,"Lewis River";#N/A,#N/A,FALSE,"NrthUmpq";#N/A,#N/A,FALSE,"KlamRog"}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4" hidden="1">{"PRINT",#N/A,TRUE,"APPA";"PRINT",#N/A,TRUE,"APS";"PRINT",#N/A,TRUE,"BHPL";"PRINT",#N/A,TRUE,"BHPL2";"PRINT",#N/A,TRUE,"CDWR";"PRINT",#N/A,TRUE,"EWEB";"PRINT",#N/A,TRUE,"LADWP";"PRINT",#N/A,TRUE,"NEVBASE"}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4" hidden="1">{"YTD-Total",#N/A,TRUE,"Provision";"YTD-Utility",#N/A,TRUE,"Prov Utility";"YTD-NonUtility",#N/A,TRUE,"Prov NonUtility"}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ana" localSheetId="4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4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sd" hidden="1">[1]Inputs!#REF!</definedName>
    <definedName name="DUDE" localSheetId="4" hidden="1">#REF!</definedName>
    <definedName name="DUDE" localSheetId="1" hidden="1">#REF!</definedName>
    <definedName name="DUDE" localSheetId="6" hidden="1">#REF!</definedName>
    <definedName name="DUDE" localSheetId="0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4" hidden="1">{#N/A,#N/A,FALSE,"Loans";#N/A,#N/A,FALSE,"Program Costs";#N/A,#N/A,FALSE,"Measures";#N/A,#N/A,FALSE,"Net Lost Rev";#N/A,#N/A,FALSE,"Incentive"}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4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4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hfjhke" localSheetId="4" hidden="1">{0,#N/A,TRUE,0;0,#N/A,TRUE,0;0,#N/A,TRUE,0;0,#N/A,TRUE,0;0,#N/A,TRUE,0;0,#N/A,TRUE,0;0,#N/A,TRUE,0;0,#N/A,TRUE,0}</definedName>
    <definedName name="fhfjhke" hidden="1">{0,#N/A,TRUE,0;0,#N/A,TRUE,0;0,#N/A,TRUE,0;0,#N/A,TRUE,0;0,#N/A,TRUE,0;0,#N/A,TRUE,0;0,#N/A,TRUE,0;0,#N/A,TRUE,0}</definedName>
    <definedName name="fjljelj" localSheetId="4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4" hidden="1">{"PRINT",#N/A,TRUE,"APPA";"PRINT",#N/A,TRUE,"APS";"PRINT",#N/A,TRUE,"BHPL";"PRINT",#N/A,TRUE,"BHPL2";"PRINT",#N/A,TRUE,"CDWR";"PRINT",#N/A,TRUE,"EWEB";"PRINT",#N/A,TRUE,"LADWP";"PRINT",#N/A,TRUE,"NEVBASE"}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4" hidden="1">{#N/A,#N/A,FALSE,"Summary";#N/A,#N/A,FALSE,"SmPlants";#N/A,#N/A,FALSE,"Utah";#N/A,#N/A,FALSE,"Idaho";#N/A,#N/A,FALSE,"Lewis River";#N/A,#N/A,FALSE,"NrthUmpq";#N/A,#N/A,FALSE,"KlamRog"}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4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fkejflj" localSheetId="4" hidden="1">{0,#N/A,TRUE,0;0,#N/A,TRUE,0;0,#N/A,TRUE,0;0,#N/A,TRUE,0;0,#N/A,TRUE,0;0,#N/A,TRUE,0;0,#N/A,TRUE,0;0,#N/A,TRUE,0}</definedName>
    <definedName name="jfkejflj" hidden="1">{0,#N/A,TRUE,0;0,#N/A,TRUE,0;0,#N/A,TRUE,0;0,#N/A,TRUE,0;0,#N/A,TRUE,0;0,#N/A,TRUE,0;0,#N/A,TRUE,0;0,#N/A,TRUE,0}</definedName>
    <definedName name="jfkjlllje" localSheetId="4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nk" localSheetId="4" hidden="1">{"PRINT",#N/A,TRUE,"APPA";"PRINT",#N/A,TRUE,"APS";"PRINT",#N/A,TRUE,"BHPL";"PRINT",#N/A,TRUE,"BHPL2";"PRINT",#N/A,TRUE,"CDWR";"PRINT",#N/A,TRUE,"EWEB";"PRINT",#N/A,TRUE,"LADWP";"PRINT",#N/A,TRUE,"NEVBASE"}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4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4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4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4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4" hidden="1">{#N/A,#N/A,FALSE,"Actual";#N/A,#N/A,FALSE,"Normalized";#N/A,#N/A,FALSE,"Electric Actual";#N/A,#N/A,FALSE,"Electric Normalized"}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4" hidden="1">{"PRINT",#N/A,TRUE,"APPA";"PRINT",#N/A,TRUE,"APS";"PRINT",#N/A,TRUE,"BHPL";"PRINT",#N/A,TRUE,"BHPL2";"PRINT",#N/A,TRUE,"CDWR";"PRINT",#N/A,TRUE,"EWEB";"PRINT",#N/A,TRUE,"LADWP";"PRINT",#N/A,TRUE,"NEVBASE"}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4" hidden="1">{#N/A,#N/A,TRUE,"Section6";#N/A,#N/A,TRUE,"OHcycles";#N/A,#N/A,TRUE,"OHtiming";#N/A,#N/A,TRUE,"OHcosts";#N/A,#N/A,TRUE,"GTdegradation";#N/A,#N/A,TRUE,"GTperformance";#N/A,#N/A,TRUE,"GraphEquip"}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4" hidden="1">{#N/A,#N/A,FALSE,"Summary";#N/A,#N/A,FALSE,"SmPlants";#N/A,#N/A,FALSE,"Utah";#N/A,#N/A,FALSE,"Idaho";#N/A,#N/A,FALSE,"Lewis River";#N/A,#N/A,FALSE,"NrthUmpq";#N/A,#N/A,FALSE,"KlamRog"}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4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4" hidden="1">{"Factors Pages 1-2",#N/A,FALSE,"Factors";"Factors Page 3",#N/A,FALSE,"Factors";"Factors Page 4",#N/A,FALSE,"Factors";"Factors Page 5",#N/A,FALSE,"Factors";"Factors Pages 8-27",#N/A,FALSE,"Factors"}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[5]Inputs!#REF!</definedName>
    <definedName name="PricingInfo" hidden="1">[6]Inputs!#REF!</definedName>
    <definedName name="_xlnm.Print_Area" localSheetId="1">'Exhibit-RMP(RMM-1) page 1'!$A$1:$AC$49</definedName>
    <definedName name="_xlnm.Print_Area" localSheetId="2">'Exhibit-RMP(RMM-1) page 2'!$A$1:$M$54</definedName>
    <definedName name="_xlnm.Print_Area" localSheetId="3">'Exhibit-RMP(RMM-2)'!$A$1:$Q$512</definedName>
    <definedName name="_xlnm.Print_Area" localSheetId="6">'Sch1 Bill Impact'!$A$1:$Q$34</definedName>
    <definedName name="_xlnm.Print_Area" localSheetId="0">'Table 1'!$A$1:$E$23</definedName>
    <definedName name="retail" localSheetId="4" hidden="1">{#N/A,#N/A,FALSE,"Loans";#N/A,#N/A,FALSE,"Program Costs";#N/A,#N/A,FALSE,"Measures";#N/A,#N/A,FALSE,"Net Lost Rev";#N/A,#N/A,FALSE,"Incentive"}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4" hidden="1">{"PRINT",#N/A,TRUE,"APPA";"PRINT",#N/A,TRUE,"APS";"PRINT",#N/A,TRUE,"BHPL";"PRINT",#N/A,TRUE,"BHPL2";"PRINT",#N/A,TRUE,"CDWR";"PRINT",#N/A,TRUE,"EWEB";"PRINT",#N/A,TRUE,"LADWP";"PRINT",#N/A,TRUE,"NEVBASE"}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olver_adj" localSheetId="3" hidden="1">'Exhibit-RMP(RMM-2)'!#REF!</definedName>
    <definedName name="solver_cvg" localSheetId="3" hidden="1">0.001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'Exhibit-RMP(RMM-2)'!#REF!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  <definedName name="SpecMaint" localSheetId="4" hidden="1">{#N/A,#N/A,FALSE,"Summary";#N/A,#N/A,FALSE,"SmPlants";#N/A,#N/A,FALSE,"Utah";#N/A,#N/A,FALSE,"Idaho";#N/A,#N/A,FALSE,"Lewis River";#N/A,#N/A,FALSE,"NrthUmpq";#N/A,#N/A,FALSE,"KlamRog"}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4" hidden="1">{#N/A,#N/A,FALSE,"Actual";#N/A,#N/A,FALSE,"Normalized";#N/A,#N/A,FALSE,"Electric Actual";#N/A,#N/A,FALSE,"Electric Normalized"}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4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4" hidden="1">{"YTD-Total",#N/A,FALSE,"Provision"}</definedName>
    <definedName name="standard1" localSheetId="0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[7]Inputs!#REF!</definedName>
    <definedName name="w" hidden="1">[8]Inputs!#REF!</definedName>
    <definedName name="wrn.1996._.Hydro._.5._.Year._.Forecast._.Budget." localSheetId="4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4" hidden="1">{"Page 3.4.1",#N/A,FALSE,"Totals";"Page 3.4.2",#N/A,FALSE,"Totals"}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4" hidden="1">{#N/A,#N/A,FALSE,"Summary EPS";#N/A,#N/A,FALSE,"1st Qtr Electric";#N/A,#N/A,FALSE,"1st Qtr Australia";#N/A,#N/A,FALSE,"1st Qtr Telecom";#N/A,#N/A,FALSE,"1st QTR Other"}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4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localSheetId="4" hidden="1">{#N/A,#N/A,FALSE,"June 01 Mapping";#N/A,#N/A,FALSE,"June 01 conv";#N/A,#N/A,FALSE,"reclass";#N/A,#N/A,FALSE,"US FV";#N/A,#N/A,FALSE,"UK FV";#N/A,#N/A,FALSE,"UK GAAP"}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4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4" hidden="1">{#N/A,#N/A,FALSE,"cover";#N/A,#N/A,FALSE,"lead sheet";#N/A,#N/A,FALSE,"Adj backup";#N/A,#N/A,FALSE,"t Accounts"}</definedName>
    <definedName name="wrn.All._.Pages." localSheetId="1" hidden="1">{#N/A,#N/A,FALSE,"cover";#N/A,#N/A,FALSE,"lead sheet";#N/A,#N/A,FALSE,"Adj backup";#N/A,#N/A,FALSE,"t Accounts"}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llocation._.factor." localSheetId="4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4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4" hidden="1">{"YTD-Total",#N/A,TRUE,"Provision";"YTD-Utility",#N/A,TRUE,"Prov Utility";"YTD-NonUtility",#N/A,TRUE,"Prov NonUtility"}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4" hidden="1">{"Conol gross povision grouped",#N/A,FALSE,"Consol Gross";"Consol Gross Grouped",#N/A,FALSE,"Consol Gross"}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4" hidden="1">{#N/A,#N/A,TRUE,"Cover";#N/A,#N/A,TRUE,"Contents"}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4" hidden="1">{#N/A,#N/A,FALSE,"Cover";#N/A,#N/A,FALSE,"Contents"}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4" hidden="1">{#N/A,#N/A,FALSE,"Output Ass";#N/A,#N/A,FALSE,"Sum Tot";#N/A,#N/A,FALSE,"Ex Sum Year";#N/A,#N/A,FALSE,"Sum Qtr"}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4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4" hidden="1">{"FullView",#N/A,FALSE,"Consltd-For contngcy"}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4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4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4" hidden="1">{#N/A,#N/A,TRUE,"Filing Back-Up Pages_4.8.4-7";#N/A,#N/A,TRUE,"GI Back-up Page_4.8.8"}</definedName>
    <definedName name="wrn.new." localSheetId="0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4" hidden="1">{#N/A,#N/A,TRUE,"Detail Lead Sheet_4.8.1-3";#N/A,#N/A,TRUE,"Filing Back-Up Pages_4.8.4-7";#N/A,#N/A,TRUE,"GI Back-up Page_4.8.8"}</definedName>
    <definedName name="wrn.om." localSheetId="0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4" hidden="1">{"Open issues Only",#N/A,FALSE,"TIMELINE"}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4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4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4" hidden="1">{#N/A,#N/A,FALSE,"Consltd-For contngcy";"PaymentView",#N/A,FALSE,"Consltd-For contngcy"}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4" hidden="1">{"PFS recon view",#N/A,FALSE,"Hyperion Proof"}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4" hidden="1">{"PGHC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4" hidden="1">{#N/A,#N/A,FALSE,"PHI MTD";#N/A,#N/A,FALSE,"PHI YTD"}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4" hidden="1">{#N/A,#N/A,FALSE,"PHI"}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4" hidden="1">{#N/A,#N/A,FALSE,"PHI MTD";#N/A,#N/A,FALSE,"PHI QTD";#N/A,#N/A,FALSE,"PHI YTD"}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4" hidden="1">{"PPM Co Code View",#N/A,FALSE,"Comp Codes"}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4" hidden="1">{"PPM Recon View",#N/A,FALSE,"Hyperion Proof"}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reports.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4" hidden="1">{"DATA_SET",#N/A,FALSE,"HOURLY SPREAD"}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4" hidden="1">{"Electric Only",#N/A,FALSE,"Hyperion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4" hidden="1">{"Proof Total",#N/A,FALSE,"Hyperion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4" hidden="1">{#N/A,#N/A,FALSE,"Dec 1999 mapping"}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4" hidden="1">{#N/A,#N/A,TRUE,"Section7";#N/A,#N/A,TRUE,"DebtService";#N/A,#N/A,TRUE,"LoanSchedules";#N/A,#N/A,TRUE,"GraphDebt"}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4" hidden="1">{"YTD-Total",#N/A,FALSE,"Provision"}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4" hidden="1">{"YTD-NonUtility",#N/A,FALSE,"Prov NonUtility"}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4" hidden="1">{"YTD-Utility",#N/A,FALSE,"Prov 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4" hidden="1">{"Table A",#N/A,FALSE,"Summary";"Table D",#N/A,FALSE,"Summary";"Table E",#N/A,FALSE,"Summary"}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{"Table A",#N/A,FALSE,"Summary";"Table D",#N/A,FALSE,"Summary";"Table E",#N/A,FALSE,"Summary"}</definedName>
    <definedName name="wrn.Summary._.View." localSheetId="4" hidden="1">{#N/A,#N/A,FALSE,"Consltd-For contngcy"}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est." localSheetId="4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Total._.Summary." localSheetId="4" hidden="1">{"Total Summary",#N/A,FALSE,"Summary"}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4" hidden="1">{#N/A,#N/A,FALSE,"Dec 1999 UK Continuing Ops"}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#REF!</definedName>
    <definedName name="y" hidden="1">'[1]DSM Output'!$B$21:$B$23</definedName>
    <definedName name="z" localSheetId="0" hidden="1">#REF!</definedName>
    <definedName name="z" hidden="1">'[1]DSM Output'!$G$21:$G$23</definedName>
    <definedName name="Z_01844156_6462_4A28_9785_1A86F4D0C834_.wvu.PrintTitles" localSheetId="4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3" i="6" l="1"/>
  <c r="C49" i="32"/>
  <c r="C48" i="32"/>
  <c r="C47" i="32"/>
  <c r="C45" i="32"/>
  <c r="C44" i="32"/>
  <c r="C43" i="32"/>
  <c r="C51" i="32" s="1"/>
  <c r="C42" i="32"/>
  <c r="C37" i="32"/>
  <c r="C33" i="32"/>
  <c r="C40" i="32" s="1"/>
  <c r="C29" i="32"/>
  <c r="C21" i="32"/>
  <c r="C7" i="32"/>
  <c r="K52" i="6" l="1"/>
  <c r="F15" i="11" l="1"/>
  <c r="F14" i="11" l="1"/>
  <c r="T30" i="9" l="1"/>
  <c r="F12" i="11" l="1"/>
  <c r="T18" i="9" l="1"/>
  <c r="U29" i="9"/>
  <c r="T32" i="9"/>
  <c r="C29" i="9" s="1"/>
  <c r="U31" i="9"/>
  <c r="U28" i="9"/>
  <c r="U27" i="9"/>
  <c r="U25" i="9"/>
  <c r="U24" i="9"/>
  <c r="U23" i="9"/>
  <c r="U22" i="9"/>
  <c r="U21" i="9"/>
  <c r="U20" i="9"/>
  <c r="A19" i="9"/>
  <c r="A18" i="9"/>
  <c r="U17" i="9"/>
  <c r="A17" i="9"/>
  <c r="U16" i="9"/>
  <c r="U15" i="9"/>
  <c r="U14" i="9"/>
  <c r="U13" i="9"/>
  <c r="U12" i="9"/>
  <c r="C12" i="9" l="1"/>
  <c r="C10" i="9"/>
  <c r="C16" i="9"/>
  <c r="U18" i="9"/>
  <c r="U26" i="9" s="1"/>
  <c r="C11" i="9"/>
  <c r="C18" i="9"/>
  <c r="C28" i="9"/>
  <c r="C14" i="9"/>
  <c r="C23" i="9"/>
  <c r="C30" i="9"/>
  <c r="C25" i="9"/>
  <c r="C15" i="9"/>
  <c r="C19" i="9"/>
  <c r="C20" i="9"/>
  <c r="C24" i="9"/>
  <c r="C27" i="9"/>
  <c r="C31" i="9"/>
  <c r="C21" i="9"/>
  <c r="C13" i="9"/>
  <c r="C22" i="9"/>
  <c r="C26" i="9"/>
  <c r="T26" i="9"/>
  <c r="Y12" i="9" l="1"/>
  <c r="K29" i="9"/>
  <c r="K26" i="9"/>
  <c r="K22" i="9"/>
  <c r="K12" i="9"/>
  <c r="K11" i="9"/>
  <c r="K31" i="9"/>
  <c r="K27" i="9"/>
  <c r="K24" i="9"/>
  <c r="K20" i="9"/>
  <c r="K15" i="9"/>
  <c r="K13" i="9"/>
  <c r="K28" i="9"/>
  <c r="K21" i="9"/>
  <c r="K18" i="9"/>
  <c r="K10" i="9"/>
  <c r="K30" i="9"/>
  <c r="K23" i="9"/>
  <c r="K14" i="9"/>
  <c r="K25" i="9"/>
  <c r="K16" i="9"/>
  <c r="K17" i="9"/>
  <c r="Y14" i="9" l="1"/>
  <c r="Y13" i="9"/>
  <c r="Y15" i="9"/>
  <c r="C23" i="30" l="1"/>
  <c r="C21" i="30"/>
  <c r="C20" i="30"/>
  <c r="C19" i="30"/>
  <c r="C18" i="30"/>
  <c r="C17" i="30"/>
  <c r="C16" i="30"/>
  <c r="C15" i="30"/>
  <c r="C14" i="30"/>
  <c r="C22" i="30" s="1"/>
  <c r="C13" i="30"/>
  <c r="C12" i="30"/>
  <c r="C11" i="30"/>
  <c r="C10" i="30"/>
  <c r="C9" i="30"/>
  <c r="C5" i="30"/>
  <c r="C8" i="30" s="1"/>
  <c r="C7" i="30" l="1"/>
  <c r="C6" i="30"/>
  <c r="C8" i="23" l="1"/>
  <c r="D8" i="23"/>
  <c r="B8" i="23"/>
  <c r="U308" i="5"/>
  <c r="U297" i="5"/>
  <c r="U292" i="5"/>
  <c r="U262" i="5"/>
  <c r="U260" i="5"/>
  <c r="V308" i="5"/>
  <c r="V297" i="5"/>
  <c r="V292" i="5"/>
  <c r="V262" i="5"/>
  <c r="V260" i="5"/>
  <c r="I509" i="5" l="1"/>
  <c r="I508" i="5"/>
  <c r="I507" i="5"/>
  <c r="I506" i="5"/>
  <c r="I505" i="5"/>
  <c r="I504" i="5"/>
  <c r="I496" i="5"/>
  <c r="I495" i="5"/>
  <c r="I491" i="5"/>
  <c r="I490" i="5"/>
  <c r="I489" i="5"/>
  <c r="I487" i="5"/>
  <c r="I486" i="5"/>
  <c r="I484" i="5"/>
  <c r="I483" i="5"/>
  <c r="I481" i="5"/>
  <c r="I480" i="5"/>
  <c r="I478" i="5"/>
  <c r="I477" i="5"/>
  <c r="I474" i="5"/>
  <c r="I473" i="5"/>
  <c r="H470" i="5"/>
  <c r="I469" i="5"/>
  <c r="M469" i="5" s="1"/>
  <c r="U469" i="5" s="1"/>
  <c r="I456" i="5"/>
  <c r="I395" i="5"/>
  <c r="I381" i="5"/>
  <c r="I374" i="5"/>
  <c r="I365" i="5"/>
  <c r="I359" i="5"/>
  <c r="I350" i="5"/>
  <c r="I267" i="5"/>
  <c r="I215" i="5"/>
  <c r="I199" i="5"/>
  <c r="I183" i="5"/>
  <c r="I175" i="5"/>
  <c r="I164" i="5"/>
  <c r="I151" i="5"/>
  <c r="I112" i="5"/>
  <c r="I100" i="5"/>
  <c r="I85" i="5"/>
  <c r="I70" i="5"/>
  <c r="I48" i="5"/>
  <c r="I28" i="5"/>
  <c r="H492" i="5"/>
  <c r="I497" i="5"/>
  <c r="I501" i="5" s="1"/>
  <c r="H497" i="5"/>
  <c r="H501" i="5" s="1"/>
  <c r="H510" i="5"/>
  <c r="H465" i="5"/>
  <c r="H455" i="5"/>
  <c r="H438" i="5"/>
  <c r="H382" i="5"/>
  <c r="H375" i="5"/>
  <c r="H366" i="5"/>
  <c r="H360" i="5"/>
  <c r="H284" i="5"/>
  <c r="H264" i="5"/>
  <c r="H268" i="5" s="1"/>
  <c r="H214" i="5"/>
  <c r="H210" i="5"/>
  <c r="H198" i="5"/>
  <c r="H194" i="5"/>
  <c r="H184" i="5"/>
  <c r="H176" i="5"/>
  <c r="H165" i="5"/>
  <c r="H101" i="5"/>
  <c r="F11" i="11"/>
  <c r="Q489" i="5" l="1"/>
  <c r="V489" i="5" s="1"/>
  <c r="Q490" i="5"/>
  <c r="V490" i="5" s="1"/>
  <c r="Q486" i="5"/>
  <c r="V486" i="5"/>
  <c r="Q491" i="5"/>
  <c r="V491" i="5" s="1"/>
  <c r="M489" i="5"/>
  <c r="U489" i="5" s="1"/>
  <c r="M487" i="5"/>
  <c r="U487" i="5" s="1"/>
  <c r="V487" i="5"/>
  <c r="I510" i="5"/>
  <c r="Q487" i="5"/>
  <c r="M490" i="5"/>
  <c r="U490" i="5" s="1"/>
  <c r="I492" i="5"/>
  <c r="M486" i="5"/>
  <c r="U486" i="5" s="1"/>
  <c r="M491" i="5"/>
  <c r="U491" i="5" s="1"/>
  <c r="I470" i="5"/>
  <c r="H457" i="5"/>
  <c r="H71" i="5"/>
  <c r="H149" i="5"/>
  <c r="H153" i="5" s="1"/>
  <c r="H319" i="5"/>
  <c r="H321" i="5" s="1"/>
  <c r="H343" i="5"/>
  <c r="H345" i="5" s="1"/>
  <c r="H200" i="5"/>
  <c r="H348" i="5"/>
  <c r="H351" i="5" s="1"/>
  <c r="H286" i="5"/>
  <c r="H383" i="5"/>
  <c r="H216" i="5"/>
  <c r="F10" i="11" l="1"/>
  <c r="G461" i="5" l="1"/>
  <c r="I461" i="5" s="1"/>
  <c r="AD18" i="10" l="1"/>
  <c r="F9" i="11" l="1"/>
  <c r="G464" i="5" l="1"/>
  <c r="I464" i="5" s="1"/>
  <c r="M464" i="5" s="1"/>
  <c r="U464" i="5" s="1"/>
  <c r="G463" i="5"/>
  <c r="I463" i="5" s="1"/>
  <c r="M463" i="5" s="1"/>
  <c r="U463" i="5" s="1"/>
  <c r="G462" i="5"/>
  <c r="I462" i="5" s="1"/>
  <c r="M462" i="5" s="1"/>
  <c r="U462" i="5" s="1"/>
  <c r="G460" i="5"/>
  <c r="I460" i="5" s="1"/>
  <c r="I465" i="5" l="1"/>
  <c r="F8" i="11"/>
  <c r="I44" i="6" l="1"/>
  <c r="I43" i="6"/>
  <c r="I35" i="6"/>
  <c r="I34" i="6"/>
  <c r="I32" i="6"/>
  <c r="I30" i="6"/>
  <c r="I27" i="6"/>
  <c r="I24" i="6"/>
  <c r="I23" i="6"/>
  <c r="I18" i="6"/>
  <c r="I38" i="6" l="1"/>
  <c r="K46" i="10" l="1"/>
  <c r="G47" i="6"/>
  <c r="G46" i="6"/>
  <c r="G37" i="6" l="1"/>
  <c r="G36" i="6"/>
  <c r="G35" i="6"/>
  <c r="G34" i="6"/>
  <c r="G17" i="6"/>
  <c r="G434" i="5" l="1"/>
  <c r="I434" i="5" s="1"/>
  <c r="G431" i="5"/>
  <c r="I431" i="5" s="1"/>
  <c r="G427" i="5"/>
  <c r="I427" i="5" s="1"/>
  <c r="G424" i="5"/>
  <c r="I424" i="5" s="1"/>
  <c r="G420" i="5"/>
  <c r="I420" i="5" s="1"/>
  <c r="G413" i="5"/>
  <c r="I413" i="5" s="1"/>
  <c r="G293" i="5"/>
  <c r="I293" i="5" s="1"/>
  <c r="M293" i="5" s="1"/>
  <c r="G299" i="5"/>
  <c r="I299" i="5" s="1"/>
  <c r="M299" i="5" s="1"/>
  <c r="G93" i="5"/>
  <c r="I93" i="5" s="1"/>
  <c r="G94" i="5"/>
  <c r="I94" i="5" s="1"/>
  <c r="M94" i="5" s="1"/>
  <c r="U94" i="5" s="1"/>
  <c r="G95" i="5"/>
  <c r="I95" i="5" s="1"/>
  <c r="M95" i="5" s="1"/>
  <c r="U95" i="5" s="1"/>
  <c r="G78" i="5"/>
  <c r="I78" i="5" s="1"/>
  <c r="G79" i="5"/>
  <c r="I79" i="5" s="1"/>
  <c r="M79" i="5" s="1"/>
  <c r="U79" i="5" s="1"/>
  <c r="G80" i="5"/>
  <c r="I80" i="5" s="1"/>
  <c r="M80" i="5" s="1"/>
  <c r="U80" i="5" s="1"/>
  <c r="G433" i="5"/>
  <c r="I433" i="5" s="1"/>
  <c r="G430" i="5"/>
  <c r="I430" i="5" s="1"/>
  <c r="G426" i="5"/>
  <c r="I426" i="5" s="1"/>
  <c r="G423" i="5"/>
  <c r="I423" i="5" s="1"/>
  <c r="G421" i="5"/>
  <c r="I421" i="5" s="1"/>
  <c r="G418" i="5"/>
  <c r="I418" i="5" s="1"/>
  <c r="G13" i="5" l="1"/>
  <c r="I13" i="5" s="1"/>
  <c r="G14" i="5"/>
  <c r="I14" i="5" s="1"/>
  <c r="G16" i="5"/>
  <c r="G17" i="5"/>
  <c r="G18" i="5"/>
  <c r="G20" i="5"/>
  <c r="G21" i="5"/>
  <c r="G22" i="5"/>
  <c r="I22" i="5" s="1"/>
  <c r="G23" i="5"/>
  <c r="I23" i="5" s="1"/>
  <c r="G24" i="5"/>
  <c r="I24" i="5" s="1"/>
  <c r="G33" i="5"/>
  <c r="I33" i="5" s="1"/>
  <c r="G34" i="5"/>
  <c r="I34" i="5" s="1"/>
  <c r="G36" i="5"/>
  <c r="G37" i="5"/>
  <c r="G38" i="5"/>
  <c r="G40" i="5"/>
  <c r="G41" i="5"/>
  <c r="G42" i="5"/>
  <c r="I42" i="5" s="1"/>
  <c r="G43" i="5"/>
  <c r="I43" i="5" s="1"/>
  <c r="G44" i="5"/>
  <c r="I44" i="5" s="1"/>
  <c r="G53" i="5"/>
  <c r="I53" i="5" s="1"/>
  <c r="G54" i="5"/>
  <c r="I54" i="5" s="1"/>
  <c r="G56" i="5"/>
  <c r="I56" i="5" s="1"/>
  <c r="G57" i="5"/>
  <c r="I57" i="5" s="1"/>
  <c r="G58" i="5"/>
  <c r="I58" i="5" s="1"/>
  <c r="M58" i="5" s="1"/>
  <c r="U58" i="5" s="1"/>
  <c r="G59" i="5"/>
  <c r="I59" i="5" s="1"/>
  <c r="M59" i="5" s="1"/>
  <c r="U59" i="5" s="1"/>
  <c r="G60" i="5"/>
  <c r="I60" i="5" s="1"/>
  <c r="M60" i="5" s="1"/>
  <c r="U60" i="5" s="1"/>
  <c r="G62" i="5"/>
  <c r="I62" i="5" s="1"/>
  <c r="M62" i="5" s="1"/>
  <c r="U62" i="5" s="1"/>
  <c r="G63" i="5"/>
  <c r="I63" i="5" s="1"/>
  <c r="M63" i="5" s="1"/>
  <c r="U63" i="5" s="1"/>
  <c r="G64" i="5"/>
  <c r="I64" i="5" s="1"/>
  <c r="G65" i="5"/>
  <c r="I65" i="5" s="1"/>
  <c r="G66" i="5"/>
  <c r="I66" i="5" s="1"/>
  <c r="H20" i="5" l="1"/>
  <c r="I20" i="5" s="1"/>
  <c r="M20" i="5" s="1"/>
  <c r="U20" i="5" s="1"/>
  <c r="H36" i="5"/>
  <c r="H18" i="5"/>
  <c r="I18" i="5"/>
  <c r="H37" i="5"/>
  <c r="I37" i="5" s="1"/>
  <c r="M37" i="5" s="1"/>
  <c r="U37" i="5" s="1"/>
  <c r="H40" i="5"/>
  <c r="I40" i="5"/>
  <c r="M40" i="5" s="1"/>
  <c r="U40" i="5" s="1"/>
  <c r="H17" i="5"/>
  <c r="I17" i="5" s="1"/>
  <c r="H38" i="5"/>
  <c r="I38" i="5"/>
  <c r="M38" i="5" s="1"/>
  <c r="U38" i="5" s="1"/>
  <c r="H16" i="5"/>
  <c r="I16" i="5"/>
  <c r="M16" i="5" s="1"/>
  <c r="U16" i="5" s="1"/>
  <c r="I71" i="5"/>
  <c r="G49" i="5"/>
  <c r="G29" i="5"/>
  <c r="G15" i="6" s="1"/>
  <c r="G71" i="5"/>
  <c r="G16" i="6" s="1"/>
  <c r="M17" i="5" l="1"/>
  <c r="U17" i="5" s="1"/>
  <c r="M18" i="5"/>
  <c r="U18" i="5"/>
  <c r="H21" i="5"/>
  <c r="I21" i="5" s="1"/>
  <c r="M21" i="5" s="1"/>
  <c r="H29" i="5"/>
  <c r="H41" i="5"/>
  <c r="I41" i="5" s="1"/>
  <c r="M41" i="5" s="1"/>
  <c r="U41" i="5" s="1"/>
  <c r="H49" i="5"/>
  <c r="I36" i="5"/>
  <c r="G18" i="6"/>
  <c r="F7" i="11"/>
  <c r="S29" i="5" l="1"/>
  <c r="I29" i="5"/>
  <c r="M36" i="5"/>
  <c r="U36" i="5" s="1"/>
  <c r="I49" i="5"/>
  <c r="M465" i="5"/>
  <c r="F6" i="11" l="1"/>
  <c r="F4" i="11"/>
  <c r="F5" i="11"/>
  <c r="M34" i="10"/>
  <c r="K47" i="10"/>
  <c r="K37" i="10"/>
  <c r="K17" i="10"/>
  <c r="K35" i="10"/>
  <c r="K34" i="10"/>
  <c r="Y47" i="10" l="1"/>
  <c r="Q47" i="10"/>
  <c r="U47" i="10" s="1"/>
  <c r="O47" i="10"/>
  <c r="Q37" i="10"/>
  <c r="O37" i="10"/>
  <c r="Q34" i="10"/>
  <c r="O34" i="10"/>
  <c r="Q17" i="10"/>
  <c r="O17" i="10"/>
  <c r="A16" i="10"/>
  <c r="E12" i="10"/>
  <c r="G12" i="10" l="1"/>
  <c r="I12" i="10" s="1"/>
  <c r="AA47" i="10"/>
  <c r="AC47" i="10" s="1"/>
  <c r="U17" i="10"/>
  <c r="AA17" i="10" s="1"/>
  <c r="AC17" i="10" s="1"/>
  <c r="W17" i="10"/>
  <c r="Y17" i="10" s="1"/>
  <c r="W34" i="10"/>
  <c r="Y34" i="10" s="1"/>
  <c r="A17" i="10"/>
  <c r="W37" i="10"/>
  <c r="Y37" i="10" s="1"/>
  <c r="U37" i="10"/>
  <c r="AA37" i="10" s="1"/>
  <c r="AC37" i="10" s="1"/>
  <c r="Q35" i="10"/>
  <c r="K12" i="10" l="1"/>
  <c r="M12" i="10"/>
  <c r="O12" i="10" s="1"/>
  <c r="Q12" i="10" s="1"/>
  <c r="S12" i="10" s="1"/>
  <c r="W35" i="10"/>
  <c r="Y35" i="10" s="1"/>
  <c r="A18" i="10"/>
  <c r="U12" i="10" l="1"/>
  <c r="A20" i="10"/>
  <c r="A21" i="10" l="1"/>
  <c r="W12" i="10"/>
  <c r="Y12" i="10" s="1"/>
  <c r="AA12" i="10" s="1"/>
  <c r="AC12" i="10" s="1"/>
  <c r="A22" i="10" l="1"/>
  <c r="A23" i="10" l="1"/>
  <c r="A24" i="10" s="1"/>
  <c r="A25" i="10" l="1"/>
  <c r="A26" i="10" l="1"/>
  <c r="A27" i="10" l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Q510" i="5" l="1"/>
  <c r="Q501" i="5"/>
  <c r="S46" i="10" s="1"/>
  <c r="Q438" i="5"/>
  <c r="M501" i="5"/>
  <c r="M46" i="10" s="1"/>
  <c r="M510" i="5"/>
  <c r="M438" i="5"/>
  <c r="M470" i="5" l="1"/>
  <c r="A16" i="6"/>
  <c r="E12" i="6"/>
  <c r="G386" i="5"/>
  <c r="I386" i="5" s="1"/>
  <c r="M35" i="10" l="1"/>
  <c r="O35" i="10" s="1"/>
  <c r="A17" i="6"/>
  <c r="G394" i="5"/>
  <c r="I394" i="5" s="1"/>
  <c r="A18" i="6" l="1"/>
  <c r="A20" i="6" s="1"/>
  <c r="Q46" i="10" l="1"/>
  <c r="O46" i="10"/>
  <c r="A21" i="6"/>
  <c r="A22" i="6" s="1"/>
  <c r="A23" i="6" s="1"/>
  <c r="G363" i="5"/>
  <c r="I363" i="5" s="1"/>
  <c r="U46" i="10" l="1"/>
  <c r="AA46" i="10" s="1"/>
  <c r="AC46" i="10" s="1"/>
  <c r="W46" i="10"/>
  <c r="Y46" i="10" s="1"/>
  <c r="A24" i="6"/>
  <c r="G74" i="5"/>
  <c r="I74" i="5" s="1"/>
  <c r="A25" i="6" l="1"/>
  <c r="A26" i="6" s="1"/>
  <c r="G255" i="5"/>
  <c r="I255" i="5" s="1"/>
  <c r="M255" i="5" s="1"/>
  <c r="U255" i="5" s="1"/>
  <c r="G84" i="5"/>
  <c r="I84" i="5" s="1"/>
  <c r="G104" i="5"/>
  <c r="I104" i="5" s="1"/>
  <c r="G259" i="5"/>
  <c r="I259" i="5" s="1"/>
  <c r="M259" i="5" s="1"/>
  <c r="U259" i="5" s="1"/>
  <c r="G243" i="5"/>
  <c r="I243" i="5" s="1"/>
  <c r="M243" i="5" s="1"/>
  <c r="U243" i="5" s="1"/>
  <c r="G232" i="5"/>
  <c r="I232" i="5" s="1"/>
  <c r="M232" i="5" s="1"/>
  <c r="U232" i="5" s="1"/>
  <c r="G251" i="5"/>
  <c r="I251" i="5" s="1"/>
  <c r="M251" i="5" s="1"/>
  <c r="U251" i="5" s="1"/>
  <c r="G263" i="5"/>
  <c r="I263" i="5" s="1"/>
  <c r="M263" i="5" s="1"/>
  <c r="U263" i="5" s="1"/>
  <c r="G254" i="5"/>
  <c r="I254" i="5" s="1"/>
  <c r="M254" i="5" s="1"/>
  <c r="U254" i="5" s="1"/>
  <c r="G241" i="5"/>
  <c r="I241" i="5" s="1"/>
  <c r="M241" i="5" s="1"/>
  <c r="U241" i="5" s="1"/>
  <c r="G230" i="5"/>
  <c r="I230" i="5" s="1"/>
  <c r="M230" i="5" s="1"/>
  <c r="U230" i="5" s="1"/>
  <c r="G220" i="5"/>
  <c r="I220" i="5" s="1"/>
  <c r="M220" i="5" s="1"/>
  <c r="U220" i="5" s="1"/>
  <c r="G222" i="5"/>
  <c r="I222" i="5" s="1"/>
  <c r="M222" i="5" s="1"/>
  <c r="U222" i="5" s="1"/>
  <c r="G224" i="5"/>
  <c r="I224" i="5" s="1"/>
  <c r="M224" i="5" s="1"/>
  <c r="U224" i="5" s="1"/>
  <c r="G227" i="5"/>
  <c r="I227" i="5" s="1"/>
  <c r="M227" i="5" s="1"/>
  <c r="U227" i="5" s="1"/>
  <c r="G231" i="5"/>
  <c r="I231" i="5" s="1"/>
  <c r="M231" i="5" s="1"/>
  <c r="U231" i="5" s="1"/>
  <c r="G234" i="5"/>
  <c r="I234" i="5" s="1"/>
  <c r="M234" i="5" s="1"/>
  <c r="U234" i="5" s="1"/>
  <c r="G238" i="5"/>
  <c r="I238" i="5" s="1"/>
  <c r="M238" i="5" s="1"/>
  <c r="U238" i="5" s="1"/>
  <c r="G242" i="5"/>
  <c r="I242" i="5" s="1"/>
  <c r="M242" i="5" s="1"/>
  <c r="U242" i="5" s="1"/>
  <c r="G246" i="5"/>
  <c r="I246" i="5" s="1"/>
  <c r="M246" i="5" s="1"/>
  <c r="U246" i="5" s="1"/>
  <c r="G252" i="5"/>
  <c r="I252" i="5" s="1"/>
  <c r="M252" i="5" s="1"/>
  <c r="U252" i="5" s="1"/>
  <c r="G258" i="5"/>
  <c r="I258" i="5" s="1"/>
  <c r="M258" i="5" s="1"/>
  <c r="U258" i="5" s="1"/>
  <c r="G354" i="5"/>
  <c r="I354" i="5" s="1"/>
  <c r="G357" i="5"/>
  <c r="I357" i="5" s="1"/>
  <c r="G142" i="5"/>
  <c r="I142" i="5" s="1"/>
  <c r="M142" i="5" s="1"/>
  <c r="U142" i="5" s="1"/>
  <c r="G137" i="5"/>
  <c r="I137" i="5" s="1"/>
  <c r="M137" i="5" s="1"/>
  <c r="U137" i="5" s="1"/>
  <c r="G132" i="5"/>
  <c r="I132" i="5" s="1"/>
  <c r="M132" i="5" s="1"/>
  <c r="U132" i="5" s="1"/>
  <c r="G128" i="5"/>
  <c r="I128" i="5" s="1"/>
  <c r="M128" i="5" s="1"/>
  <c r="U128" i="5" s="1"/>
  <c r="G124" i="5"/>
  <c r="I124" i="5" s="1"/>
  <c r="M124" i="5" s="1"/>
  <c r="U124" i="5" s="1"/>
  <c r="G119" i="5"/>
  <c r="I119" i="5" s="1"/>
  <c r="M119" i="5" s="1"/>
  <c r="U119" i="5" s="1"/>
  <c r="G118" i="5"/>
  <c r="I118" i="5" s="1"/>
  <c r="M118" i="5" s="1"/>
  <c r="U118" i="5" s="1"/>
  <c r="G123" i="5"/>
  <c r="I123" i="5" s="1"/>
  <c r="M123" i="5" s="1"/>
  <c r="U123" i="5" s="1"/>
  <c r="G127" i="5"/>
  <c r="I127" i="5" s="1"/>
  <c r="M127" i="5" s="1"/>
  <c r="U127" i="5" s="1"/>
  <c r="G131" i="5"/>
  <c r="I131" i="5" s="1"/>
  <c r="M131" i="5" s="1"/>
  <c r="U131" i="5" s="1"/>
  <c r="G136" i="5"/>
  <c r="I136" i="5" s="1"/>
  <c r="M136" i="5" s="1"/>
  <c r="U136" i="5" s="1"/>
  <c r="G141" i="5"/>
  <c r="I141" i="5" s="1"/>
  <c r="M141" i="5" s="1"/>
  <c r="U141" i="5" s="1"/>
  <c r="G145" i="5"/>
  <c r="I145" i="5" s="1"/>
  <c r="M145" i="5" s="1"/>
  <c r="U145" i="5" s="1"/>
  <c r="G147" i="5"/>
  <c r="I147" i="5" s="1"/>
  <c r="M147" i="5" s="1"/>
  <c r="U147" i="5" s="1"/>
  <c r="G168" i="5"/>
  <c r="I168" i="5" s="1"/>
  <c r="G392" i="5"/>
  <c r="G388" i="5"/>
  <c r="I388" i="5" s="1"/>
  <c r="M388" i="5" s="1"/>
  <c r="U388" i="5" s="1"/>
  <c r="G389" i="5"/>
  <c r="I389" i="5" s="1"/>
  <c r="G250" i="5"/>
  <c r="I250" i="5" s="1"/>
  <c r="M250" i="5" s="1"/>
  <c r="U250" i="5" s="1"/>
  <c r="G239" i="5"/>
  <c r="I239" i="5" s="1"/>
  <c r="M239" i="5" s="1"/>
  <c r="U239" i="5" s="1"/>
  <c r="G228" i="5"/>
  <c r="I228" i="5" s="1"/>
  <c r="M228" i="5" s="1"/>
  <c r="U228" i="5" s="1"/>
  <c r="G248" i="5"/>
  <c r="I248" i="5" s="1"/>
  <c r="M248" i="5" s="1"/>
  <c r="U248" i="5" s="1"/>
  <c r="G257" i="5"/>
  <c r="I257" i="5" s="1"/>
  <c r="M257" i="5" s="1"/>
  <c r="U257" i="5" s="1"/>
  <c r="G245" i="5"/>
  <c r="I245" i="5" s="1"/>
  <c r="M245" i="5" s="1"/>
  <c r="U245" i="5" s="1"/>
  <c r="G237" i="5"/>
  <c r="I237" i="5" s="1"/>
  <c r="M237" i="5" s="1"/>
  <c r="U237" i="5" s="1"/>
  <c r="G226" i="5"/>
  <c r="I226" i="5" s="1"/>
  <c r="M226" i="5" s="1"/>
  <c r="U226" i="5" s="1"/>
  <c r="G221" i="5"/>
  <c r="I221" i="5" s="1"/>
  <c r="M221" i="5" s="1"/>
  <c r="U221" i="5" s="1"/>
  <c r="G223" i="5"/>
  <c r="I223" i="5" s="1"/>
  <c r="M223" i="5" s="1"/>
  <c r="U223" i="5" s="1"/>
  <c r="G225" i="5"/>
  <c r="I225" i="5" s="1"/>
  <c r="M225" i="5" s="1"/>
  <c r="U225" i="5" s="1"/>
  <c r="G229" i="5"/>
  <c r="I229" i="5" s="1"/>
  <c r="M229" i="5" s="1"/>
  <c r="U229" i="5" s="1"/>
  <c r="G233" i="5"/>
  <c r="I233" i="5" s="1"/>
  <c r="M233" i="5" s="1"/>
  <c r="U233" i="5" s="1"/>
  <c r="G236" i="5"/>
  <c r="I236" i="5" s="1"/>
  <c r="M236" i="5" s="1"/>
  <c r="U236" i="5" s="1"/>
  <c r="G240" i="5"/>
  <c r="I240" i="5" s="1"/>
  <c r="M240" i="5" s="1"/>
  <c r="U240" i="5" s="1"/>
  <c r="G244" i="5"/>
  <c r="I244" i="5" s="1"/>
  <c r="M244" i="5" s="1"/>
  <c r="U244" i="5" s="1"/>
  <c r="G249" i="5"/>
  <c r="I249" i="5" s="1"/>
  <c r="M249" i="5" s="1"/>
  <c r="U249" i="5" s="1"/>
  <c r="G256" i="5"/>
  <c r="I256" i="5" s="1"/>
  <c r="M256" i="5" s="1"/>
  <c r="U256" i="5" s="1"/>
  <c r="G261" i="5"/>
  <c r="I261" i="5" s="1"/>
  <c r="M261" i="5" s="1"/>
  <c r="U261" i="5" s="1"/>
  <c r="G364" i="5"/>
  <c r="I364" i="5" s="1"/>
  <c r="G355" i="5"/>
  <c r="I355" i="5" s="1"/>
  <c r="G144" i="5"/>
  <c r="I144" i="5" s="1"/>
  <c r="M144" i="5" s="1"/>
  <c r="U144" i="5" s="1"/>
  <c r="G139" i="5"/>
  <c r="I139" i="5" s="1"/>
  <c r="M139" i="5" s="1"/>
  <c r="U139" i="5" s="1"/>
  <c r="G135" i="5"/>
  <c r="I135" i="5" s="1"/>
  <c r="M135" i="5" s="1"/>
  <c r="U135" i="5" s="1"/>
  <c r="G130" i="5"/>
  <c r="I130" i="5" s="1"/>
  <c r="M130" i="5" s="1"/>
  <c r="U130" i="5" s="1"/>
  <c r="G126" i="5"/>
  <c r="I126" i="5" s="1"/>
  <c r="M126" i="5" s="1"/>
  <c r="U126" i="5" s="1"/>
  <c r="G122" i="5"/>
  <c r="I122" i="5" s="1"/>
  <c r="M122" i="5" s="1"/>
  <c r="U122" i="5" s="1"/>
  <c r="G117" i="5"/>
  <c r="I117" i="5" s="1"/>
  <c r="M117" i="5" s="1"/>
  <c r="U117" i="5" s="1"/>
  <c r="G120" i="5"/>
  <c r="I120" i="5" s="1"/>
  <c r="M120" i="5" s="1"/>
  <c r="U120" i="5" s="1"/>
  <c r="G125" i="5"/>
  <c r="I125" i="5" s="1"/>
  <c r="M125" i="5" s="1"/>
  <c r="U125" i="5" s="1"/>
  <c r="G129" i="5"/>
  <c r="I129" i="5" s="1"/>
  <c r="M129" i="5" s="1"/>
  <c r="U129" i="5" s="1"/>
  <c r="G134" i="5"/>
  <c r="I134" i="5" s="1"/>
  <c r="M134" i="5" s="1"/>
  <c r="U134" i="5" s="1"/>
  <c r="G138" i="5"/>
  <c r="I138" i="5" s="1"/>
  <c r="M138" i="5" s="1"/>
  <c r="U138" i="5" s="1"/>
  <c r="G143" i="5"/>
  <c r="I143" i="5" s="1"/>
  <c r="M143" i="5" s="1"/>
  <c r="U143" i="5" s="1"/>
  <c r="G146" i="5"/>
  <c r="I146" i="5" s="1"/>
  <c r="M146" i="5" s="1"/>
  <c r="U146" i="5" s="1"/>
  <c r="G148" i="5"/>
  <c r="I148" i="5" s="1"/>
  <c r="M148" i="5" s="1"/>
  <c r="U148" i="5" s="1"/>
  <c r="G390" i="5"/>
  <c r="G387" i="5"/>
  <c r="I387" i="5" s="1"/>
  <c r="G391" i="5"/>
  <c r="G156" i="5"/>
  <c r="I156" i="5" s="1"/>
  <c r="M364" i="5" l="1"/>
  <c r="U364" i="5" s="1"/>
  <c r="I366" i="5"/>
  <c r="M387" i="5"/>
  <c r="U387" i="5" s="1"/>
  <c r="I149" i="5"/>
  <c r="I264" i="5"/>
  <c r="I268" i="5" s="1"/>
  <c r="G366" i="5"/>
  <c r="G149" i="5"/>
  <c r="A27" i="6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G179" i="5"/>
  <c r="I179" i="5" s="1"/>
  <c r="G264" i="5"/>
  <c r="G268" i="5" s="1"/>
  <c r="G356" i="5"/>
  <c r="I356" i="5" s="1"/>
  <c r="G89" i="5"/>
  <c r="I89" i="5" s="1"/>
  <c r="G370" i="5"/>
  <c r="I370" i="5" s="1"/>
  <c r="M366" i="5" l="1"/>
  <c r="M44" i="10" s="1"/>
  <c r="I153" i="5"/>
  <c r="K41" i="10"/>
  <c r="G41" i="6"/>
  <c r="K44" i="10"/>
  <c r="Q44" i="10" s="1"/>
  <c r="G44" i="6"/>
  <c r="Q41" i="10"/>
  <c r="M149" i="5"/>
  <c r="M153" i="5" s="1"/>
  <c r="M40" i="10" s="1"/>
  <c r="G153" i="5"/>
  <c r="M264" i="5"/>
  <c r="M268" i="5" s="1"/>
  <c r="M41" i="10" s="1"/>
  <c r="G358" i="5"/>
  <c r="G340" i="5"/>
  <c r="I340" i="5" s="1"/>
  <c r="M340" i="5" s="1"/>
  <c r="U340" i="5" s="1"/>
  <c r="G328" i="5"/>
  <c r="I328" i="5" s="1"/>
  <c r="M328" i="5" s="1"/>
  <c r="U328" i="5" s="1"/>
  <c r="G294" i="5"/>
  <c r="I294" i="5" s="1"/>
  <c r="M294" i="5" s="1"/>
  <c r="U294" i="5" s="1"/>
  <c r="G273" i="5"/>
  <c r="I273" i="5" s="1"/>
  <c r="G311" i="5"/>
  <c r="I311" i="5" s="1"/>
  <c r="M311" i="5" s="1"/>
  <c r="U311" i="5" s="1"/>
  <c r="G305" i="5"/>
  <c r="I305" i="5" s="1"/>
  <c r="M305" i="5" s="1"/>
  <c r="U305" i="5" s="1"/>
  <c r="G291" i="5"/>
  <c r="I291" i="5" s="1"/>
  <c r="M291" i="5" s="1"/>
  <c r="U291" i="5" s="1"/>
  <c r="G275" i="5"/>
  <c r="I275" i="5" s="1"/>
  <c r="M275" i="5" s="1"/>
  <c r="U275" i="5" s="1"/>
  <c r="G325" i="5"/>
  <c r="I325" i="5" s="1"/>
  <c r="M325" i="5" s="1"/>
  <c r="U325" i="5" s="1"/>
  <c r="G336" i="5"/>
  <c r="I336" i="5" s="1"/>
  <c r="M336" i="5" s="1"/>
  <c r="U336" i="5" s="1"/>
  <c r="G309" i="5"/>
  <c r="I309" i="5" s="1"/>
  <c r="M309" i="5" s="1"/>
  <c r="U309" i="5" s="1"/>
  <c r="G304" i="5"/>
  <c r="I304" i="5" s="1"/>
  <c r="M304" i="5" s="1"/>
  <c r="U304" i="5" s="1"/>
  <c r="G282" i="5"/>
  <c r="I282" i="5" s="1"/>
  <c r="M282" i="5" s="1"/>
  <c r="U282" i="5" s="1"/>
  <c r="G274" i="5"/>
  <c r="I274" i="5" s="1"/>
  <c r="M274" i="5" s="1"/>
  <c r="U274" i="5" s="1"/>
  <c r="G341" i="5"/>
  <c r="I341" i="5" s="1"/>
  <c r="M341" i="5" s="1"/>
  <c r="U341" i="5" s="1"/>
  <c r="G281" i="5"/>
  <c r="I281" i="5" s="1"/>
  <c r="M281" i="5" s="1"/>
  <c r="U281" i="5" s="1"/>
  <c r="G290" i="5"/>
  <c r="I290" i="5" s="1"/>
  <c r="M290" i="5" s="1"/>
  <c r="U290" i="5" s="1"/>
  <c r="G295" i="5"/>
  <c r="I295" i="5" s="1"/>
  <c r="M295" i="5" s="1"/>
  <c r="U295" i="5" s="1"/>
  <c r="G303" i="5"/>
  <c r="I303" i="5" s="1"/>
  <c r="M303" i="5" s="1"/>
  <c r="U303" i="5" s="1"/>
  <c r="G310" i="5"/>
  <c r="I310" i="5" s="1"/>
  <c r="M310" i="5" s="1"/>
  <c r="U310" i="5" s="1"/>
  <c r="G315" i="5"/>
  <c r="I315" i="5" s="1"/>
  <c r="M315" i="5" s="1"/>
  <c r="U315" i="5" s="1"/>
  <c r="G326" i="5"/>
  <c r="I326" i="5" s="1"/>
  <c r="M326" i="5" s="1"/>
  <c r="U326" i="5" s="1"/>
  <c r="G330" i="5"/>
  <c r="I330" i="5" s="1"/>
  <c r="M330" i="5" s="1"/>
  <c r="U330" i="5" s="1"/>
  <c r="G334" i="5"/>
  <c r="I334" i="5" s="1"/>
  <c r="M334" i="5" s="1"/>
  <c r="U334" i="5" s="1"/>
  <c r="G377" i="5"/>
  <c r="I377" i="5" s="1"/>
  <c r="G99" i="5"/>
  <c r="I99" i="5" s="1"/>
  <c r="G393" i="5"/>
  <c r="G337" i="5"/>
  <c r="I337" i="5" s="1"/>
  <c r="M337" i="5" s="1"/>
  <c r="U337" i="5" s="1"/>
  <c r="G314" i="5"/>
  <c r="I314" i="5" s="1"/>
  <c r="M314" i="5" s="1"/>
  <c r="U314" i="5" s="1"/>
  <c r="G276" i="5"/>
  <c r="I276" i="5" s="1"/>
  <c r="M276" i="5" s="1"/>
  <c r="U276" i="5" s="1"/>
  <c r="G335" i="5"/>
  <c r="I335" i="5" s="1"/>
  <c r="M335" i="5" s="1"/>
  <c r="U335" i="5" s="1"/>
  <c r="G300" i="5"/>
  <c r="I300" i="5" s="1"/>
  <c r="M300" i="5" s="1"/>
  <c r="U300" i="5" s="1"/>
  <c r="G280" i="5"/>
  <c r="I280" i="5" s="1"/>
  <c r="M280" i="5" s="1"/>
  <c r="U280" i="5" s="1"/>
  <c r="G342" i="5"/>
  <c r="I342" i="5" s="1"/>
  <c r="M342" i="5" s="1"/>
  <c r="U342" i="5" s="1"/>
  <c r="G332" i="5"/>
  <c r="I332" i="5" s="1"/>
  <c r="M332" i="5" s="1"/>
  <c r="U332" i="5" s="1"/>
  <c r="G302" i="5"/>
  <c r="I302" i="5" s="1"/>
  <c r="M302" i="5" s="1"/>
  <c r="U302" i="5" s="1"/>
  <c r="G317" i="5"/>
  <c r="I317" i="5" s="1"/>
  <c r="M317" i="5" s="1"/>
  <c r="U317" i="5" s="1"/>
  <c r="G312" i="5"/>
  <c r="I312" i="5" s="1"/>
  <c r="M312" i="5" s="1"/>
  <c r="U312" i="5" s="1"/>
  <c r="G307" i="5"/>
  <c r="I307" i="5" s="1"/>
  <c r="M307" i="5" s="1"/>
  <c r="U307" i="5" s="1"/>
  <c r="G298" i="5"/>
  <c r="I298" i="5" s="1"/>
  <c r="M298" i="5" s="1"/>
  <c r="U298" i="5" s="1"/>
  <c r="G277" i="5"/>
  <c r="I277" i="5" s="1"/>
  <c r="M277" i="5" s="1"/>
  <c r="U277" i="5" s="1"/>
  <c r="G339" i="5"/>
  <c r="I339" i="5" s="1"/>
  <c r="M339" i="5" s="1"/>
  <c r="U339" i="5" s="1"/>
  <c r="G279" i="5"/>
  <c r="I279" i="5" s="1"/>
  <c r="M279" i="5" s="1"/>
  <c r="U279" i="5" s="1"/>
  <c r="G283" i="5"/>
  <c r="I283" i="5" s="1"/>
  <c r="M283" i="5" s="1"/>
  <c r="U283" i="5" s="1"/>
  <c r="G296" i="5"/>
  <c r="I296" i="5" s="1"/>
  <c r="M296" i="5" s="1"/>
  <c r="U296" i="5" s="1"/>
  <c r="G301" i="5"/>
  <c r="I301" i="5" s="1"/>
  <c r="M301" i="5" s="1"/>
  <c r="U301" i="5" s="1"/>
  <c r="G306" i="5"/>
  <c r="I306" i="5" s="1"/>
  <c r="M306" i="5" s="1"/>
  <c r="U306" i="5" s="1"/>
  <c r="G313" i="5"/>
  <c r="I313" i="5" s="1"/>
  <c r="M313" i="5" s="1"/>
  <c r="U313" i="5" s="1"/>
  <c r="G318" i="5"/>
  <c r="I318" i="5" s="1"/>
  <c r="M318" i="5" s="1"/>
  <c r="U318" i="5" s="1"/>
  <c r="G329" i="5"/>
  <c r="I329" i="5" s="1"/>
  <c r="M329" i="5" s="1"/>
  <c r="U329" i="5" s="1"/>
  <c r="G333" i="5"/>
  <c r="I333" i="5" s="1"/>
  <c r="M333" i="5" s="1"/>
  <c r="U333" i="5" s="1"/>
  <c r="M273" i="5" l="1"/>
  <c r="U273" i="5" s="1"/>
  <c r="I284" i="5"/>
  <c r="I286" i="5" s="1"/>
  <c r="G360" i="5"/>
  <c r="K43" i="10" s="1"/>
  <c r="Q43" i="10" s="1"/>
  <c r="I358" i="5"/>
  <c r="H391" i="5"/>
  <c r="I391" i="5" s="1"/>
  <c r="M391" i="5" s="1"/>
  <c r="U391" i="5" s="1"/>
  <c r="H392" i="5"/>
  <c r="I392" i="5" s="1"/>
  <c r="M392" i="5" s="1"/>
  <c r="U392" i="5" s="1"/>
  <c r="H390" i="5"/>
  <c r="O41" i="10"/>
  <c r="I319" i="5"/>
  <c r="I343" i="5"/>
  <c r="I345" i="5" s="1"/>
  <c r="O44" i="10"/>
  <c r="K40" i="10"/>
  <c r="Q40" i="10" s="1"/>
  <c r="G40" i="6"/>
  <c r="W44" i="10"/>
  <c r="Y44" i="10" s="1"/>
  <c r="W41" i="10"/>
  <c r="Y41" i="10" s="1"/>
  <c r="G396" i="5"/>
  <c r="G170" i="5"/>
  <c r="I170" i="5" s="1"/>
  <c r="M170" i="5" s="1"/>
  <c r="U170" i="5" s="1"/>
  <c r="G173" i="5"/>
  <c r="I173" i="5" s="1"/>
  <c r="M173" i="5" s="1"/>
  <c r="U173" i="5" s="1"/>
  <c r="G169" i="5"/>
  <c r="I169" i="5" s="1"/>
  <c r="G172" i="5"/>
  <c r="I172" i="5" s="1"/>
  <c r="M172" i="5" s="1"/>
  <c r="U172" i="5" s="1"/>
  <c r="G159" i="5"/>
  <c r="I159" i="5" s="1"/>
  <c r="M159" i="5" s="1"/>
  <c r="U159" i="5" s="1"/>
  <c r="G158" i="5"/>
  <c r="I158" i="5" s="1"/>
  <c r="M158" i="5" s="1"/>
  <c r="U158" i="5" s="1"/>
  <c r="G162" i="5"/>
  <c r="I162" i="5" s="1"/>
  <c r="M162" i="5" s="1"/>
  <c r="U162" i="5" s="1"/>
  <c r="G105" i="5"/>
  <c r="I105" i="5" s="1"/>
  <c r="G106" i="5"/>
  <c r="I106" i="5" s="1"/>
  <c r="G110" i="5"/>
  <c r="G171" i="5"/>
  <c r="I171" i="5" s="1"/>
  <c r="M171" i="5" s="1"/>
  <c r="U171" i="5" s="1"/>
  <c r="G161" i="5"/>
  <c r="I161" i="5" s="1"/>
  <c r="M161" i="5" s="1"/>
  <c r="U161" i="5" s="1"/>
  <c r="G157" i="5"/>
  <c r="I157" i="5" s="1"/>
  <c r="G160" i="5"/>
  <c r="I160" i="5" s="1"/>
  <c r="G109" i="5"/>
  <c r="G107" i="5"/>
  <c r="I107" i="5" s="1"/>
  <c r="G108" i="5"/>
  <c r="G319" i="5"/>
  <c r="G321" i="5" s="1"/>
  <c r="G343" i="5"/>
  <c r="G345" i="5" s="1"/>
  <c r="G284" i="5"/>
  <c r="G43" i="6" l="1"/>
  <c r="H393" i="5"/>
  <c r="I393" i="5" s="1"/>
  <c r="M393" i="5" s="1"/>
  <c r="U393" i="5" s="1"/>
  <c r="H396" i="5"/>
  <c r="I390" i="5"/>
  <c r="M358" i="5"/>
  <c r="I360" i="5"/>
  <c r="I321" i="5"/>
  <c r="I348" i="5"/>
  <c r="O40" i="10"/>
  <c r="K32" i="10"/>
  <c r="G32" i="6"/>
  <c r="M284" i="5"/>
  <c r="M319" i="5"/>
  <c r="M321" i="5" s="1"/>
  <c r="W43" i="10"/>
  <c r="Y43" i="10" s="1"/>
  <c r="W40" i="10"/>
  <c r="M343" i="5"/>
  <c r="M345" i="5" s="1"/>
  <c r="G348" i="5"/>
  <c r="G286" i="5"/>
  <c r="G444" i="5"/>
  <c r="I444" i="5" s="1"/>
  <c r="G441" i="5"/>
  <c r="I441" i="5" s="1"/>
  <c r="G77" i="5"/>
  <c r="I77" i="5" s="1"/>
  <c r="G446" i="5"/>
  <c r="I446" i="5" s="1"/>
  <c r="M446" i="5" s="1"/>
  <c r="U446" i="5" s="1"/>
  <c r="G442" i="5"/>
  <c r="I442" i="5" s="1"/>
  <c r="M442" i="5" s="1"/>
  <c r="U442" i="5" s="1"/>
  <c r="G443" i="5"/>
  <c r="I443" i="5" s="1"/>
  <c r="M443" i="5" s="1"/>
  <c r="U443" i="5" s="1"/>
  <c r="G452" i="5"/>
  <c r="I452" i="5" s="1"/>
  <c r="M452" i="5" s="1"/>
  <c r="U452" i="5" s="1"/>
  <c r="G449" i="5"/>
  <c r="I449" i="5" s="1"/>
  <c r="G453" i="5"/>
  <c r="I453" i="5" s="1"/>
  <c r="M453" i="5" s="1"/>
  <c r="U453" i="5" s="1"/>
  <c r="G371" i="5"/>
  <c r="I371" i="5" s="1"/>
  <c r="G373" i="5"/>
  <c r="I373" i="5" s="1"/>
  <c r="M373" i="5" s="1"/>
  <c r="U373" i="5" s="1"/>
  <c r="G445" i="5"/>
  <c r="I445" i="5" s="1"/>
  <c r="M445" i="5" s="1"/>
  <c r="U445" i="5" s="1"/>
  <c r="G451" i="5"/>
  <c r="I451" i="5" s="1"/>
  <c r="M451" i="5" s="1"/>
  <c r="U451" i="5" s="1"/>
  <c r="G82" i="5"/>
  <c r="G180" i="5"/>
  <c r="I180" i="5" s="1"/>
  <c r="G450" i="5"/>
  <c r="I450" i="5" s="1"/>
  <c r="M450" i="5" s="1"/>
  <c r="U450" i="5" s="1"/>
  <c r="G379" i="5"/>
  <c r="I379" i="5" s="1"/>
  <c r="M379" i="5" s="1"/>
  <c r="U379" i="5" s="1"/>
  <c r="G372" i="5"/>
  <c r="I372" i="5" s="1"/>
  <c r="M372" i="5" s="1"/>
  <c r="U372" i="5" s="1"/>
  <c r="U358" i="5" l="1"/>
  <c r="M360" i="5"/>
  <c r="M43" i="10" s="1"/>
  <c r="O43" i="10" s="1"/>
  <c r="I375" i="5"/>
  <c r="M390" i="5"/>
  <c r="I396" i="5"/>
  <c r="I351" i="5"/>
  <c r="Q32" i="10"/>
  <c r="M348" i="5"/>
  <c r="M351" i="5" s="1"/>
  <c r="M42" i="10" s="1"/>
  <c r="M286" i="5"/>
  <c r="Y40" i="10"/>
  <c r="W32" i="10"/>
  <c r="Y32" i="10" s="1"/>
  <c r="G351" i="5"/>
  <c r="M29" i="5"/>
  <c r="G174" i="5"/>
  <c r="I174" i="5" s="1"/>
  <c r="G189" i="5"/>
  <c r="I189" i="5" s="1"/>
  <c r="G187" i="5"/>
  <c r="I187" i="5" s="1"/>
  <c r="G111" i="5"/>
  <c r="G163" i="5"/>
  <c r="I163" i="5" s="1"/>
  <c r="G378" i="5"/>
  <c r="I378" i="5" s="1"/>
  <c r="G188" i="5"/>
  <c r="I188" i="5" s="1"/>
  <c r="G375" i="5"/>
  <c r="M163" i="5" l="1"/>
  <c r="U163" i="5" s="1"/>
  <c r="I165" i="5"/>
  <c r="H108" i="5"/>
  <c r="H110" i="5"/>
  <c r="I110" i="5" s="1"/>
  <c r="M110" i="5" s="1"/>
  <c r="U110" i="5" s="1"/>
  <c r="H109" i="5"/>
  <c r="I109" i="5" s="1"/>
  <c r="M109" i="5" s="1"/>
  <c r="U109" i="5" s="1"/>
  <c r="M45" i="10"/>
  <c r="M48" i="10" s="1"/>
  <c r="U390" i="5"/>
  <c r="M396" i="5"/>
  <c r="M32" i="10" s="1"/>
  <c r="O32" i="10" s="1"/>
  <c r="M174" i="5"/>
  <c r="U174" i="5" s="1"/>
  <c r="I176" i="5"/>
  <c r="K42" i="10"/>
  <c r="K45" i="10" s="1"/>
  <c r="K48" i="10" s="1"/>
  <c r="G42" i="6"/>
  <c r="M375" i="5"/>
  <c r="O42" i="10"/>
  <c r="O45" i="10" s="1"/>
  <c r="O48" i="10" s="1"/>
  <c r="K15" i="10"/>
  <c r="M49" i="5"/>
  <c r="M15" i="10" s="1"/>
  <c r="G165" i="5"/>
  <c r="M165" i="5"/>
  <c r="M24" i="10" s="1"/>
  <c r="G113" i="5"/>
  <c r="K16" i="10"/>
  <c r="M71" i="5"/>
  <c r="M16" i="10" s="1"/>
  <c r="G176" i="5"/>
  <c r="M176" i="5"/>
  <c r="M25" i="10" s="1"/>
  <c r="G204" i="5"/>
  <c r="I204" i="5" s="1"/>
  <c r="G181" i="5"/>
  <c r="I181" i="5" s="1"/>
  <c r="G196" i="5"/>
  <c r="I196" i="5" s="1"/>
  <c r="G380" i="5"/>
  <c r="I380" i="5" s="1"/>
  <c r="M380" i="5" s="1"/>
  <c r="U380" i="5" s="1"/>
  <c r="G447" i="5"/>
  <c r="I447" i="5" s="1"/>
  <c r="G92" i="5"/>
  <c r="I92" i="5" s="1"/>
  <c r="G203" i="5"/>
  <c r="I203" i="5" s="1"/>
  <c r="G205" i="5"/>
  <c r="I205" i="5" s="1"/>
  <c r="G97" i="5"/>
  <c r="I97" i="5" s="1"/>
  <c r="M97" i="5" s="1"/>
  <c r="U97" i="5" s="1"/>
  <c r="G454" i="5"/>
  <c r="I454" i="5" s="1"/>
  <c r="M454" i="5" s="1"/>
  <c r="U454" i="5" s="1"/>
  <c r="H111" i="5" l="1"/>
  <c r="I111" i="5" s="1"/>
  <c r="M111" i="5" s="1"/>
  <c r="U111" i="5" s="1"/>
  <c r="H113" i="5"/>
  <c r="I108" i="5"/>
  <c r="M181" i="5"/>
  <c r="U181" i="5" s="1"/>
  <c r="I382" i="5"/>
  <c r="I383" i="5" s="1"/>
  <c r="M447" i="5"/>
  <c r="U447" i="5" s="1"/>
  <c r="I455" i="5"/>
  <c r="Q42" i="10"/>
  <c r="W42" i="10" s="1"/>
  <c r="K25" i="10"/>
  <c r="G25" i="6"/>
  <c r="K21" i="10"/>
  <c r="G21" i="6"/>
  <c r="K24" i="10"/>
  <c r="G24" i="6"/>
  <c r="I42" i="6"/>
  <c r="I41" i="6"/>
  <c r="I40" i="6"/>
  <c r="G45" i="6"/>
  <c r="G48" i="6" s="1"/>
  <c r="M18" i="10"/>
  <c r="O15" i="10"/>
  <c r="Q15" i="10"/>
  <c r="K18" i="10"/>
  <c r="Q16" i="10"/>
  <c r="W16" i="10" s="1"/>
  <c r="Y16" i="10" s="1"/>
  <c r="O16" i="10"/>
  <c r="Q24" i="10"/>
  <c r="O24" i="10"/>
  <c r="Q25" i="10"/>
  <c r="O25" i="10"/>
  <c r="M492" i="5"/>
  <c r="M36" i="10" s="1"/>
  <c r="G382" i="5"/>
  <c r="G383" i="5" s="1"/>
  <c r="M382" i="5"/>
  <c r="M383" i="5" s="1"/>
  <c r="M31" i="10" s="1"/>
  <c r="G455" i="5"/>
  <c r="G83" i="5"/>
  <c r="G212" i="5"/>
  <c r="I212" i="5" s="1"/>
  <c r="Q45" i="10" l="1"/>
  <c r="Q48" i="10" s="1"/>
  <c r="M108" i="5"/>
  <c r="I113" i="5"/>
  <c r="H82" i="5"/>
  <c r="K31" i="10"/>
  <c r="Q31" i="10" s="1"/>
  <c r="G31" i="6"/>
  <c r="Q21" i="10"/>
  <c r="W21" i="10" s="1"/>
  <c r="Y21" i="10" s="1"/>
  <c r="I45" i="6"/>
  <c r="M455" i="5"/>
  <c r="M457" i="5" s="1"/>
  <c r="M33" i="10" s="1"/>
  <c r="W25" i="10"/>
  <c r="W24" i="10"/>
  <c r="Y24" i="10" s="1"/>
  <c r="W15" i="10"/>
  <c r="Q18" i="10"/>
  <c r="Y42" i="10"/>
  <c r="W45" i="10"/>
  <c r="W48" i="10" s="1"/>
  <c r="O18" i="10"/>
  <c r="G86" i="5"/>
  <c r="G20" i="6" s="1"/>
  <c r="G182" i="5"/>
  <c r="I182" i="5" s="1"/>
  <c r="H83" i="5" l="1"/>
  <c r="I83" i="5" s="1"/>
  <c r="M83" i="5" s="1"/>
  <c r="U83" i="5" s="1"/>
  <c r="H86" i="5"/>
  <c r="H512" i="5" s="1"/>
  <c r="I82" i="5"/>
  <c r="U108" i="5"/>
  <c r="M113" i="5"/>
  <c r="M21" i="10" s="1"/>
  <c r="O21" i="10" s="1"/>
  <c r="O31" i="10"/>
  <c r="M182" i="5"/>
  <c r="U182" i="5" s="1"/>
  <c r="I184" i="5"/>
  <c r="I48" i="6"/>
  <c r="K20" i="10"/>
  <c r="Q20" i="10" s="1"/>
  <c r="Y45" i="10"/>
  <c r="W18" i="10"/>
  <c r="Y18" i="10" s="1"/>
  <c r="Y15" i="10"/>
  <c r="Y25" i="10"/>
  <c r="W31" i="10"/>
  <c r="Y31" i="10" s="1"/>
  <c r="G184" i="5"/>
  <c r="M184" i="5"/>
  <c r="M26" i="10" s="1"/>
  <c r="M27" i="10" s="1"/>
  <c r="G98" i="5"/>
  <c r="I98" i="5" s="1"/>
  <c r="M98" i="5" l="1"/>
  <c r="U98" i="5" s="1"/>
  <c r="I101" i="5"/>
  <c r="M82" i="5"/>
  <c r="I86" i="5"/>
  <c r="K26" i="10"/>
  <c r="K27" i="10" s="1"/>
  <c r="G26" i="6"/>
  <c r="G27" i="6" s="1"/>
  <c r="I49" i="6"/>
  <c r="Q26" i="10"/>
  <c r="O26" i="10"/>
  <c r="O27" i="10" s="1"/>
  <c r="Y48" i="10"/>
  <c r="W20" i="10"/>
  <c r="G101" i="5"/>
  <c r="G22" i="6" s="1"/>
  <c r="G437" i="5"/>
  <c r="I437" i="5" s="1"/>
  <c r="G417" i="5"/>
  <c r="I417" i="5" s="1"/>
  <c r="G414" i="5"/>
  <c r="I414" i="5" s="1"/>
  <c r="G408" i="5"/>
  <c r="I408" i="5" s="1"/>
  <c r="G401" i="5"/>
  <c r="I401" i="5" s="1"/>
  <c r="G405" i="5"/>
  <c r="I405" i="5" s="1"/>
  <c r="G193" i="5"/>
  <c r="I193" i="5" s="1"/>
  <c r="M193" i="5" s="1"/>
  <c r="G191" i="5"/>
  <c r="I191" i="5" s="1"/>
  <c r="G197" i="5"/>
  <c r="I197" i="5" s="1"/>
  <c r="G400" i="5"/>
  <c r="I400" i="5" s="1"/>
  <c r="G407" i="5"/>
  <c r="I407" i="5" s="1"/>
  <c r="G208" i="5"/>
  <c r="I208" i="5" s="1"/>
  <c r="M208" i="5" s="1"/>
  <c r="U208" i="5" s="1"/>
  <c r="G192" i="5"/>
  <c r="I192" i="5" s="1"/>
  <c r="M192" i="5" s="1"/>
  <c r="G190" i="5"/>
  <c r="I190" i="5" s="1"/>
  <c r="M190" i="5" l="1"/>
  <c r="U190" i="5" s="1"/>
  <c r="I194" i="5"/>
  <c r="U82" i="5"/>
  <c r="M86" i="5"/>
  <c r="M20" i="10" s="1"/>
  <c r="O20" i="10" s="1"/>
  <c r="M197" i="5"/>
  <c r="U197" i="5" s="1"/>
  <c r="I198" i="5"/>
  <c r="U191" i="5"/>
  <c r="V191" i="5"/>
  <c r="O18" i="6"/>
  <c r="O24" i="6"/>
  <c r="O35" i="6"/>
  <c r="O38" i="6"/>
  <c r="O49" i="6"/>
  <c r="O39" i="6"/>
  <c r="O30" i="6"/>
  <c r="O32" i="6"/>
  <c r="O43" i="6"/>
  <c r="O27" i="6"/>
  <c r="O34" i="6"/>
  <c r="O23" i="6"/>
  <c r="O44" i="6"/>
  <c r="O42" i="6"/>
  <c r="O40" i="6"/>
  <c r="O41" i="6"/>
  <c r="O45" i="6"/>
  <c r="G23" i="6"/>
  <c r="O48" i="6"/>
  <c r="M101" i="5"/>
  <c r="M22" i="10" s="1"/>
  <c r="K22" i="10"/>
  <c r="K23" i="10" s="1"/>
  <c r="Y20" i="10"/>
  <c r="W26" i="10"/>
  <c r="Q27" i="10"/>
  <c r="G198" i="5"/>
  <c r="M198" i="5"/>
  <c r="G207" i="5"/>
  <c r="I207" i="5" s="1"/>
  <c r="G436" i="5"/>
  <c r="I436" i="5" s="1"/>
  <c r="G206" i="5"/>
  <c r="I206" i="5" s="1"/>
  <c r="G404" i="5"/>
  <c r="I404" i="5" s="1"/>
  <c r="G213" i="5"/>
  <c r="I213" i="5" s="1"/>
  <c r="G194" i="5"/>
  <c r="M206" i="5" l="1"/>
  <c r="U206" i="5" s="1"/>
  <c r="I200" i="5"/>
  <c r="M213" i="5"/>
  <c r="U213" i="5" s="1"/>
  <c r="I214" i="5"/>
  <c r="O22" i="10"/>
  <c r="O23" i="10" s="1"/>
  <c r="Q22" i="10"/>
  <c r="Q23" i="10" s="1"/>
  <c r="M23" i="10"/>
  <c r="M194" i="5"/>
  <c r="M200" i="5" s="1"/>
  <c r="Y26" i="10"/>
  <c r="W27" i="10"/>
  <c r="Y27" i="10" s="1"/>
  <c r="G200" i="5"/>
  <c r="G214" i="5"/>
  <c r="M214" i="5"/>
  <c r="W22" i="10" l="1"/>
  <c r="W23" i="10" s="1"/>
  <c r="Y23" i="10" s="1"/>
  <c r="K28" i="10"/>
  <c r="Q28" i="10" s="1"/>
  <c r="G28" i="6"/>
  <c r="M28" i="10"/>
  <c r="Y22" i="10"/>
  <c r="G410" i="5"/>
  <c r="I410" i="5" s="1"/>
  <c r="G209" i="5"/>
  <c r="I209" i="5" s="1"/>
  <c r="K36" i="10"/>
  <c r="M209" i="5" l="1"/>
  <c r="U209" i="5" s="1"/>
  <c r="I210" i="5"/>
  <c r="I216" i="5" s="1"/>
  <c r="O28" i="10"/>
  <c r="W28" i="10"/>
  <c r="O36" i="10"/>
  <c r="Q36" i="10"/>
  <c r="G210" i="5"/>
  <c r="G216" i="5" s="1"/>
  <c r="G411" i="5"/>
  <c r="G438" i="5" l="1"/>
  <c r="I411" i="5"/>
  <c r="I438" i="5" s="1"/>
  <c r="I457" i="5" s="1"/>
  <c r="M210" i="5"/>
  <c r="M216" i="5" s="1"/>
  <c r="M512" i="5" s="1"/>
  <c r="I512" i="5"/>
  <c r="K29" i="10"/>
  <c r="Q29" i="10" s="1"/>
  <c r="G29" i="6"/>
  <c r="K30" i="10"/>
  <c r="W36" i="10"/>
  <c r="Y36" i="10" s="1"/>
  <c r="Y28" i="10"/>
  <c r="G457" i="5"/>
  <c r="M29" i="10" l="1"/>
  <c r="G30" i="6"/>
  <c r="G512" i="5"/>
  <c r="G33" i="6"/>
  <c r="G38" i="6" s="1"/>
  <c r="G49" i="6" s="1"/>
  <c r="M30" i="10"/>
  <c r="M38" i="10"/>
  <c r="O29" i="10"/>
  <c r="K33" i="10"/>
  <c r="K38" i="10" s="1"/>
  <c r="W29" i="10"/>
  <c r="Q30" i="10"/>
  <c r="K34" i="6" l="1"/>
  <c r="K18" i="6"/>
  <c r="K30" i="6"/>
  <c r="K44" i="6"/>
  <c r="K40" i="6"/>
  <c r="K32" i="6"/>
  <c r="K23" i="6"/>
  <c r="K41" i="6"/>
  <c r="M41" i="6" s="1"/>
  <c r="K27" i="6"/>
  <c r="K24" i="6"/>
  <c r="M24" i="6" s="1"/>
  <c r="K43" i="6"/>
  <c r="K35" i="6"/>
  <c r="K42" i="6"/>
  <c r="M42" i="6" s="1"/>
  <c r="O30" i="10"/>
  <c r="M49" i="10"/>
  <c r="Y29" i="10"/>
  <c r="W30" i="10"/>
  <c r="Y30" i="10" s="1"/>
  <c r="Q33" i="10"/>
  <c r="O33" i="10"/>
  <c r="O38" i="10" s="1"/>
  <c r="T355" i="5" l="1"/>
  <c r="M43" i="6"/>
  <c r="K20" i="6"/>
  <c r="K21" i="6"/>
  <c r="M23" i="6"/>
  <c r="T363" i="5"/>
  <c r="T365" i="5" s="1"/>
  <c r="M44" i="6"/>
  <c r="T188" i="5"/>
  <c r="T190" i="5" s="1"/>
  <c r="K28" i="6"/>
  <c r="M30" i="6"/>
  <c r="M27" i="6"/>
  <c r="K25" i="6"/>
  <c r="T462" i="5"/>
  <c r="T464" i="5" s="1"/>
  <c r="M34" i="6"/>
  <c r="T387" i="5"/>
  <c r="T389" i="5" s="1"/>
  <c r="M32" i="6"/>
  <c r="T468" i="5"/>
  <c r="M35" i="6"/>
  <c r="M40" i="6"/>
  <c r="K45" i="6"/>
  <c r="T119" i="5"/>
  <c r="T121" i="5" s="1"/>
  <c r="W33" i="10"/>
  <c r="Q38" i="10"/>
  <c r="K49" i="10"/>
  <c r="O49" i="10"/>
  <c r="T470" i="5" l="1"/>
  <c r="O469" i="5" s="1"/>
  <c r="Q469" i="5" s="1"/>
  <c r="V469" i="5" s="1"/>
  <c r="T357" i="5"/>
  <c r="O358" i="5" s="1"/>
  <c r="E19" i="30" s="1"/>
  <c r="O293" i="5"/>
  <c r="Q293" i="5" s="1"/>
  <c r="O313" i="5"/>
  <c r="O280" i="5"/>
  <c r="O233" i="5"/>
  <c r="O128" i="5"/>
  <c r="O305" i="5"/>
  <c r="O252" i="5"/>
  <c r="O147" i="5"/>
  <c r="O315" i="5"/>
  <c r="O130" i="5"/>
  <c r="O237" i="5"/>
  <c r="O326" i="5"/>
  <c r="O277" i="5"/>
  <c r="O231" i="5"/>
  <c r="O126" i="5"/>
  <c r="O303" i="5"/>
  <c r="O250" i="5"/>
  <c r="O145" i="5"/>
  <c r="O273" i="5"/>
  <c r="E18" i="30" s="1"/>
  <c r="O228" i="5"/>
  <c r="O318" i="5"/>
  <c r="O275" i="5"/>
  <c r="O229" i="5"/>
  <c r="O124" i="5"/>
  <c r="O309" i="5"/>
  <c r="O257" i="5"/>
  <c r="O222" i="5"/>
  <c r="O337" i="5"/>
  <c r="O254" i="5"/>
  <c r="O317" i="5"/>
  <c r="O220" i="5"/>
  <c r="E17" i="30" s="1"/>
  <c r="O304" i="5"/>
  <c r="O129" i="5"/>
  <c r="O298" i="5"/>
  <c r="O249" i="5"/>
  <c r="O279" i="5"/>
  <c r="O339" i="5"/>
  <c r="O246" i="5"/>
  <c r="O239" i="5"/>
  <c r="O139" i="5"/>
  <c r="O312" i="5"/>
  <c r="O261" i="5"/>
  <c r="O225" i="5"/>
  <c r="O119" i="5"/>
  <c r="O296" i="5"/>
  <c r="O243" i="5"/>
  <c r="O138" i="5"/>
  <c r="O282" i="5"/>
  <c r="O333" i="5"/>
  <c r="O141" i="5"/>
  <c r="O310" i="5"/>
  <c r="O258" i="5"/>
  <c r="O223" i="5"/>
  <c r="O117" i="5"/>
  <c r="E12" i="30" s="1"/>
  <c r="O294" i="5"/>
  <c r="O241" i="5"/>
  <c r="O136" i="5"/>
  <c r="O227" i="5"/>
  <c r="O123" i="5"/>
  <c r="O256" i="5"/>
  <c r="O221" i="5"/>
  <c r="O341" i="5"/>
  <c r="O301" i="5"/>
  <c r="O248" i="5"/>
  <c r="O143" i="5"/>
  <c r="O332" i="5"/>
  <c r="O236" i="5"/>
  <c r="O307" i="5"/>
  <c r="O131" i="5"/>
  <c r="O299" i="5"/>
  <c r="Q299" i="5" s="1"/>
  <c r="O146" i="5"/>
  <c r="O330" i="5"/>
  <c r="O281" i="5"/>
  <c r="O302" i="5"/>
  <c r="O328" i="5"/>
  <c r="O232" i="5"/>
  <c r="O340" i="5"/>
  <c r="O142" i="5"/>
  <c r="O291" i="5"/>
  <c r="O306" i="5"/>
  <c r="O329" i="5"/>
  <c r="O295" i="5"/>
  <c r="O242" i="5"/>
  <c r="O137" i="5"/>
  <c r="O314" i="5"/>
  <c r="O263" i="5"/>
  <c r="O226" i="5"/>
  <c r="O120" i="5"/>
  <c r="O148" i="5"/>
  <c r="O255" i="5"/>
  <c r="O336" i="5"/>
  <c r="O240" i="5"/>
  <c r="O135" i="5"/>
  <c r="O311" i="5"/>
  <c r="O259" i="5"/>
  <c r="O224" i="5"/>
  <c r="O118" i="5"/>
  <c r="O274" i="5"/>
  <c r="O334" i="5"/>
  <c r="O290" i="5"/>
  <c r="O238" i="5"/>
  <c r="O132" i="5"/>
  <c r="O325" i="5"/>
  <c r="O276" i="5"/>
  <c r="O230" i="5"/>
  <c r="O125" i="5"/>
  <c r="O122" i="5"/>
  <c r="O245" i="5"/>
  <c r="O251" i="5"/>
  <c r="O234" i="5"/>
  <c r="O244" i="5"/>
  <c r="O342" i="5"/>
  <c r="O144" i="5"/>
  <c r="O127" i="5"/>
  <c r="O300" i="5"/>
  <c r="O335" i="5"/>
  <c r="O134" i="5"/>
  <c r="O283" i="5"/>
  <c r="M25" i="6"/>
  <c r="T105" i="5"/>
  <c r="T107" i="5" s="1"/>
  <c r="M21" i="6"/>
  <c r="O464" i="5"/>
  <c r="O462" i="5"/>
  <c r="O463" i="5"/>
  <c r="M20" i="6"/>
  <c r="K48" i="6"/>
  <c r="M48" i="6" s="1"/>
  <c r="M45" i="6"/>
  <c r="K26" i="6"/>
  <c r="K29" i="6"/>
  <c r="M29" i="6" s="1"/>
  <c r="M28" i="6"/>
  <c r="K22" i="6"/>
  <c r="Q49" i="10"/>
  <c r="Y33" i="10"/>
  <c r="W38" i="10"/>
  <c r="O364" i="5"/>
  <c r="E20" i="30" s="1"/>
  <c r="Q358" i="5" l="1"/>
  <c r="V358" i="5" s="1"/>
  <c r="Q470" i="5"/>
  <c r="Q463" i="5"/>
  <c r="V463" i="5" s="1"/>
  <c r="Q290" i="5"/>
  <c r="V290" i="5" s="1"/>
  <c r="Q462" i="5"/>
  <c r="V462" i="5" s="1"/>
  <c r="Q325" i="5"/>
  <c r="V325" i="5" s="1"/>
  <c r="Q220" i="5"/>
  <c r="V220" i="5" s="1"/>
  <c r="Q273" i="5"/>
  <c r="V273" i="5" s="1"/>
  <c r="Q364" i="5"/>
  <c r="Q366" i="5" s="1"/>
  <c r="S44" i="10" s="1"/>
  <c r="Q117" i="5"/>
  <c r="V117" i="5" s="1"/>
  <c r="Q464" i="5"/>
  <c r="V464" i="5" s="1"/>
  <c r="Q127" i="5"/>
  <c r="V127" i="5" s="1"/>
  <c r="Q125" i="5"/>
  <c r="V125" i="5" s="1"/>
  <c r="Q274" i="5"/>
  <c r="V274" i="5" s="1"/>
  <c r="Q263" i="5"/>
  <c r="V263" i="5" s="1"/>
  <c r="Q341" i="5"/>
  <c r="V341" i="5" s="1"/>
  <c r="Q227" i="5"/>
  <c r="V227" i="5" s="1"/>
  <c r="Q141" i="5"/>
  <c r="V141" i="5" s="1"/>
  <c r="Q261" i="5"/>
  <c r="V261" i="5" s="1"/>
  <c r="Q246" i="5"/>
  <c r="V246" i="5" s="1"/>
  <c r="Q317" i="5"/>
  <c r="V317" i="5" s="1"/>
  <c r="Q275" i="5"/>
  <c r="V275" i="5" s="1"/>
  <c r="Q145" i="5"/>
  <c r="V145" i="5" s="1"/>
  <c r="Q130" i="5"/>
  <c r="V130" i="5" s="1"/>
  <c r="Q305" i="5"/>
  <c r="V305" i="5" s="1"/>
  <c r="Q144" i="5"/>
  <c r="V144" i="5" s="1"/>
  <c r="Q230" i="5"/>
  <c r="V230" i="5" s="1"/>
  <c r="Q118" i="5"/>
  <c r="V118" i="5" s="1"/>
  <c r="Q148" i="5"/>
  <c r="V148" i="5" s="1"/>
  <c r="Q329" i="5"/>
  <c r="V329" i="5" s="1"/>
  <c r="Q281" i="5"/>
  <c r="V281" i="5" s="1"/>
  <c r="Q143" i="5"/>
  <c r="V143" i="5" s="1"/>
  <c r="Q136" i="5"/>
  <c r="V136" i="5" s="1"/>
  <c r="Q333" i="5"/>
  <c r="V333" i="5" s="1"/>
  <c r="Q312" i="5"/>
  <c r="V312" i="5" s="1"/>
  <c r="Q254" i="5"/>
  <c r="V254" i="5" s="1"/>
  <c r="Q335" i="5"/>
  <c r="V335" i="5" s="1"/>
  <c r="Q342" i="5"/>
  <c r="V342" i="5" s="1"/>
  <c r="Q245" i="5"/>
  <c r="V245" i="5" s="1"/>
  <c r="Q276" i="5"/>
  <c r="V276" i="5" s="1"/>
  <c r="Q224" i="5"/>
  <c r="V224" i="5" s="1"/>
  <c r="Q240" i="5"/>
  <c r="V240" i="5" s="1"/>
  <c r="Q120" i="5"/>
  <c r="V120" i="5" s="1"/>
  <c r="Q137" i="5"/>
  <c r="V137" i="5" s="1"/>
  <c r="Q306" i="5"/>
  <c r="V306" i="5" s="1"/>
  <c r="Q232" i="5"/>
  <c r="V232" i="5" s="1"/>
  <c r="Q330" i="5"/>
  <c r="V330" i="5" s="1"/>
  <c r="Q307" i="5"/>
  <c r="V307" i="5" s="1"/>
  <c r="Q248" i="5"/>
  <c r="V248" i="5" s="1"/>
  <c r="Q256" i="5"/>
  <c r="V256" i="5" s="1"/>
  <c r="Q241" i="5"/>
  <c r="V241" i="5" s="1"/>
  <c r="Q258" i="5"/>
  <c r="V258" i="5" s="1"/>
  <c r="Q282" i="5"/>
  <c r="V282" i="5" s="1"/>
  <c r="Q119" i="5"/>
  <c r="V119" i="5" s="1"/>
  <c r="Q139" i="5"/>
  <c r="V139" i="5" s="1"/>
  <c r="Q279" i="5"/>
  <c r="V279" i="5" s="1"/>
  <c r="Q304" i="5"/>
  <c r="V304" i="5" s="1"/>
  <c r="Q337" i="5"/>
  <c r="V337" i="5" s="1"/>
  <c r="Q124" i="5"/>
  <c r="V124" i="5" s="1"/>
  <c r="Q228" i="5"/>
  <c r="V228" i="5" s="1"/>
  <c r="Q303" i="5"/>
  <c r="V303" i="5" s="1"/>
  <c r="Q326" i="5"/>
  <c r="V326" i="5" s="1"/>
  <c r="Q147" i="5"/>
  <c r="V147" i="5" s="1"/>
  <c r="Q233" i="5"/>
  <c r="V233" i="5" s="1"/>
  <c r="Q283" i="5"/>
  <c r="V283" i="5" s="1"/>
  <c r="Q234" i="5"/>
  <c r="V234" i="5" s="1"/>
  <c r="Q132" i="5"/>
  <c r="V132" i="5" s="1"/>
  <c r="Q311" i="5"/>
  <c r="V311" i="5" s="1"/>
  <c r="Q255" i="5"/>
  <c r="V255" i="5" s="1"/>
  <c r="Q295" i="5"/>
  <c r="V295" i="5" s="1"/>
  <c r="Q142" i="5"/>
  <c r="V142" i="5" s="1"/>
  <c r="Q302" i="5"/>
  <c r="V302" i="5" s="1"/>
  <c r="Q332" i="5"/>
  <c r="V332" i="5" s="1"/>
  <c r="Q243" i="5"/>
  <c r="V243" i="5" s="1"/>
  <c r="Q298" i="5"/>
  <c r="V298" i="5" s="1"/>
  <c r="Q257" i="5"/>
  <c r="V257" i="5" s="1"/>
  <c r="Q231" i="5"/>
  <c r="V231" i="5" s="1"/>
  <c r="Q313" i="5"/>
  <c r="V313" i="5" s="1"/>
  <c r="Q134" i="5"/>
  <c r="V134" i="5" s="1"/>
  <c r="Q251" i="5"/>
  <c r="V251" i="5" s="1"/>
  <c r="Q238" i="5"/>
  <c r="V238" i="5" s="1"/>
  <c r="Q135" i="5"/>
  <c r="V135" i="5" s="1"/>
  <c r="Q314" i="5"/>
  <c r="V314" i="5" s="1"/>
  <c r="Q340" i="5"/>
  <c r="V340" i="5" s="1"/>
  <c r="Q131" i="5"/>
  <c r="V131" i="5" s="1"/>
  <c r="Q221" i="5"/>
  <c r="V221" i="5" s="1"/>
  <c r="Q223" i="5"/>
  <c r="V223" i="5" s="1"/>
  <c r="Q296" i="5"/>
  <c r="V296" i="5" s="1"/>
  <c r="Q339" i="5"/>
  <c r="V339" i="5" s="1"/>
  <c r="Q129" i="5"/>
  <c r="V129" i="5" s="1"/>
  <c r="Q309" i="5"/>
  <c r="V309" i="5" s="1"/>
  <c r="Q318" i="5"/>
  <c r="V318" i="5" s="1"/>
  <c r="Q250" i="5"/>
  <c r="V250" i="5" s="1"/>
  <c r="Q277" i="5"/>
  <c r="V277" i="5" s="1"/>
  <c r="Q315" i="5"/>
  <c r="V315" i="5" s="1"/>
  <c r="Q128" i="5"/>
  <c r="V128" i="5" s="1"/>
  <c r="Q300" i="5"/>
  <c r="V300" i="5" s="1"/>
  <c r="Q244" i="5"/>
  <c r="V244" i="5" s="1"/>
  <c r="Q122" i="5"/>
  <c r="V122" i="5" s="1"/>
  <c r="Q334" i="5"/>
  <c r="V334" i="5" s="1"/>
  <c r="Q259" i="5"/>
  <c r="V259" i="5" s="1"/>
  <c r="Q336" i="5"/>
  <c r="V336" i="5" s="1"/>
  <c r="Q226" i="5"/>
  <c r="V226" i="5" s="1"/>
  <c r="Q242" i="5"/>
  <c r="V242" i="5" s="1"/>
  <c r="Q291" i="5"/>
  <c r="V291" i="5" s="1"/>
  <c r="Q328" i="5"/>
  <c r="V328" i="5" s="1"/>
  <c r="Q146" i="5"/>
  <c r="V146" i="5" s="1"/>
  <c r="Q236" i="5"/>
  <c r="V236" i="5" s="1"/>
  <c r="Q301" i="5"/>
  <c r="V301" i="5" s="1"/>
  <c r="Q123" i="5"/>
  <c r="V123" i="5" s="1"/>
  <c r="Q294" i="5"/>
  <c r="V294" i="5" s="1"/>
  <c r="Q310" i="5"/>
  <c r="V310" i="5" s="1"/>
  <c r="Q138" i="5"/>
  <c r="V138" i="5" s="1"/>
  <c r="Q225" i="5"/>
  <c r="V225" i="5" s="1"/>
  <c r="Q239" i="5"/>
  <c r="V239" i="5" s="1"/>
  <c r="Q249" i="5"/>
  <c r="V249" i="5" s="1"/>
  <c r="Q222" i="5"/>
  <c r="V222" i="5" s="1"/>
  <c r="Q229" i="5"/>
  <c r="V229" i="5" s="1"/>
  <c r="Q126" i="5"/>
  <c r="V126" i="5" s="1"/>
  <c r="Q237" i="5"/>
  <c r="V237" i="5" s="1"/>
  <c r="Q252" i="5"/>
  <c r="V252" i="5" s="1"/>
  <c r="Q280" i="5"/>
  <c r="V280" i="5" s="1"/>
  <c r="K31" i="6"/>
  <c r="K33" i="6"/>
  <c r="T170" i="5" s="1"/>
  <c r="T172" i="5" s="1"/>
  <c r="T180" i="5"/>
  <c r="M26" i="6"/>
  <c r="T76" i="5"/>
  <c r="T78" i="5" s="1"/>
  <c r="M22" i="6"/>
  <c r="Y38" i="10"/>
  <c r="W49" i="10"/>
  <c r="Y49" i="10" s="1"/>
  <c r="O387" i="5"/>
  <c r="E23" i="30" s="1"/>
  <c r="O391" i="5"/>
  <c r="O392" i="5"/>
  <c r="O388" i="5"/>
  <c r="O390" i="5"/>
  <c r="O393" i="5"/>
  <c r="S35" i="10" l="1"/>
  <c r="U35" i="10" s="1"/>
  <c r="AA35" i="10" s="1"/>
  <c r="AC35" i="10" s="1"/>
  <c r="Q360" i="5"/>
  <c r="V364" i="5"/>
  <c r="Q465" i="5"/>
  <c r="T461" i="5" s="1"/>
  <c r="T463" i="5" s="1"/>
  <c r="T182" i="5"/>
  <c r="O181" i="5" s="1"/>
  <c r="E15" i="30" s="1"/>
  <c r="T467" i="5"/>
  <c r="T469" i="5" s="1"/>
  <c r="Q387" i="5"/>
  <c r="V387" i="5" s="1"/>
  <c r="Q284" i="5"/>
  <c r="Q286" i="5" s="1"/>
  <c r="Q343" i="5"/>
  <c r="Q345" i="5" s="1"/>
  <c r="Q319" i="5"/>
  <c r="Q321" i="5" s="1"/>
  <c r="Q264" i="5"/>
  <c r="Q268" i="5" s="1"/>
  <c r="Q388" i="5"/>
  <c r="V388" i="5" s="1"/>
  <c r="Q392" i="5"/>
  <c r="V392" i="5" s="1"/>
  <c r="Q393" i="5"/>
  <c r="V393" i="5" s="1"/>
  <c r="Q391" i="5"/>
  <c r="V391" i="5" s="1"/>
  <c r="Q390" i="5"/>
  <c r="V390" i="5" s="1"/>
  <c r="Q149" i="5"/>
  <c r="Q153" i="5" s="1"/>
  <c r="S40" i="10" s="1"/>
  <c r="M36" i="6"/>
  <c r="T158" i="5"/>
  <c r="T160" i="5" s="1"/>
  <c r="M33" i="6"/>
  <c r="T373" i="5"/>
  <c r="T375" i="5" s="1"/>
  <c r="M31" i="6"/>
  <c r="K38" i="6"/>
  <c r="M38" i="6" s="1"/>
  <c r="O80" i="5"/>
  <c r="O79" i="5"/>
  <c r="E9" i="30" s="1"/>
  <c r="O95" i="5"/>
  <c r="O94" i="5"/>
  <c r="E11" i="30" s="1"/>
  <c r="T362" i="5"/>
  <c r="T364" i="5" s="1"/>
  <c r="O98" i="5"/>
  <c r="O83" i="5"/>
  <c r="O82" i="5"/>
  <c r="O97" i="5"/>
  <c r="O206" i="5"/>
  <c r="O197" i="5"/>
  <c r="O193" i="5"/>
  <c r="Q193" i="5" s="1"/>
  <c r="O208" i="5"/>
  <c r="O213" i="5"/>
  <c r="O190" i="5"/>
  <c r="E16" i="30" s="1"/>
  <c r="O192" i="5"/>
  <c r="Q192" i="5" s="1"/>
  <c r="O209" i="5"/>
  <c r="O110" i="5"/>
  <c r="O109" i="5"/>
  <c r="O108" i="5"/>
  <c r="E10" i="30" s="1"/>
  <c r="O111" i="5"/>
  <c r="S43" i="10" l="1"/>
  <c r="U43" i="10" s="1"/>
  <c r="AA43" i="10" s="1"/>
  <c r="AC43" i="10" s="1"/>
  <c r="S41" i="10"/>
  <c r="U41" i="10" s="1"/>
  <c r="AA41" i="10" s="1"/>
  <c r="AC41" i="10" s="1"/>
  <c r="S34" i="10"/>
  <c r="U34" i="10" s="1"/>
  <c r="AA34" i="10" s="1"/>
  <c r="AC34" i="10" s="1"/>
  <c r="T354" i="5"/>
  <c r="T356" i="5" s="1"/>
  <c r="O182" i="5"/>
  <c r="Q213" i="5"/>
  <c r="Q214" i="5" s="1"/>
  <c r="Q206" i="5"/>
  <c r="V206" i="5" s="1"/>
  <c r="Q98" i="5"/>
  <c r="V98" i="5" s="1"/>
  <c r="Q79" i="5"/>
  <c r="V79" i="5" s="1"/>
  <c r="Q209" i="5"/>
  <c r="V209" i="5" s="1"/>
  <c r="Q108" i="5"/>
  <c r="V108" i="5" s="1"/>
  <c r="Q111" i="5"/>
  <c r="V111" i="5" s="1"/>
  <c r="Q97" i="5"/>
  <c r="V97" i="5" s="1"/>
  <c r="Q80" i="5"/>
  <c r="V80" i="5" s="1"/>
  <c r="Q94" i="5"/>
  <c r="V94" i="5" s="1"/>
  <c r="Q190" i="5"/>
  <c r="V190" i="5" s="1"/>
  <c r="Q197" i="5"/>
  <c r="V197" i="5" s="1"/>
  <c r="Q95" i="5"/>
  <c r="V95" i="5" s="1"/>
  <c r="Q348" i="5"/>
  <c r="Q351" i="5" s="1"/>
  <c r="Q208" i="5"/>
  <c r="V208" i="5" s="1"/>
  <c r="Q181" i="5"/>
  <c r="Q109" i="5"/>
  <c r="V109" i="5" s="1"/>
  <c r="Q110" i="5"/>
  <c r="V110" i="5" s="1"/>
  <c r="Q82" i="5"/>
  <c r="V82" i="5" s="1"/>
  <c r="Q83" i="5"/>
  <c r="V83" i="5" s="1"/>
  <c r="O442" i="5"/>
  <c r="O163" i="5"/>
  <c r="O446" i="5"/>
  <c r="O447" i="5"/>
  <c r="O158" i="5"/>
  <c r="E13" i="30" s="1"/>
  <c r="O445" i="5"/>
  <c r="O161" i="5"/>
  <c r="O159" i="5"/>
  <c r="O443" i="5"/>
  <c r="O162" i="5"/>
  <c r="U40" i="10"/>
  <c r="AA40" i="10" s="1"/>
  <c r="AC40" i="10" s="1"/>
  <c r="O372" i="5"/>
  <c r="E21" i="30" s="1"/>
  <c r="O380" i="5"/>
  <c r="O373" i="5"/>
  <c r="O379" i="5"/>
  <c r="O452" i="5"/>
  <c r="O454" i="5"/>
  <c r="O171" i="5"/>
  <c r="O450" i="5"/>
  <c r="O170" i="5"/>
  <c r="E14" i="30" s="1"/>
  <c r="E22" i="30" s="1"/>
  <c r="O174" i="5"/>
  <c r="O173" i="5"/>
  <c r="O453" i="5"/>
  <c r="O172" i="5"/>
  <c r="O451" i="5"/>
  <c r="Q396" i="5"/>
  <c r="S32" i="10" s="1"/>
  <c r="U44" i="10"/>
  <c r="S42" i="10" l="1"/>
  <c r="U42" i="10" s="1"/>
  <c r="Q182" i="5"/>
  <c r="Q184" i="5" s="1"/>
  <c r="S26" i="10" s="1"/>
  <c r="Q198" i="5"/>
  <c r="T118" i="5"/>
  <c r="T120" i="5" s="1"/>
  <c r="V181" i="5"/>
  <c r="Q170" i="5"/>
  <c r="V170" i="5" s="1"/>
  <c r="Q372" i="5"/>
  <c r="V372" i="5" s="1"/>
  <c r="Q158" i="5"/>
  <c r="V158" i="5" s="1"/>
  <c r="Q442" i="5"/>
  <c r="V442" i="5" s="1"/>
  <c r="Q379" i="5"/>
  <c r="V379" i="5" s="1"/>
  <c r="V213" i="5"/>
  <c r="Q373" i="5"/>
  <c r="V373" i="5" s="1"/>
  <c r="Q380" i="5"/>
  <c r="V380" i="5" s="1"/>
  <c r="Q453" i="5"/>
  <c r="V453" i="5" s="1"/>
  <c r="Q452" i="5"/>
  <c r="V452" i="5" s="1"/>
  <c r="Q173" i="5"/>
  <c r="V173" i="5" s="1"/>
  <c r="Q451" i="5"/>
  <c r="V451" i="5" s="1"/>
  <c r="Q450" i="5"/>
  <c r="V450" i="5" s="1"/>
  <c r="Q172" i="5"/>
  <c r="V172" i="5" s="1"/>
  <c r="Q174" i="5"/>
  <c r="V174" i="5" s="1"/>
  <c r="Q171" i="5"/>
  <c r="V171" i="5" s="1"/>
  <c r="Q454" i="5"/>
  <c r="V454" i="5" s="1"/>
  <c r="Q443" i="5"/>
  <c r="V443" i="5" s="1"/>
  <c r="Q159" i="5"/>
  <c r="V159" i="5" s="1"/>
  <c r="Q447" i="5"/>
  <c r="V447" i="5" s="1"/>
  <c r="Q161" i="5"/>
  <c r="V161" i="5" s="1"/>
  <c r="Q446" i="5"/>
  <c r="V446" i="5" s="1"/>
  <c r="Q162" i="5"/>
  <c r="V162" i="5" s="1"/>
  <c r="Q445" i="5"/>
  <c r="V445" i="5" s="1"/>
  <c r="Q163" i="5"/>
  <c r="V163" i="5" s="1"/>
  <c r="T386" i="5"/>
  <c r="T388" i="5" s="1"/>
  <c r="Q492" i="5"/>
  <c r="S36" i="10" s="1"/>
  <c r="S45" i="10"/>
  <c r="S48" i="10" s="1"/>
  <c r="Q86" i="5"/>
  <c r="S20" i="10" s="1"/>
  <c r="Q101" i="5"/>
  <c r="S22" i="10" s="1"/>
  <c r="Q194" i="5"/>
  <c r="Q113" i="5"/>
  <c r="S21" i="10" s="1"/>
  <c r="AA44" i="10"/>
  <c r="Q210" i="5"/>
  <c r="Q216" i="5" s="1"/>
  <c r="S29" i="10" s="1"/>
  <c r="AA42" i="10" l="1"/>
  <c r="AC42" i="10" s="1"/>
  <c r="U45" i="10"/>
  <c r="U48" i="10" s="1"/>
  <c r="V182" i="5"/>
  <c r="U26" i="10"/>
  <c r="AA26" i="10" s="1"/>
  <c r="AC26" i="10" s="1"/>
  <c r="T179" i="5"/>
  <c r="T181" i="5" s="1"/>
  <c r="Q200" i="5"/>
  <c r="Q455" i="5"/>
  <c r="Q457" i="5" s="1"/>
  <c r="Q382" i="5"/>
  <c r="U36" i="10"/>
  <c r="AA36" i="10" s="1"/>
  <c r="AC36" i="10" s="1"/>
  <c r="U22" i="10"/>
  <c r="AA22" i="10" s="1"/>
  <c r="AC22" i="10" s="1"/>
  <c r="U21" i="10"/>
  <c r="AA21" i="10" s="1"/>
  <c r="AC21" i="10" s="1"/>
  <c r="Q176" i="5"/>
  <c r="S25" i="10" s="1"/>
  <c r="Q375" i="5"/>
  <c r="Q165" i="5"/>
  <c r="S24" i="10" s="1"/>
  <c r="T75" i="5"/>
  <c r="T77" i="5" s="1"/>
  <c r="U32" i="10"/>
  <c r="AA32" i="10" s="1"/>
  <c r="AC32" i="10" s="1"/>
  <c r="T104" i="5"/>
  <c r="T106" i="5" s="1"/>
  <c r="U20" i="10"/>
  <c r="U29" i="10"/>
  <c r="AA29" i="10" s="1"/>
  <c r="AC29" i="10" s="1"/>
  <c r="AC44" i="10"/>
  <c r="AA45" i="10"/>
  <c r="AA48" i="10" s="1"/>
  <c r="S28" i="10" l="1"/>
  <c r="U28" i="10" s="1"/>
  <c r="S33" i="10"/>
  <c r="U33" i="10" s="1"/>
  <c r="AA33" i="10" s="1"/>
  <c r="AC33" i="10" s="1"/>
  <c r="T187" i="5"/>
  <c r="T189" i="5" s="1"/>
  <c r="Q383" i="5"/>
  <c r="S31" i="10" s="1"/>
  <c r="U31" i="10" s="1"/>
  <c r="AA31" i="10" s="1"/>
  <c r="AC31" i="10" s="1"/>
  <c r="T169" i="5"/>
  <c r="T171" i="5" s="1"/>
  <c r="S23" i="10"/>
  <c r="U24" i="10"/>
  <c r="AA24" i="10" s="1"/>
  <c r="AC24" i="10" s="1"/>
  <c r="T157" i="5"/>
  <c r="T159" i="5" s="1"/>
  <c r="U23" i="10"/>
  <c r="AA20" i="10"/>
  <c r="AC48" i="10"/>
  <c r="AC45" i="10"/>
  <c r="AA28" i="10" l="1"/>
  <c r="AA30" i="10" s="1"/>
  <c r="AC30" i="10" s="1"/>
  <c r="U30" i="10"/>
  <c r="S30" i="10"/>
  <c r="T372" i="5"/>
  <c r="T374" i="5" s="1"/>
  <c r="S38" i="10"/>
  <c r="S27" i="10"/>
  <c r="U25" i="10"/>
  <c r="AA23" i="10"/>
  <c r="AC23" i="10" s="1"/>
  <c r="AC20" i="10"/>
  <c r="AC28" i="10" l="1"/>
  <c r="AA25" i="10"/>
  <c r="U27" i="10"/>
  <c r="U38" i="10"/>
  <c r="M18" i="6"/>
  <c r="K49" i="6"/>
  <c r="M54" i="6" s="1"/>
  <c r="K15" i="6"/>
  <c r="M15" i="6" s="1"/>
  <c r="T17" i="5"/>
  <c r="T20" i="5" l="1"/>
  <c r="O16" i="5" s="1"/>
  <c r="AA27" i="10"/>
  <c r="AC27" i="10" s="1"/>
  <c r="AC25" i="10"/>
  <c r="AA38" i="10"/>
  <c r="AC38" i="10" s="1"/>
  <c r="T391" i="5"/>
  <c r="M49" i="6"/>
  <c r="T174" i="5"/>
  <c r="K16" i="6"/>
  <c r="M16" i="6" s="1"/>
  <c r="T80" i="5"/>
  <c r="E5" i="30" l="1"/>
  <c r="E7" i="30" s="1"/>
  <c r="U30" i="9"/>
  <c r="U32" i="9" s="1"/>
  <c r="Q16" i="5"/>
  <c r="V16" i="5" s="1"/>
  <c r="O58" i="5"/>
  <c r="Q58" i="5" s="1"/>
  <c r="V58" i="5" s="1"/>
  <c r="O41" i="5"/>
  <c r="Q41" i="5" s="1"/>
  <c r="V41" i="5" s="1"/>
  <c r="O21" i="5"/>
  <c r="Q21" i="5" s="1"/>
  <c r="O60" i="5"/>
  <c r="Q60" i="5" s="1"/>
  <c r="V60" i="5" s="1"/>
  <c r="O17" i="5"/>
  <c r="Q17" i="5" s="1"/>
  <c r="V17" i="5" s="1"/>
  <c r="O40" i="5"/>
  <c r="Q40" i="5" s="1"/>
  <c r="V40" i="5" s="1"/>
  <c r="O62" i="5"/>
  <c r="Q62" i="5" s="1"/>
  <c r="V62" i="5" s="1"/>
  <c r="O20" i="5"/>
  <c r="Q20" i="5" s="1"/>
  <c r="V20" i="5" s="1"/>
  <c r="O59" i="5"/>
  <c r="Q59" i="5" s="1"/>
  <c r="V59" i="5" s="1"/>
  <c r="O37" i="5"/>
  <c r="Q37" i="5" s="1"/>
  <c r="V37" i="5" s="1"/>
  <c r="O18" i="5"/>
  <c r="Q18" i="5" s="1"/>
  <c r="V18" i="5" s="1"/>
  <c r="O38" i="5"/>
  <c r="Q38" i="5" s="1"/>
  <c r="V38" i="5" s="1"/>
  <c r="O63" i="5"/>
  <c r="Q63" i="5" s="1"/>
  <c r="V63" i="5" s="1"/>
  <c r="O36" i="5"/>
  <c r="Q36" i="5" s="1"/>
  <c r="V36" i="5" s="1"/>
  <c r="E8" i="30" l="1"/>
  <c r="E6" i="30"/>
  <c r="E29" i="9"/>
  <c r="E27" i="9"/>
  <c r="E20" i="9"/>
  <c r="E18" i="9"/>
  <c r="E14" i="9"/>
  <c r="E13" i="9"/>
  <c r="M14" i="9"/>
  <c r="M17" i="9"/>
  <c r="M30" i="9"/>
  <c r="M25" i="9"/>
  <c r="M24" i="9"/>
  <c r="E21" i="9"/>
  <c r="E26" i="9"/>
  <c r="E25" i="9"/>
  <c r="M15" i="9"/>
  <c r="E16" i="9"/>
  <c r="E22" i="9"/>
  <c r="M28" i="9"/>
  <c r="M31" i="9"/>
  <c r="E23" i="9"/>
  <c r="M20" i="9"/>
  <c r="M27" i="9"/>
  <c r="M21" i="9"/>
  <c r="M12" i="9"/>
  <c r="M26" i="9"/>
  <c r="M11" i="9"/>
  <c r="E24" i="9"/>
  <c r="E10" i="9"/>
  <c r="E19" i="9"/>
  <c r="E31" i="9"/>
  <c r="M13" i="9"/>
  <c r="M18" i="9"/>
  <c r="M10" i="9"/>
  <c r="M16" i="9"/>
  <c r="E30" i="9"/>
  <c r="E28" i="9"/>
  <c r="E12" i="9"/>
  <c r="M29" i="9"/>
  <c r="M22" i="9"/>
  <c r="M23" i="9"/>
  <c r="E15" i="9"/>
  <c r="E11" i="9"/>
  <c r="Q49" i="5"/>
  <c r="Q71" i="5"/>
  <c r="S16" i="10" s="1"/>
  <c r="Q29" i="5"/>
  <c r="Z14" i="9" l="1"/>
  <c r="Q18" i="9"/>
  <c r="O18" i="9"/>
  <c r="Z15" i="9"/>
  <c r="G16" i="9"/>
  <c r="I16" i="9"/>
  <c r="I18" i="9"/>
  <c r="G18" i="9"/>
  <c r="O13" i="9"/>
  <c r="Q13" i="9"/>
  <c r="Q21" i="9"/>
  <c r="O21" i="9"/>
  <c r="Q24" i="9"/>
  <c r="O24" i="9"/>
  <c r="Q14" i="9"/>
  <c r="O14" i="9"/>
  <c r="G20" i="9"/>
  <c r="I20" i="9"/>
  <c r="Q23" i="9"/>
  <c r="O23" i="9"/>
  <c r="G10" i="9"/>
  <c r="I10" i="9"/>
  <c r="G23" i="9"/>
  <c r="I23" i="9"/>
  <c r="Z13" i="9"/>
  <c r="O17" i="9"/>
  <c r="Q17" i="9"/>
  <c r="O22" i="9"/>
  <c r="Q22" i="9"/>
  <c r="I30" i="9"/>
  <c r="G30" i="9"/>
  <c r="I24" i="9"/>
  <c r="G24" i="9"/>
  <c r="O31" i="9"/>
  <c r="Q31" i="9"/>
  <c r="Q15" i="9"/>
  <c r="O15" i="9"/>
  <c r="I11" i="9"/>
  <c r="G11" i="9"/>
  <c r="Q29" i="9"/>
  <c r="O29" i="9"/>
  <c r="Q16" i="9"/>
  <c r="O16" i="9"/>
  <c r="G31" i="9"/>
  <c r="I31" i="9"/>
  <c r="O11" i="9"/>
  <c r="Q11" i="9"/>
  <c r="O27" i="9"/>
  <c r="Q27" i="9"/>
  <c r="Q28" i="9"/>
  <c r="O28" i="9"/>
  <c r="I25" i="9"/>
  <c r="G25" i="9"/>
  <c r="Q25" i="9"/>
  <c r="O25" i="9"/>
  <c r="G13" i="9"/>
  <c r="I13" i="9"/>
  <c r="I27" i="9"/>
  <c r="G27" i="9"/>
  <c r="I28" i="9"/>
  <c r="G28" i="9"/>
  <c r="O12" i="9"/>
  <c r="Q12" i="9"/>
  <c r="G21" i="9"/>
  <c r="I21" i="9"/>
  <c r="G15" i="9"/>
  <c r="I15" i="9"/>
  <c r="G12" i="9"/>
  <c r="I12" i="9"/>
  <c r="Q10" i="9"/>
  <c r="O10" i="9"/>
  <c r="I19" i="9"/>
  <c r="G19" i="9"/>
  <c r="Z12" i="9"/>
  <c r="Q26" i="9"/>
  <c r="O26" i="9"/>
  <c r="Q20" i="9"/>
  <c r="O20" i="9"/>
  <c r="G22" i="9"/>
  <c r="I22" i="9"/>
  <c r="G26" i="9"/>
  <c r="I26" i="9"/>
  <c r="O30" i="9"/>
  <c r="Q30" i="9"/>
  <c r="G14" i="9"/>
  <c r="I14" i="9"/>
  <c r="G29" i="9"/>
  <c r="I29" i="9"/>
  <c r="S15" i="10"/>
  <c r="U16" i="10"/>
  <c r="AA16" i="10" s="1"/>
  <c r="AC16" i="10" s="1"/>
  <c r="T16" i="5"/>
  <c r="T18" i="5" s="1"/>
  <c r="Q512" i="5"/>
  <c r="S512" i="5" s="1"/>
  <c r="AB15" i="9" l="1"/>
  <c r="AA15" i="9"/>
  <c r="AB12" i="9"/>
  <c r="AA12" i="9"/>
  <c r="AB13" i="9"/>
  <c r="AA13" i="9"/>
  <c r="AB14" i="9"/>
  <c r="AA14" i="9"/>
  <c r="S18" i="10"/>
  <c r="S49" i="10" s="1"/>
  <c r="U15" i="10"/>
  <c r="T79" i="5" l="1"/>
  <c r="T390" i="5"/>
  <c r="T173" i="5"/>
  <c r="AA15" i="10"/>
  <c r="U18" i="10"/>
  <c r="U49" i="10" s="1"/>
  <c r="AC15" i="10" l="1"/>
  <c r="AA18" i="10"/>
  <c r="AE18" i="10" s="1"/>
  <c r="AC18" i="10" l="1"/>
  <c r="AB16" i="9" s="1"/>
  <c r="AA49" i="10"/>
  <c r="AC49" i="10" s="1"/>
</calcChain>
</file>

<file path=xl/sharedStrings.xml><?xml version="1.0" encoding="utf-8"?>
<sst xmlns="http://schemas.openxmlformats.org/spreadsheetml/2006/main" count="1072" uniqueCount="549">
  <si>
    <t>Rocky Mountain Power - State of Utah</t>
  </si>
  <si>
    <t>Forecasted</t>
  </si>
  <si>
    <t>Revenue</t>
  </si>
  <si>
    <t>Units</t>
  </si>
  <si>
    <t>Price</t>
  </si>
  <si>
    <t>Dollars</t>
  </si>
  <si>
    <t>Schedule No. 1- Residential Service</t>
  </si>
  <si>
    <t xml:space="preserve">  Customer Charge</t>
  </si>
  <si>
    <t xml:space="preserve">  Customer Charge - 1 Phase</t>
  </si>
  <si>
    <t xml:space="preserve">  Customer Charge - 3 Phase</t>
  </si>
  <si>
    <t xml:space="preserve">  First 400 kWh (May-Sept)</t>
  </si>
  <si>
    <t>¢</t>
  </si>
  <si>
    <t>Res 1, 2, 3</t>
  </si>
  <si>
    <t xml:space="preserve">  Next 600 kWh (May-Sept)</t>
  </si>
  <si>
    <t>In Rate</t>
  </si>
  <si>
    <t xml:space="preserve">  All add'l kWh (May-Sept)</t>
  </si>
  <si>
    <t>Target</t>
  </si>
  <si>
    <t xml:space="preserve">  All kWh (Oct-Apr)</t>
  </si>
  <si>
    <t>D</t>
  </si>
  <si>
    <t xml:space="preserve">  Minimum 1 Phase</t>
  </si>
  <si>
    <t xml:space="preserve">  Minimum 3 Phase</t>
  </si>
  <si>
    <t>Target Change</t>
  </si>
  <si>
    <t xml:space="preserve">  Minimum Seasonal</t>
  </si>
  <si>
    <t xml:space="preserve">  kWh in Minimum</t>
  </si>
  <si>
    <t xml:space="preserve">  Unbilled</t>
  </si>
  <si>
    <t xml:space="preserve">  Total</t>
  </si>
  <si>
    <t>Adj</t>
  </si>
  <si>
    <t xml:space="preserve">  On-Peak kWh (May - Sept)</t>
  </si>
  <si>
    <t xml:space="preserve">  Off-Peak kWh (May - Sept)</t>
  </si>
  <si>
    <t xml:space="preserve">  All kWh</t>
  </si>
  <si>
    <t xml:space="preserve">  kW over 15 (May - Sept)</t>
  </si>
  <si>
    <t xml:space="preserve">  kW over 15 (Oct - Apr)</t>
  </si>
  <si>
    <t xml:space="preserve">  Voltage Discount</t>
  </si>
  <si>
    <t xml:space="preserve">  First 1,500 kWh (May - Sept)</t>
  </si>
  <si>
    <t xml:space="preserve">  All Add'l kWh (May - Sept)</t>
  </si>
  <si>
    <t xml:space="preserve">  First 1,500 kWh (Oct - Apr)</t>
  </si>
  <si>
    <t xml:space="preserve">  All Add'l kWh (Oct - Apr)</t>
  </si>
  <si>
    <t xml:space="preserve">  Seasonal Service</t>
  </si>
  <si>
    <t xml:space="preserve">  All kW (May - Sept)</t>
  </si>
  <si>
    <t xml:space="preserve">  All kW (Oct - Apr)</t>
  </si>
  <si>
    <t xml:space="preserve">      kWh (May-Sept)</t>
  </si>
  <si>
    <t xml:space="preserve">      kWh (Oct-Apr)</t>
  </si>
  <si>
    <t>Schedule No. 6 - Composite</t>
  </si>
  <si>
    <t xml:space="preserve">      kWh (May - Sept)</t>
  </si>
  <si>
    <t xml:space="preserve">      kWh (Oct - Apr)</t>
  </si>
  <si>
    <t>Table A Actual</t>
  </si>
  <si>
    <t>Table A RR</t>
  </si>
  <si>
    <t xml:space="preserve">  All On-peak kW (May - Sept)</t>
  </si>
  <si>
    <t xml:space="preserve">  All On-peak kW (Oct - Apr)</t>
  </si>
  <si>
    <t>Schedule No. 6A - Energy Time-of-Day Option - Composite</t>
  </si>
  <si>
    <t xml:space="preserve">  Facilities kW (May - Sept)</t>
  </si>
  <si>
    <t xml:space="preserve">  Facilities kW (Oct - Apr)</t>
  </si>
  <si>
    <t xml:space="preserve">  On-Peak kWh (Oct - Apr)</t>
  </si>
  <si>
    <t xml:space="preserve">  Off-Peak kWh (Oct - Apr)</t>
  </si>
  <si>
    <t xml:space="preserve">  MERCURY VAPOR LAMPS</t>
  </si>
  <si>
    <t xml:space="preserve">   4,000 Lumen Energy Only</t>
  </si>
  <si>
    <t xml:space="preserve">   7,000 Lumen</t>
  </si>
  <si>
    <t xml:space="preserve">   7,000 Lumen Energy Only</t>
  </si>
  <si>
    <t xml:space="preserve">   20,000 Lumen</t>
  </si>
  <si>
    <t xml:space="preserve">  SODIUM VAPOR LAMPS</t>
  </si>
  <si>
    <t xml:space="preserve">   5,600 Lumen New Pole</t>
  </si>
  <si>
    <t xml:space="preserve">   5,600 Lumen No New Pole</t>
  </si>
  <si>
    <t xml:space="preserve">   9,500 Lumen New Pole</t>
  </si>
  <si>
    <t xml:space="preserve">   9,500 Lumen No New Pole</t>
  </si>
  <si>
    <t xml:space="preserve">   16,000 Lumen New Pole</t>
  </si>
  <si>
    <t xml:space="preserve">   16,000 Lumen No New Pole</t>
  </si>
  <si>
    <t xml:space="preserve">   22,000 Lumen</t>
  </si>
  <si>
    <t xml:space="preserve">   27,500 Lumen New Pole</t>
  </si>
  <si>
    <t xml:space="preserve">   27,500 Lumen No New Pole</t>
  </si>
  <si>
    <t xml:space="preserve">   50,000 Lumen New Pole</t>
  </si>
  <si>
    <t xml:space="preserve">   50,000 Lumen No New Pole</t>
  </si>
  <si>
    <t xml:space="preserve">  SODIUM VAPOR FLOOD LAMPS </t>
  </si>
  <si>
    <t xml:space="preserve">  METAL HALIDE LAMPS</t>
  </si>
  <si>
    <t xml:space="preserve">   12,000 Lumen New Pole</t>
  </si>
  <si>
    <t xml:space="preserve">   12,000 Lumen No New Pole</t>
  </si>
  <si>
    <t xml:space="preserve">   19,500 Lumen New Pole</t>
  </si>
  <si>
    <t xml:space="preserve">   19,500 Lumen No New Pole</t>
  </si>
  <si>
    <t xml:space="preserve">   32,000 Lumen New Pole</t>
  </si>
  <si>
    <t xml:space="preserve">   32,000 Lumen No New Pole</t>
  </si>
  <si>
    <t xml:space="preserve">  107,000 Lumen New Pole</t>
  </si>
  <si>
    <t xml:space="preserve">  107,000 Lumen No New Pole</t>
  </si>
  <si>
    <t>Subtotal</t>
  </si>
  <si>
    <t xml:space="preserve">  kWh Included</t>
  </si>
  <si>
    <t>Unbilled</t>
  </si>
  <si>
    <t>Customers</t>
  </si>
  <si>
    <t>Total (kWh)</t>
  </si>
  <si>
    <t>Schedule No. 8 - Composite</t>
  </si>
  <si>
    <t xml:space="preserve">  Facilities kW</t>
  </si>
  <si>
    <t xml:space="preserve">  On-Peak kW (May - Sept)</t>
  </si>
  <si>
    <t xml:space="preserve">  On-Peak kW (Oct - Apr)</t>
  </si>
  <si>
    <t xml:space="preserve">  Off-Peak kWh</t>
  </si>
  <si>
    <t>Schedule No. 9 - Composite</t>
  </si>
  <si>
    <t xml:space="preserve">  On-Peak kWh (May-Sept)</t>
  </si>
  <si>
    <t xml:space="preserve">  On-Peak kWh (Oct-Apr)</t>
  </si>
  <si>
    <t xml:space="preserve">  Facilities Charge per kW</t>
  </si>
  <si>
    <t xml:space="preserve">  On-Peak kWh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</si>
  <si>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</si>
  <si>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</si>
  <si>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</si>
  <si>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</si>
  <si>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</si>
  <si>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</si>
  <si>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 xml:space="preserve">  All add'l kWh</t>
  </si>
  <si>
    <t>Total On Season</t>
  </si>
  <si>
    <t xml:space="preserve">  Post Season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</si>
  <si>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</si>
  <si>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</si>
  <si>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</si>
  <si>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</si>
  <si>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</si>
  <si>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</si>
  <si>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</si>
  <si>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>Schedule No. 11 - Street Lighting - Company-Owned System</t>
  </si>
  <si>
    <t xml:space="preserve">  Sodium Vapor Lamps</t>
  </si>
  <si>
    <t xml:space="preserve">   5,600 Lumen - Functional</t>
  </si>
  <si>
    <t xml:space="preserve">   9,500 Lumen - Functional</t>
  </si>
  <si>
    <t xml:space="preserve">   9,500 Lumen - Functional @ 90%</t>
  </si>
  <si>
    <t xml:space="preserve">   9,500 Lumen - S1</t>
  </si>
  <si>
    <t xml:space="preserve">   9,500 Lumen - S2</t>
  </si>
  <si>
    <t xml:space="preserve">   16,000 Lumen - Functional</t>
  </si>
  <si>
    <t xml:space="preserve">   16,000 Lumen - Functional @ 90%</t>
  </si>
  <si>
    <t xml:space="preserve">   16,000 Lumen - S1</t>
  </si>
  <si>
    <t xml:space="preserve">   16,000 Lumen - S2</t>
  </si>
  <si>
    <t xml:space="preserve">   27,500 Lumen - Functional</t>
  </si>
  <si>
    <t xml:space="preserve">   27,500 Lumen - Functional @ 90%</t>
  </si>
  <si>
    <t xml:space="preserve">   27,500 Lumen - S1</t>
  </si>
  <si>
    <t xml:space="preserve">   27,500 Lumen - S2</t>
  </si>
  <si>
    <t xml:space="preserve">   50,000 Lumen - Functional</t>
  </si>
  <si>
    <t xml:space="preserve">   125,000 Lumen</t>
  </si>
  <si>
    <t xml:space="preserve">  Metal Halide Lamps</t>
  </si>
  <si>
    <t xml:space="preserve">   9,000 Lumen - S1</t>
  </si>
  <si>
    <t xml:space="preserve">   9,000 Lumen - S2</t>
  </si>
  <si>
    <t xml:space="preserve">   12,000 Lumen - Functional</t>
  </si>
  <si>
    <t xml:space="preserve">   12,000 Lumen - S1</t>
  </si>
  <si>
    <t xml:space="preserve">   12,000 Lumen - S2</t>
  </si>
  <si>
    <t xml:space="preserve">   19,500 Lumen - Functional</t>
  </si>
  <si>
    <t xml:space="preserve">   19,500 Lumen - S1</t>
  </si>
  <si>
    <t xml:space="preserve">   19,500 Lumen - S2</t>
  </si>
  <si>
    <t xml:space="preserve">   32,000 Lumen - Functional</t>
  </si>
  <si>
    <t xml:space="preserve">   32,000 Lumen - S1</t>
  </si>
  <si>
    <t xml:space="preserve">   32,000 Lumen - S2</t>
  </si>
  <si>
    <t xml:space="preserve">   4,000 Lumen</t>
  </si>
  <si>
    <t xml:space="preserve">   10,000 Lumen</t>
  </si>
  <si>
    <t xml:space="preserve">   10,000 Lumen @ 90%</t>
  </si>
  <si>
    <t xml:space="preserve">   500 Lumen</t>
  </si>
  <si>
    <t xml:space="preserve">   600 Lumen</t>
  </si>
  <si>
    <t xml:space="preserve">   2,500 Lumen</t>
  </si>
  <si>
    <t xml:space="preserve">   6,000 Lumen</t>
  </si>
  <si>
    <t xml:space="preserve">   21,000 Lumen</t>
  </si>
  <si>
    <t xml:space="preserve">  Special Service (No New Service)</t>
  </si>
  <si>
    <t xml:space="preserve">   50,000 Lumen - Flood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</si>
  <si>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</si>
  <si>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</si>
  <si>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</si>
  <si>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</si>
  <si>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</si>
  <si>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</si>
  <si>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</si>
  <si>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</si>
  <si>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</si>
  <si>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</si>
  <si>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</si>
  <si>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</si>
  <si>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</si>
  <si>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</si>
  <si>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</si>
  <si>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Subtotal kWh</t>
  </si>
  <si>
    <t>2a - Partial Maintenance (No New Service)</t>
  </si>
  <si>
    <t xml:space="preserve">  Incandescent Lamps</t>
  </si>
  <si>
    <t xml:space="preserve">   2,500 Lumen or Less</t>
  </si>
  <si>
    <t xml:space="preserve">  Mercury Vapor Lamps</t>
  </si>
  <si>
    <t xml:space="preserve">   54,000 Lumen</t>
  </si>
  <si>
    <t xml:space="preserve">  High Pressure Sodium Vapor Lamps</t>
  </si>
  <si>
    <t xml:space="preserve">   9,500 Lumen - Decorative</t>
  </si>
  <si>
    <t xml:space="preserve">   16,000 Lumen - Decorative</t>
  </si>
  <si>
    <t xml:space="preserve">   22,000 Lumen </t>
  </si>
  <si>
    <t xml:space="preserve">   27,500 Lumen - Decorative</t>
  </si>
  <si>
    <t xml:space="preserve">   50,000 Lumen - Decorative</t>
  </si>
  <si>
    <t xml:space="preserve">   9,000 Lumen - Decorative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</si>
  <si>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</si>
  <si>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</si>
  <si>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</si>
  <si>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</si>
  <si>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</si>
  <si>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</si>
  <si>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</si>
  <si>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 107,000 Lumen </t>
  </si>
  <si>
    <t>kWh Street Lighting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</si>
  <si>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</si>
  <si>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</si>
  <si>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</si>
  <si>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</si>
  <si>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</si>
  <si>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Unbilled</t>
  </si>
  <si>
    <t xml:space="preserve"> Customer Charge</t>
  </si>
  <si>
    <t>Schedule No. 21 - Electric Furnace Operations - Limited Service - Industrial</t>
  </si>
  <si>
    <t xml:space="preserve"> Primary Voltage</t>
  </si>
  <si>
    <t xml:space="preserve">  Charge per kW (Facilities)</t>
  </si>
  <si>
    <t xml:space="preserve">  First 100,000 kWh</t>
  </si>
  <si>
    <t xml:space="preserve">  Subtotal</t>
  </si>
  <si>
    <t xml:space="preserve"> 44KV or Higher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</si>
  <si>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</si>
  <si>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</si>
  <si>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</si>
  <si>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</si>
  <si>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</si>
  <si>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</si>
  <si>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</si>
  <si>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</si>
  <si>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</si>
  <si>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>Supplemental billed at Schedule 6/8/9 rate</t>
  </si>
  <si>
    <t xml:space="preserve">  Schedule 8</t>
  </si>
  <si>
    <t xml:space="preserve">  Schedule 9</t>
  </si>
  <si>
    <t xml:space="preserve">  Total (Aggregated)</t>
  </si>
  <si>
    <t xml:space="preserve">  kW High Load Hours</t>
  </si>
  <si>
    <t xml:space="preserve">  kWh High Load Hours</t>
  </si>
  <si>
    <t xml:space="preserve">  kWh Low Load Hours</t>
  </si>
  <si>
    <t xml:space="preserve">  kW Back-Up</t>
  </si>
  <si>
    <t xml:space="preserve">  Excess Power, per kW month</t>
  </si>
  <si>
    <t xml:space="preserve">  kW Supplemental</t>
  </si>
  <si>
    <t xml:space="preserve">      On-Peak kW (May - Sept)</t>
  </si>
  <si>
    <t xml:space="preserve">      On-Peak kW (Oct - Apr)</t>
  </si>
  <si>
    <t xml:space="preserve">  kWh Supplemental</t>
  </si>
  <si>
    <t xml:space="preserve">      On-Peak kWh (May-Sept)</t>
  </si>
  <si>
    <t xml:space="preserve">      On-Peak kWh (Oct-Apr)</t>
  </si>
  <si>
    <t xml:space="preserve">      Off-Peak kWh</t>
  </si>
  <si>
    <t xml:space="preserve">  Total </t>
  </si>
  <si>
    <t>Energy Only Res</t>
  </si>
  <si>
    <t>Energy Only Non-Res</t>
  </si>
  <si>
    <t xml:space="preserve">  KWH Included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</si>
  <si>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</si>
  <si>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</si>
  <si>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</si>
  <si>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</si>
  <si>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</si>
  <si>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</si>
  <si>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Other Sales Public Authorities</t>
  </si>
  <si>
    <t xml:space="preserve">  Total AGA</t>
  </si>
  <si>
    <t>TOTAL - ALL CLASSES</t>
  </si>
  <si>
    <t>Rocky Mountain Power</t>
  </si>
  <si>
    <t>on Revenues from Electric Sales to Ultimate Consumers in Utah</t>
  </si>
  <si>
    <t>Line</t>
  </si>
  <si>
    <t>Sch</t>
  </si>
  <si>
    <t>Change</t>
  </si>
  <si>
    <t>No.</t>
  </si>
  <si>
    <t>Description</t>
  </si>
  <si>
    <t>Forecast</t>
  </si>
  <si>
    <t>($000)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</si>
  <si>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</si>
  <si>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</si>
  <si>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</si>
  <si>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</si>
  <si>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</si>
  <si>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</si>
  <si>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</si>
  <si>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</si>
  <si>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</si>
  <si>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</si>
  <si>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</si>
  <si>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</si>
  <si>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</si>
  <si>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</si>
  <si>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</si>
  <si>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</si>
  <si>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</si>
  <si>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</si>
  <si>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</si>
  <si>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</si>
  <si>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</si>
  <si>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</si>
  <si>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Electric Furnace</t>
  </si>
  <si>
    <t>General Service-Distribution-Small</t>
  </si>
  <si>
    <t>Back-up, Maintenance, &amp; Supplementary</t>
  </si>
  <si>
    <t>Contract 1</t>
  </si>
  <si>
    <t>Contract 2</t>
  </si>
  <si>
    <t>Contract 3</t>
  </si>
  <si>
    <t>Total Commercial &amp; Industrial &amp; OSPA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</si>
  <si>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</si>
  <si>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</si>
  <si>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</si>
  <si>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</si>
  <si>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</si>
  <si>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</si>
  <si>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</si>
  <si>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</si>
  <si>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Total Public Street Lighting</t>
  </si>
  <si>
    <t>Total Sales to Ultimate Customers</t>
  </si>
  <si>
    <t>%</t>
  </si>
  <si>
    <t>Rounding</t>
  </si>
  <si>
    <t>Sch 7, 11, 12,</t>
  </si>
  <si>
    <t>SCH 8/31</t>
  </si>
  <si>
    <t>Proposed EBA</t>
  </si>
  <si>
    <t>Checking</t>
  </si>
  <si>
    <t>Present EBA</t>
  </si>
  <si>
    <t>Estimated Effect of Proposed Changes</t>
  </si>
  <si>
    <t>Revenues</t>
  </si>
  <si>
    <t xml:space="preserve">  Total Customer</t>
  </si>
  <si>
    <t xml:space="preserve">      First 400 kWh (Oct-Apr)</t>
  </si>
  <si>
    <t xml:space="preserve">      All add'l kWh (Oct-Apr)</t>
  </si>
  <si>
    <t xml:space="preserve">      kWh in Minimum - Summer</t>
  </si>
  <si>
    <t xml:space="preserve">      kWh in Minimum - Winter</t>
  </si>
  <si>
    <t>Schedule No. 6B - Demand Time-of-Day Option - Composite</t>
  </si>
  <si>
    <t>Schedule No. 9A - Energy TOD - Composite</t>
  </si>
  <si>
    <t xml:space="preserve">  Sodium Vapor Lamps (HPS)</t>
  </si>
  <si>
    <t xml:space="preserve">  Metal Halide Lamps (MH)</t>
  </si>
  <si>
    <t xml:space="preserve">  Mercury Vapor Lamps (No New Service) (MV)</t>
  </si>
  <si>
    <t xml:space="preserve">  Incandescent Lamps (No New Service) (INC)</t>
  </si>
  <si>
    <t xml:space="preserve">  Fluorescent Lamps (No New Service) (FLOUR)</t>
  </si>
  <si>
    <t>Customer</t>
  </si>
  <si>
    <t xml:space="preserve">  Interruptible kWh</t>
  </si>
  <si>
    <t xml:space="preserve">  Facilities Charge per kW - Back-Up</t>
  </si>
  <si>
    <t xml:space="preserve">Present </t>
  </si>
  <si>
    <t>Sch 6, 6B</t>
  </si>
  <si>
    <t>Sch9/31/Contract3</t>
  </si>
  <si>
    <t>Rate Spread</t>
  </si>
  <si>
    <t>State of Utah</t>
  </si>
  <si>
    <t>2010 Protocol (Non Wgt)</t>
  </si>
  <si>
    <t>Utah</t>
  </si>
  <si>
    <t>General</t>
  </si>
  <si>
    <t>Street &amp; Area</t>
  </si>
  <si>
    <t>Traffic</t>
  </si>
  <si>
    <t>Outdoor</t>
  </si>
  <si>
    <t>FERC</t>
  </si>
  <si>
    <t>COS</t>
  </si>
  <si>
    <t>Jurisdiction</t>
  </si>
  <si>
    <t>Large Dist.</t>
  </si>
  <si>
    <t>+1 MW</t>
  </si>
  <si>
    <t>Lighting</t>
  </si>
  <si>
    <t>Trans</t>
  </si>
  <si>
    <t>Signals</t>
  </si>
  <si>
    <t>Small Dist.</t>
  </si>
  <si>
    <t>Industrial</t>
  </si>
  <si>
    <t>ACCT</t>
  </si>
  <si>
    <t xml:space="preserve">DESCRIPTION </t>
  </si>
  <si>
    <t>Factor</t>
  </si>
  <si>
    <t>Normalized</t>
  </si>
  <si>
    <t>Sch 1</t>
  </si>
  <si>
    <t>Sch 6</t>
  </si>
  <si>
    <t>Sch 8</t>
  </si>
  <si>
    <t>Sch. 7,11,12</t>
  </si>
  <si>
    <t>Sch 9</t>
  </si>
  <si>
    <t>Sch 10</t>
  </si>
  <si>
    <t>Sch 15</t>
  </si>
  <si>
    <t>Sch 23</t>
  </si>
  <si>
    <t>Cust 1</t>
  </si>
  <si>
    <t>Cust 2</t>
  </si>
  <si>
    <t>447</t>
  </si>
  <si>
    <t>Sales for Resale</t>
  </si>
  <si>
    <t>Demand</t>
  </si>
  <si>
    <t>F10</t>
  </si>
  <si>
    <t>456</t>
  </si>
  <si>
    <t>Other Electric Revenue</t>
  </si>
  <si>
    <t>Energy</t>
  </si>
  <si>
    <t>F30</t>
  </si>
  <si>
    <t>501</t>
  </si>
  <si>
    <t>Fuel Related</t>
  </si>
  <si>
    <t>Cholla</t>
  </si>
  <si>
    <t>503</t>
  </si>
  <si>
    <t>Steam From Other Sources</t>
  </si>
  <si>
    <t>547</t>
  </si>
  <si>
    <t>Fuel</t>
  </si>
  <si>
    <t>Simple Cycle Combustion Turbine</t>
  </si>
  <si>
    <t>555</t>
  </si>
  <si>
    <t>Purchased Power</t>
  </si>
  <si>
    <t>565</t>
  </si>
  <si>
    <t>Transm of Electricity by Others</t>
  </si>
  <si>
    <t xml:space="preserve">     Class % of NPC</t>
  </si>
  <si>
    <t xml:space="preserve">     Demand Related</t>
  </si>
  <si>
    <t xml:space="preserve">     Energy Related</t>
  </si>
  <si>
    <t>Coin Peak, Sys</t>
  </si>
  <si>
    <t>MWH @ Input</t>
  </si>
  <si>
    <t>Monthly Billing Comparison</t>
  </si>
  <si>
    <t>Schedule 1 - State of Utah</t>
  </si>
  <si>
    <t>Residential Service</t>
  </si>
  <si>
    <t>Summer</t>
  </si>
  <si>
    <t>Winter</t>
  </si>
  <si>
    <r>
      <t>Monthly Billing</t>
    </r>
    <r>
      <rPr>
        <vertAlign val="superscript"/>
        <sz val="10"/>
        <rFont val="Times New Roman"/>
        <family val="1"/>
      </rPr>
      <t>1</t>
    </r>
  </si>
  <si>
    <t>kWh</t>
  </si>
  <si>
    <t>Present</t>
  </si>
  <si>
    <t>Proposed</t>
  </si>
  <si>
    <t>$</t>
  </si>
  <si>
    <t>Basic</t>
  </si>
  <si>
    <t>kWh1</t>
  </si>
  <si>
    <t>kWh2</t>
  </si>
  <si>
    <t>kWh3</t>
  </si>
  <si>
    <t>Minimum</t>
  </si>
  <si>
    <t>w</t>
  </si>
  <si>
    <t>HELP</t>
  </si>
  <si>
    <t>a</t>
  </si>
  <si>
    <t>s</t>
  </si>
  <si>
    <t>Sch 94 EBA</t>
  </si>
  <si>
    <t>w: Winter average usage; a:  Annual average usage; s: Summer average usage.</t>
  </si>
  <si>
    <t>Monthly Average</t>
  </si>
  <si>
    <t>Annual</t>
  </si>
  <si>
    <t>Table  A</t>
  </si>
  <si>
    <t>No. of</t>
  </si>
  <si>
    <t>MWh</t>
  </si>
  <si>
    <t>Present Revenue ($000)</t>
  </si>
  <si>
    <t>Proposed Revenue ($000)</t>
  </si>
  <si>
    <t>Base</t>
  </si>
  <si>
    <t>Net</t>
  </si>
  <si>
    <t>EBA</t>
  </si>
  <si>
    <t>(%)</t>
  </si>
  <si>
    <t>EBA History</t>
  </si>
  <si>
    <t>Effective Date</t>
  </si>
  <si>
    <t>Docket No</t>
  </si>
  <si>
    <t>Recover Years</t>
  </si>
  <si>
    <t>12-035-67</t>
  </si>
  <si>
    <t>October through December 2011</t>
  </si>
  <si>
    <t>prior to October 2011</t>
  </si>
  <si>
    <t>10-035-124</t>
  </si>
  <si>
    <t>Total Deferral ($m)</t>
  </si>
  <si>
    <t>Amount/Year ($m)</t>
  </si>
  <si>
    <t>13-035-32, 13-035-T14</t>
  </si>
  <si>
    <t>January 2012 through December 2012</t>
  </si>
  <si>
    <t>Deferral Period</t>
  </si>
  <si>
    <t>Ending Date</t>
  </si>
  <si>
    <t>GRC Actual</t>
  </si>
  <si>
    <t>January 2013 through December 2013</t>
  </si>
  <si>
    <t>Blocking Based on Adjusted Actuals and Forecasted Loads</t>
  </si>
  <si>
    <t>Base Period 12 Months Ending June 2013</t>
  </si>
  <si>
    <t>Forecast Test Period 12 Months Ending June 2015</t>
  </si>
  <si>
    <t>Rate Design</t>
  </si>
  <si>
    <t>Step 2 - 9/1/2015</t>
  </si>
  <si>
    <t>Schedule No. 3- Residential Service - Low Income Lifeline Program</t>
  </si>
  <si>
    <t>Schedule No. 2 - Residential Service - Optional Time-of-Day</t>
  </si>
  <si>
    <t xml:space="preserve">  Net Metering Facilities Charge</t>
  </si>
  <si>
    <t>Schedule No. 7 - Security Area Lighting - Composite</t>
  </si>
  <si>
    <t xml:space="preserve">   Customer Charge</t>
  </si>
  <si>
    <t>Schedule 15.1 - Metered Outdoor Nighttime Lighting - Composite</t>
  </si>
  <si>
    <t>Schedule 15.2 - Traffic Signal Systems - Composite</t>
  </si>
  <si>
    <t>Schedule No. 23 - Composite</t>
  </si>
  <si>
    <t>Schedule No.31 - Composite</t>
  </si>
  <si>
    <t xml:space="preserve">              May - Sept</t>
  </si>
  <si>
    <t xml:space="preserve">              Oct - Apr</t>
  </si>
  <si>
    <t>Lighting Contract - Post Top Lighting - Composite</t>
  </si>
  <si>
    <t>Exhibit A</t>
  </si>
  <si>
    <t>Step 1 EBA Base Composite Allocator By Rate Schedule</t>
  </si>
  <si>
    <t>Page 4 of 4</t>
  </si>
  <si>
    <t>12 Months Ended June 2015</t>
  </si>
  <si>
    <t>TOTAL NET POWER COSTS</t>
  </si>
  <si>
    <t>Step 1</t>
  </si>
  <si>
    <t>GRC NPC Allocator</t>
  </si>
  <si>
    <t>EBA Deferral</t>
  </si>
  <si>
    <t>Target EBA Rev</t>
  </si>
  <si>
    <t>Note:</t>
  </si>
  <si>
    <t>January 2014 through December 2014</t>
  </si>
  <si>
    <t xml:space="preserve">  Fixed Customer Charge</t>
  </si>
  <si>
    <r>
      <t>2014</t>
    </r>
    <r>
      <rPr>
        <b/>
        <vertAlign val="superscript"/>
        <sz val="12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</si>
  <si>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Net Power Cost allocator from 2014 GRC, Docket No. 13-035-184.</t>
    </r>
  </si>
  <si>
    <t>Avg %</t>
  </si>
  <si>
    <t>January 2015 through December 2015</t>
  </si>
  <si>
    <t>Res AVG</t>
  </si>
  <si>
    <t>EBA-1</t>
  </si>
  <si>
    <t>EBA-2</t>
  </si>
  <si>
    <t>EBA-3</t>
  </si>
  <si>
    <t>EBA-4</t>
  </si>
  <si>
    <t>EBA-5</t>
  </si>
  <si>
    <t>EBA-6</t>
  </si>
  <si>
    <t>EBA-7</t>
  </si>
  <si>
    <t>January 2016 through December 2016</t>
  </si>
  <si>
    <t>16-035-01</t>
  </si>
  <si>
    <t>15-035-03</t>
  </si>
  <si>
    <t>14-035-31</t>
  </si>
  <si>
    <t>17-035-01</t>
  </si>
  <si>
    <t>EBA-8</t>
  </si>
  <si>
    <t>18-035-01</t>
  </si>
  <si>
    <t>January 2017 through December 2017</t>
  </si>
  <si>
    <t>Invoicing Schedule Struc Cd</t>
  </si>
  <si>
    <t>CUSTOMER</t>
  </si>
  <si>
    <t>SWH</t>
  </si>
  <si>
    <t>SWH-REV</t>
  </si>
  <si>
    <t>AVG SWH RATE</t>
  </si>
  <si>
    <t>08SSLR0001</t>
  </si>
  <si>
    <t>08SSLR0003</t>
  </si>
  <si>
    <t>08SSLR0006</t>
  </si>
  <si>
    <t>08SSLR0023</t>
  </si>
  <si>
    <t>08SSLR006A</t>
  </si>
  <si>
    <t>08SSLRRG23</t>
  </si>
  <si>
    <t>Sch73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</si>
  <si>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Including 2018 EBA deferral and 2017 EBA balance.</t>
    </r>
  </si>
  <si>
    <r>
      <t>2019</t>
    </r>
    <r>
      <rPr>
        <b/>
        <vertAlign val="superscript"/>
        <sz val="12"/>
        <rFont val="Times New Roman"/>
        <family val="1"/>
      </rPr>
      <t>2</t>
    </r>
  </si>
  <si>
    <t>EBA Price Comparison</t>
  </si>
  <si>
    <t>EBA Price</t>
  </si>
  <si>
    <t>Schedule</t>
  </si>
  <si>
    <t>15M</t>
  </si>
  <si>
    <t>15T</t>
  </si>
  <si>
    <t>2E</t>
  </si>
  <si>
    <t>DSM&amp;STEP</t>
  </si>
  <si>
    <t>Sch 197 TAA</t>
  </si>
  <si>
    <t>Sch 196 STEP</t>
  </si>
  <si>
    <t>Sch 98 REC</t>
  </si>
  <si>
    <t>Net (EBA+REC)</t>
  </si>
  <si>
    <t>Table A Price Change</t>
  </si>
  <si>
    <r>
      <t>1</t>
    </r>
    <r>
      <rPr>
        <sz val="10"/>
        <rFont val="Times New Roman"/>
        <family val="1"/>
      </rPr>
      <t xml:space="preserve">  Including HELP, DSM, EBA, REC, STEP and TAA.</t>
    </r>
  </si>
  <si>
    <t>Sch 193 DSM</t>
  </si>
  <si>
    <t>*</t>
  </si>
  <si>
    <t>*The rate for Schedules 31 and 32 shall be the same</t>
  </si>
  <si>
    <t xml:space="preserve"> as the applicable general service schedule.</t>
  </si>
  <si>
    <t>EBA-9</t>
  </si>
  <si>
    <t>19-035-01</t>
  </si>
  <si>
    <t>January 2018 through December 2018</t>
  </si>
  <si>
    <t>EBA-10</t>
  </si>
  <si>
    <t>20-035-01</t>
  </si>
  <si>
    <t>Exhibit RMP___(DGW-1)</t>
  </si>
  <si>
    <t>Calendar Year 2019 EBA Deferral</t>
  </si>
  <si>
    <t>Reference</t>
  </si>
  <si>
    <t>Actual EBA ($/MWh)</t>
  </si>
  <si>
    <t>Base EBA ($/MWh)</t>
  </si>
  <si>
    <t>$/MWh Differential</t>
  </si>
  <si>
    <t>Utah Sales (MWh)</t>
  </si>
  <si>
    <t>EBA Deferrable*</t>
  </si>
  <si>
    <t>Incremental Non-Fuel FAS 106 Savings*</t>
  </si>
  <si>
    <t>Special Contract Customer Adjustment*</t>
  </si>
  <si>
    <t>Utah Situs Resource Adjustment*</t>
  </si>
  <si>
    <t>Total Deferrable</t>
  </si>
  <si>
    <t>Interest Accrued through December 31, 2019</t>
  </si>
  <si>
    <t>Requested EBA Recovery</t>
  </si>
  <si>
    <t>* Calculated monthly</t>
  </si>
  <si>
    <t>Line 5</t>
  </si>
  <si>
    <t>Line 10</t>
  </si>
  <si>
    <t>Line 4</t>
  </si>
  <si>
    <t>Line 12</t>
  </si>
  <si>
    <t>Line 13</t>
  </si>
  <si>
    <t>Line 16</t>
  </si>
  <si>
    <t>Line 17</t>
  </si>
  <si>
    <t>Line 18</t>
  </si>
  <si>
    <t>Line 22</t>
  </si>
  <si>
    <t>Line 24</t>
  </si>
  <si>
    <t>Line 26</t>
  </si>
  <si>
    <t>January 2019 through December 2019</t>
  </si>
  <si>
    <t>Interest Jan 1, 2020 through Mar 31, 2020</t>
  </si>
  <si>
    <t>Line 25</t>
  </si>
  <si>
    <t>Interest Apr 1, 2020 through Feb 28, 2021</t>
  </si>
  <si>
    <t>Utah Allocated Actual NPC</t>
  </si>
  <si>
    <t>Utah Allocated Base NPC</t>
  </si>
  <si>
    <t>NPC Variance</t>
  </si>
  <si>
    <t>Utah Allocated Actual Wheeling Revenue</t>
  </si>
  <si>
    <t>Utah Allocated Base Wheeling Revenue</t>
  </si>
  <si>
    <t>Wheeling Revenue Variance</t>
  </si>
  <si>
    <t>Actual Utah Sales (MWh)</t>
  </si>
  <si>
    <t>Base Utah Sales</t>
  </si>
  <si>
    <t>Sales Variance</t>
  </si>
  <si>
    <t>Base NPC Collection Variance</t>
  </si>
  <si>
    <t>Combined Impact on Total Deferrable EBA</t>
  </si>
  <si>
    <t>EBA Deferrable</t>
  </si>
  <si>
    <t>Incremental Non-Fuel FAS 106 Savings</t>
  </si>
  <si>
    <t>Special Contract Customer Adjustment</t>
  </si>
  <si>
    <t>Utah Situs Resource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</si>
</sst>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%"/>
    <numFmt numFmtId="167" formatCode="0.0000_);[Red]\(0.0000\)"/>
    <numFmt numFmtId="168" formatCode="0.0000_)"/>
    <numFmt numFmtId="169" formatCode="#,##0.0000"/>
    <numFmt numFmtId="170" formatCode="#,##0.00000_);\(#,##0.00000\)"/>
    <numFmt numFmtId="171" formatCode="#,##0.0000_);\(#,##0.0000\)"/>
    <numFmt numFmtId="172" formatCode="_(* #,##0.0000_);_(* \(#,##0.0000\);_(* &quot;-&quot;??_);_(@_)"/>
    <numFmt numFmtId="173" formatCode="_(* #,##0_);_(* \(#,##0\);_(* &quot;-&quot;??_);_(@_)"/>
    <numFmt numFmtId="174" formatCode="0.000%"/>
    <numFmt numFmtId="175" formatCode="0.0"/>
    <numFmt numFmtId="176" formatCode="&quot;$&quot;#,##0.0000_);\(&quot;$&quot;#,##0.0000\)"/>
    <numFmt numFmtId="177" formatCode="_(&quot;$&quot;* #,##0_);_(&quot;$&quot;* \(#,##0\);_(&quot;$&quot;* &quot;-&quot;??_);_(@_)"/>
    <numFmt numFmtId="178" formatCode="&quot;$&quot;#,##0.00"/>
    <numFmt numFmtId="179" formatCode="&quot;$&quot;###0;[Red]\(&quot;$&quot;###0\)"/>
    <numFmt numFmtId="180" formatCode="dd\-mmm\-yy_)"/>
    <numFmt numFmtId="181" formatCode="_(* #,##0.00000_);_(* \(#,##0.00000\);_(* &quot;-&quot;??_);_(@_)"/>
    <numFmt numFmtId="182" formatCode="_-* #,##0\ &quot;F&quot;_-;\-* #,##0\ &quot;F&quot;_-;_-* &quot;-&quot;\ &quot;F&quot;_-;_-@_-"/>
    <numFmt numFmtId="183" formatCode="#,##0.000;[Red]\-#,##0.000"/>
    <numFmt numFmtId="184" formatCode="_(* #,##0_);[Red]_(* \(#,##0\);_(* &quot;-&quot;_);_(@_)"/>
    <numFmt numFmtId="185" formatCode="0.0000"/>
    <numFmt numFmtId="186" formatCode="&quot;$&quot;#,##0.000_);\(&quot;$&quot;#,##0.000\)"/>
    <numFmt numFmtId="187" formatCode="&quot;$&quot;#,##0.0_);[Red]\(&quot;$&quot;#,##0.0\)"/>
    <numFmt numFmtId="188" formatCode="[$-409]mmmm\ d\,\ yyyy;@"/>
    <numFmt numFmtId="189" formatCode="#,##0;\-#,##0;&quot;-&quot;"/>
    <numFmt numFmtId="190" formatCode="mmmm\ d\,\ yyyy"/>
    <numFmt numFmtId="191" formatCode="########\-###\-###"/>
    <numFmt numFmtId="192" formatCode="#,##0.0_);\(#,##0.0\);\-\ ;"/>
    <numFmt numFmtId="193" formatCode="0.000000"/>
    <numFmt numFmtId="194" formatCode="mmm\ dd\,\ yyyy"/>
    <numFmt numFmtId="195" formatCode="_-* #,##0_-;\-* #,##0_-;_-* &quot;-&quot;_-;_-@_-"/>
    <numFmt numFmtId="196" formatCode="_-* #,##0.00_-;\-* #,##0.00_-;_-* &quot;-&quot;??_-;_-@_-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#,##0.000_);\(#,##0.000\)"/>
    <numFmt numFmtId="200" formatCode="#,##0.0_);\(#,##0.0\)"/>
    <numFmt numFmtId="201" formatCode="&quot;$&quot;#,##0.0"/>
    <numFmt numFmtId="202" formatCode="#,##0;\-#,##0;#,##0"/>
    <numFmt numFmtId="203" formatCode="#,##0.00;\-#,##0.00;#,##0.00"/>
    <numFmt numFmtId="204" formatCode="_(&quot;$&quot;\ #,##0_);_(&quot;$&quot;* \(#,##0\);_(&quot;$&quot;* &quot;-&quot;_);_(@_)"/>
  </numFmts>
  <fonts count="106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rgb="FF0000FF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7"/>
      <name val="Arial"/>
      <family val="2"/>
    </font>
    <font>
      <sz val="10"/>
      <name val="Swiss"/>
      <family val="2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12"/>
      <name val="Arial MT"/>
    </font>
    <font>
      <sz val="8"/>
      <color theme="1"/>
      <name val="Courier New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3333FF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0"/>
      <name val="Times New Roman"/>
      <family val="1"/>
    </font>
    <font>
      <b/>
      <i/>
      <u/>
      <sz val="10"/>
      <name val="Times New Roman"/>
      <family val="1"/>
    </font>
    <font>
      <sz val="10"/>
      <color rgb="FF0000FF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ms Rmn"/>
    </font>
    <font>
      <b/>
      <sz val="11"/>
      <color indexed="9"/>
      <name val="Calibri"/>
      <family val="2"/>
    </font>
    <font>
      <sz val="10"/>
      <color indexed="8"/>
      <name val="Helv"/>
    </font>
    <font>
      <sz val="10"/>
      <name val="Arial Narrow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Helv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i/>
      <sz val="8"/>
      <color indexed="18"/>
      <name val="Helv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8"/>
      <name val="TimesNewRomanPS"/>
    </font>
    <font>
      <sz val="10"/>
      <name val="Verdana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Geneva"/>
      <family val="2"/>
    </font>
    <font>
      <sz val="10"/>
      <color indexed="11"/>
      <name val="Geneva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sz val="24"/>
      <color indexed="13"/>
      <name val="Helv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i/>
      <u/>
      <sz val="12"/>
      <color indexed="8"/>
      <name val="Times New Roman"/>
      <family val="1"/>
    </font>
    <font>
      <b/>
      <sz val="24"/>
      <name val="Arial"/>
      <family val="2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i/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8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5" fillId="0" borderId="0"/>
    <xf numFmtId="164" fontId="5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6" fillId="0" borderId="0" applyFont="0" applyFill="0" applyBorder="0" applyAlignment="0" applyProtection="0">
      <alignment horizontal="left"/>
    </xf>
    <xf numFmtId="173" fontId="12" fillId="0" borderId="0" applyFont="0" applyAlignment="0" applyProtection="0"/>
    <xf numFmtId="0" fontId="11" fillId="0" borderId="0">
      <alignment wrapText="1"/>
    </xf>
    <xf numFmtId="41" fontId="17" fillId="0" borderId="0" applyFont="0" applyFill="0" applyBorder="0" applyAlignment="0" applyProtection="0"/>
    <xf numFmtId="178" fontId="18" fillId="0" borderId="0"/>
    <xf numFmtId="0" fontId="19" fillId="0" borderId="0"/>
    <xf numFmtId="0" fontId="4" fillId="0" borderId="0"/>
    <xf numFmtId="0" fontId="5" fillId="0" borderId="0"/>
    <xf numFmtId="0" fontId="11" fillId="0" borderId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21" fillId="0" borderId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22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75" fontId="23" fillId="0" borderId="0" applyNumberFormat="0" applyFill="0" applyBorder="0" applyAlignment="0" applyProtection="0"/>
    <xf numFmtId="0" fontId="24" fillId="0" borderId="15" applyNumberFormat="0" applyBorder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2" fontId="27" fillId="2" borderId="16">
      <alignment horizontal="left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28" fillId="3" borderId="17" applyNumberFormat="0" applyProtection="0">
      <alignment vertical="center"/>
    </xf>
    <xf numFmtId="4" fontId="29" fillId="4" borderId="17" applyNumberFormat="0" applyProtection="0">
      <alignment vertical="center"/>
    </xf>
    <xf numFmtId="4" fontId="28" fillId="4" borderId="17" applyNumberFormat="0" applyProtection="0">
      <alignment vertical="center"/>
    </xf>
    <xf numFmtId="0" fontId="28" fillId="4" borderId="17" applyNumberFormat="0" applyProtection="0">
      <alignment horizontal="left" vertical="top" indent="1"/>
    </xf>
    <xf numFmtId="4" fontId="28" fillId="5" borderId="0" applyNumberFormat="0" applyProtection="0">
      <alignment horizontal="left" vertical="center" indent="1"/>
    </xf>
    <xf numFmtId="4" fontId="30" fillId="6" borderId="17" applyNumberFormat="0" applyProtection="0">
      <alignment horizontal="right" vertical="center"/>
    </xf>
    <xf numFmtId="4" fontId="30" fillId="7" borderId="17" applyNumberFormat="0" applyProtection="0">
      <alignment horizontal="right" vertical="center"/>
    </xf>
    <xf numFmtId="4" fontId="30" fillId="8" borderId="17" applyNumberFormat="0" applyProtection="0">
      <alignment horizontal="right" vertical="center"/>
    </xf>
    <xf numFmtId="4" fontId="30" fillId="9" borderId="17" applyNumberFormat="0" applyProtection="0">
      <alignment horizontal="right" vertical="center"/>
    </xf>
    <xf numFmtId="4" fontId="30" fillId="10" borderId="17" applyNumberFormat="0" applyProtection="0">
      <alignment horizontal="right" vertical="center"/>
    </xf>
    <xf numFmtId="4" fontId="30" fillId="11" borderId="17" applyNumberFormat="0" applyProtection="0">
      <alignment horizontal="right" vertical="center"/>
    </xf>
    <xf numFmtId="4" fontId="30" fillId="12" borderId="17" applyNumberFormat="0" applyProtection="0">
      <alignment horizontal="right" vertical="center"/>
    </xf>
    <xf numFmtId="4" fontId="30" fillId="13" borderId="17" applyNumberFormat="0" applyProtection="0">
      <alignment horizontal="right" vertical="center"/>
    </xf>
    <xf numFmtId="4" fontId="30" fillId="14" borderId="17" applyNumberFormat="0" applyProtection="0">
      <alignment horizontal="right" vertical="center"/>
    </xf>
    <xf numFmtId="4" fontId="28" fillId="15" borderId="18" applyNumberFormat="0" applyProtection="0">
      <alignment horizontal="left" vertical="center" indent="1"/>
    </xf>
    <xf numFmtId="4" fontId="30" fillId="16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0" fillId="18" borderId="17" applyNumberFormat="0" applyProtection="0">
      <alignment horizontal="right" vertical="center"/>
    </xf>
    <xf numFmtId="4" fontId="32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0" fontId="11" fillId="17" borderId="17" applyNumberFormat="0" applyProtection="0">
      <alignment horizontal="left" vertical="center" indent="1"/>
    </xf>
    <xf numFmtId="0" fontId="11" fillId="17" borderId="17" applyNumberFormat="0" applyProtection="0">
      <alignment horizontal="left" vertical="top" indent="1"/>
    </xf>
    <xf numFmtId="0" fontId="11" fillId="5" borderId="17" applyNumberFormat="0" applyProtection="0">
      <alignment horizontal="left" vertical="center" indent="1"/>
    </xf>
    <xf numFmtId="0" fontId="11" fillId="5" borderId="17" applyNumberFormat="0" applyProtection="0">
      <alignment horizontal="left" vertical="top" indent="1"/>
    </xf>
    <xf numFmtId="0" fontId="11" fillId="19" borderId="17" applyNumberFormat="0" applyProtection="0">
      <alignment horizontal="left" vertical="center" indent="1"/>
    </xf>
    <xf numFmtId="0" fontId="11" fillId="19" borderId="17" applyNumberFormat="0" applyProtection="0">
      <alignment horizontal="left" vertical="top" indent="1"/>
    </xf>
    <xf numFmtId="0" fontId="11" fillId="20" borderId="17" applyNumberFormat="0" applyProtection="0">
      <alignment horizontal="left" vertical="center" indent="1"/>
    </xf>
    <xf numFmtId="0" fontId="11" fillId="20" borderId="17" applyNumberFormat="0" applyProtection="0">
      <alignment horizontal="left" vertical="top" indent="1"/>
    </xf>
    <xf numFmtId="4" fontId="30" fillId="21" borderId="17" applyNumberFormat="0" applyProtection="0">
      <alignment vertical="center"/>
    </xf>
    <xf numFmtId="4" fontId="34" fillId="21" borderId="17" applyNumberFormat="0" applyProtection="0">
      <alignment vertical="center"/>
    </xf>
    <xf numFmtId="4" fontId="30" fillId="21" borderId="17" applyNumberFormat="0" applyProtection="0">
      <alignment horizontal="left" vertical="center" indent="1"/>
    </xf>
    <xf numFmtId="0" fontId="30" fillId="21" borderId="17" applyNumberFormat="0" applyProtection="0">
      <alignment horizontal="left" vertical="top" indent="1"/>
    </xf>
    <xf numFmtId="4" fontId="30" fillId="22" borderId="19" applyNumberFormat="0" applyProtection="0">
      <alignment horizontal="right" vertical="center"/>
    </xf>
    <xf numFmtId="4" fontId="34" fillId="16" borderId="17" applyNumberFormat="0" applyProtection="0">
      <alignment horizontal="right" vertical="center"/>
    </xf>
    <xf numFmtId="4" fontId="30" fillId="18" borderId="17" applyNumberFormat="0" applyProtection="0">
      <alignment horizontal="left" vertical="center" indent="1"/>
    </xf>
    <xf numFmtId="0" fontId="30" fillId="5" borderId="17" applyNumberFormat="0" applyProtection="0">
      <alignment horizontal="center" vertical="top"/>
    </xf>
    <xf numFmtId="4" fontId="35" fillId="0" borderId="0" applyNumberFormat="0" applyProtection="0">
      <alignment horizontal="left" vertical="center"/>
    </xf>
    <xf numFmtId="4" fontId="36" fillId="16" borderId="17" applyNumberFormat="0" applyProtection="0">
      <alignment horizontal="right" vertical="center"/>
    </xf>
    <xf numFmtId="37" fontId="24" fillId="4" borderId="0" applyNumberFormat="0" applyBorder="0" applyAlignment="0" applyProtection="0"/>
    <xf numFmtId="37" fontId="24" fillId="0" borderId="0"/>
    <xf numFmtId="3" fontId="37" fillId="23" borderId="20" applyProtection="0"/>
    <xf numFmtId="0" fontId="5" fillId="0" borderId="0"/>
    <xf numFmtId="9" fontId="5" fillId="0" borderId="0" applyFont="0" applyFill="0" applyBorder="0" applyAlignment="0" applyProtection="0"/>
    <xf numFmtId="180" fontId="17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38" fontId="24" fillId="25" borderId="0" applyNumberFormat="0" applyBorder="0" applyAlignment="0" applyProtection="0"/>
    <xf numFmtId="0" fontId="46" fillId="0" borderId="0"/>
    <xf numFmtId="0" fontId="27" fillId="0" borderId="24" applyNumberFormat="0" applyAlignment="0" applyProtection="0">
      <alignment horizontal="left" vertical="center"/>
    </xf>
    <xf numFmtId="0" fontId="27" fillId="0" borderId="23">
      <alignment horizontal="left" vertical="center"/>
    </xf>
    <xf numFmtId="10" fontId="24" fillId="21" borderId="21" applyNumberFormat="0" applyBorder="0" applyAlignment="0" applyProtection="0"/>
    <xf numFmtId="183" fontId="11" fillId="0" borderId="0"/>
    <xf numFmtId="0" fontId="11" fillId="0" borderId="0"/>
    <xf numFmtId="0" fontId="2" fillId="0" borderId="0"/>
    <xf numFmtId="41" fontId="17" fillId="0" borderId="0" applyFont="0" applyFill="0" applyBorder="0" applyAlignment="0" applyProtection="0"/>
    <xf numFmtId="184" fontId="11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47" fillId="26" borderId="0" applyNumberFormat="0" applyProtection="0">
      <alignment horizontal="left"/>
    </xf>
    <xf numFmtId="0" fontId="40" fillId="0" borderId="21">
      <alignment horizontal="center" vertical="center" wrapText="1"/>
    </xf>
    <xf numFmtId="0" fontId="11" fillId="0" borderId="0"/>
    <xf numFmtId="164" fontId="55" fillId="0" borderId="0"/>
    <xf numFmtId="0" fontId="56" fillId="0" borderId="0"/>
    <xf numFmtId="9" fontId="55" fillId="0" borderId="0" applyFont="0" applyFill="0" applyBorder="0" applyAlignment="0" applyProtection="0"/>
    <xf numFmtId="164" fontId="5" fillId="0" borderId="0"/>
    <xf numFmtId="0" fontId="60" fillId="40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4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1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4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40" borderId="0" applyNumberFormat="0" applyBorder="0" applyAlignment="0" applyProtection="0"/>
    <xf numFmtId="0" fontId="60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41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0" fillId="43" borderId="0" applyNumberFormat="0" applyBorder="0" applyAlignment="0" applyProtection="0"/>
    <xf numFmtId="0" fontId="60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4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50" borderId="21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40" fillId="51" borderId="0" applyNumberFormat="0" applyBorder="0" applyAlignment="0" applyProtection="0"/>
    <xf numFmtId="189" fontId="30" fillId="0" borderId="0" applyFill="0" applyBorder="0" applyAlignment="0"/>
    <xf numFmtId="0" fontId="64" fillId="52" borderId="29" applyNumberFormat="0" applyAlignment="0" applyProtection="0"/>
    <xf numFmtId="0" fontId="64" fillId="52" borderId="29" applyNumberFormat="0" applyAlignment="0" applyProtection="0"/>
    <xf numFmtId="0" fontId="64" fillId="52" borderId="29" applyNumberFormat="0" applyAlignment="0" applyProtection="0"/>
    <xf numFmtId="0" fontId="64" fillId="52" borderId="29" applyNumberFormat="0" applyAlignment="0" applyProtection="0"/>
    <xf numFmtId="0" fontId="64" fillId="52" borderId="29" applyNumberFormat="0" applyAlignment="0" applyProtection="0"/>
    <xf numFmtId="0" fontId="65" fillId="0" borderId="0"/>
    <xf numFmtId="0" fontId="66" fillId="53" borderId="30" applyNumberFormat="0" applyAlignment="0" applyProtection="0"/>
    <xf numFmtId="0" fontId="66" fillId="53" borderId="30" applyNumberFormat="0" applyAlignment="0" applyProtection="0"/>
    <xf numFmtId="0" fontId="66" fillId="53" borderId="30" applyNumberFormat="0" applyAlignment="0" applyProtection="0"/>
    <xf numFmtId="0" fontId="66" fillId="53" borderId="30" applyNumberFormat="0" applyAlignment="0" applyProtection="0"/>
    <xf numFmtId="0" fontId="66" fillId="53" borderId="30" applyNumberFormat="0" applyAlignment="0" applyProtection="0"/>
    <xf numFmtId="0" fontId="55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" fontId="67" fillId="0" borderId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71" fillId="0" borderId="0"/>
    <xf numFmtId="0" fontId="71" fillId="0" borderId="0"/>
    <xf numFmtId="0" fontId="71" fillId="0" borderId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71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72" fillId="0" borderId="0"/>
    <xf numFmtId="0" fontId="72" fillId="0" borderId="31"/>
    <xf numFmtId="0" fontId="71" fillId="0" borderId="0"/>
    <xf numFmtId="0" fontId="71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90" fontId="11" fillId="0" borderId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71" fillId="0" borderId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38" fontId="24" fillId="25" borderId="0" applyNumberFormat="0" applyBorder="0" applyAlignment="0" applyProtection="0"/>
    <xf numFmtId="38" fontId="24" fillId="25" borderId="0" applyNumberFormat="0" applyBorder="0" applyAlignment="0" applyProtection="0"/>
    <xf numFmtId="0" fontId="3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4" fontId="11" fillId="0" borderId="0">
      <protection locked="0"/>
    </xf>
    <xf numFmtId="174" fontId="11" fillId="0" borderId="0"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0" fontId="24" fillId="21" borderId="21" applyNumberFormat="0" applyBorder="0" applyAlignment="0" applyProtection="0"/>
    <xf numFmtId="10" fontId="24" fillId="21" borderId="21" applyNumberFormat="0" applyBorder="0" applyAlignment="0" applyProtection="0"/>
    <xf numFmtId="0" fontId="78" fillId="0" borderId="0" applyNumberFormat="0" applyFill="0" applyBorder="0" applyAlignment="0">
      <protection locked="0"/>
    </xf>
    <xf numFmtId="0" fontId="78" fillId="0" borderId="0" applyNumberFormat="0" applyFill="0" applyBorder="0" applyAlignment="0">
      <protection locked="0"/>
    </xf>
    <xf numFmtId="38" fontId="79" fillId="0" borderId="0">
      <alignment horizontal="left" wrapText="1"/>
    </xf>
    <xf numFmtId="38" fontId="80" fillId="0" borderId="0">
      <alignment horizontal="left" wrapText="1"/>
    </xf>
    <xf numFmtId="0" fontId="81" fillId="54" borderId="31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83" fillId="55" borderId="0"/>
    <xf numFmtId="0" fontId="83" fillId="56" borderId="0"/>
    <xf numFmtId="0" fontId="40" fillId="57" borderId="7" applyBorder="0"/>
    <xf numFmtId="0" fontId="11" fillId="58" borderId="8" applyNumberFormat="0" applyFont="0" applyBorder="0" applyAlignment="0" applyProtection="0"/>
    <xf numFmtId="191" fontId="11" fillId="0" borderId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37" fontId="85" fillId="0" borderId="0" applyNumberFormat="0" applyFill="0" applyBorder="0"/>
    <xf numFmtId="0" fontId="24" fillId="0" borderId="15" applyNumberFormat="0" applyBorder="0" applyAlignment="0"/>
    <xf numFmtId="0" fontId="24" fillId="0" borderId="15" applyNumberFormat="0" applyBorder="0" applyAlignment="0"/>
    <xf numFmtId="0" fontId="24" fillId="0" borderId="15" applyNumberFormat="0" applyBorder="0" applyAlignment="0"/>
    <xf numFmtId="183" fontId="11" fillId="0" borderId="0"/>
    <xf numFmtId="183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41" fontId="11" fillId="0" borderId="0"/>
    <xf numFmtId="0" fontId="11" fillId="0" borderId="0"/>
    <xf numFmtId="0" fontId="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71" fillId="0" borderId="0"/>
    <xf numFmtId="0" fontId="11" fillId="59" borderId="34" applyNumberFormat="0" applyFont="0" applyAlignment="0" applyProtection="0"/>
    <xf numFmtId="0" fontId="20" fillId="27" borderId="28" applyNumberFormat="0" applyFont="0" applyAlignment="0" applyProtection="0"/>
    <xf numFmtId="0" fontId="20" fillId="27" borderId="28" applyNumberFormat="0" applyFont="0" applyAlignment="0" applyProtection="0"/>
    <xf numFmtId="0" fontId="20" fillId="27" borderId="28" applyNumberFormat="0" applyFont="0" applyAlignment="0" applyProtection="0"/>
    <xf numFmtId="0" fontId="11" fillId="59" borderId="34" applyNumberFormat="0" applyFont="0" applyAlignment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0" fontId="88" fillId="52" borderId="35" applyNumberFormat="0" applyAlignment="0" applyProtection="0"/>
    <xf numFmtId="0" fontId="88" fillId="52" borderId="35" applyNumberFormat="0" applyAlignment="0" applyProtection="0"/>
    <xf numFmtId="0" fontId="88" fillId="52" borderId="35" applyNumberFormat="0" applyAlignment="0" applyProtection="0"/>
    <xf numFmtId="0" fontId="88" fillId="52" borderId="35" applyNumberFormat="0" applyAlignment="0" applyProtection="0"/>
    <xf numFmtId="0" fontId="88" fillId="52" borderId="35" applyNumberFormat="0" applyAlignment="0" applyProtection="0"/>
    <xf numFmtId="40" fontId="30" fillId="22" borderId="0">
      <alignment horizontal="right"/>
    </xf>
    <xf numFmtId="0" fontId="28" fillId="22" borderId="0">
      <alignment horizontal="left"/>
    </xf>
    <xf numFmtId="0" fontId="71" fillId="0" borderId="0"/>
    <xf numFmtId="0" fontId="71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/>
    <xf numFmtId="0" fontId="72" fillId="0" borderId="0"/>
    <xf numFmtId="4" fontId="28" fillId="4" borderId="17" applyNumberFormat="0" applyProtection="0">
      <alignment horizontal="left" vertical="center" indent="1"/>
    </xf>
    <xf numFmtId="4" fontId="28" fillId="4" borderId="17" applyNumberFormat="0" applyProtection="0">
      <alignment horizontal="left" vertical="center" indent="1"/>
    </xf>
    <xf numFmtId="4" fontId="28" fillId="4" borderId="17" applyNumberFormat="0" applyProtection="0">
      <alignment horizontal="left" vertical="center" indent="1"/>
    </xf>
    <xf numFmtId="4" fontId="28" fillId="4" borderId="17" applyNumberFormat="0" applyProtection="0">
      <alignment horizontal="left" vertical="center" indent="1"/>
    </xf>
    <xf numFmtId="4" fontId="28" fillId="4" borderId="17" applyNumberFormat="0" applyProtection="0">
      <alignment horizontal="left" vertical="center" indent="1"/>
    </xf>
    <xf numFmtId="4" fontId="28" fillId="4" borderId="17" applyNumberFormat="0" applyProtection="0">
      <alignment horizontal="left" vertical="center" indent="1"/>
    </xf>
    <xf numFmtId="4" fontId="28" fillId="5" borderId="17" applyNumberFormat="0" applyProtection="0"/>
    <xf numFmtId="4" fontId="28" fillId="5" borderId="17" applyNumberFormat="0" applyProtection="0"/>
    <xf numFmtId="4" fontId="28" fillId="5" borderId="17" applyNumberFormat="0" applyProtection="0"/>
    <xf numFmtId="4" fontId="28" fillId="5" borderId="17" applyNumberFormat="0" applyProtection="0"/>
    <xf numFmtId="4" fontId="28" fillId="5" borderId="17" applyNumberFormat="0" applyProtection="0"/>
    <xf numFmtId="4" fontId="28" fillId="5" borderId="17" applyNumberFormat="0" applyProtection="0"/>
    <xf numFmtId="4" fontId="28" fillId="15" borderId="18" applyNumberFormat="0" applyProtection="0">
      <alignment horizontal="left" vertical="center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33" fillId="61" borderId="0" applyNumberFormat="0" applyProtection="0"/>
    <xf numFmtId="4" fontId="33" fillId="61" borderId="0" applyNumberFormat="0" applyProtection="0"/>
    <xf numFmtId="4" fontId="33" fillId="61" borderId="0" applyNumberFormat="0" applyProtection="0"/>
    <xf numFmtId="4" fontId="33" fillId="61" borderId="0" applyNumberFormat="0" applyProtection="0"/>
    <xf numFmtId="4" fontId="33" fillId="61" borderId="0" applyNumberFormat="0" applyProtection="0"/>
    <xf numFmtId="4" fontId="33" fillId="61" borderId="0" applyNumberFormat="0" applyProtection="0"/>
    <xf numFmtId="4" fontId="33" fillId="61" borderId="0" applyNumberFormat="0" applyProtection="0"/>
    <xf numFmtId="0" fontId="11" fillId="17" borderId="17" applyNumberFormat="0" applyProtection="0">
      <alignment horizontal="left" vertical="center" indent="1"/>
    </xf>
    <xf numFmtId="0" fontId="11" fillId="17" borderId="17" applyNumberFormat="0" applyProtection="0">
      <alignment horizontal="left" vertical="center" indent="1"/>
    </xf>
    <xf numFmtId="0" fontId="11" fillId="17" borderId="17" applyNumberFormat="0" applyProtection="0">
      <alignment horizontal="left" vertical="center" indent="1"/>
    </xf>
    <xf numFmtId="0" fontId="11" fillId="17" borderId="17" applyNumberFormat="0" applyProtection="0">
      <alignment horizontal="left" vertical="center" indent="1"/>
    </xf>
    <xf numFmtId="0" fontId="11" fillId="17" borderId="17" applyNumberFormat="0" applyProtection="0">
      <alignment horizontal="left" vertical="center" indent="1"/>
    </xf>
    <xf numFmtId="0" fontId="11" fillId="17" borderId="17" applyNumberFormat="0" applyProtection="0">
      <alignment horizontal="left" vertical="top" indent="1"/>
    </xf>
    <xf numFmtId="0" fontId="11" fillId="17" borderId="17" applyNumberFormat="0" applyProtection="0">
      <alignment horizontal="left" vertical="top" indent="1"/>
    </xf>
    <xf numFmtId="0" fontId="11" fillId="17" borderId="17" applyNumberFormat="0" applyProtection="0">
      <alignment horizontal="left" vertical="top" indent="1"/>
    </xf>
    <xf numFmtId="0" fontId="11" fillId="17" borderId="17" applyNumberFormat="0" applyProtection="0">
      <alignment horizontal="left" vertical="top" indent="1"/>
    </xf>
    <xf numFmtId="0" fontId="11" fillId="17" borderId="17" applyNumberFormat="0" applyProtection="0">
      <alignment horizontal="left" vertical="top" indent="1"/>
    </xf>
    <xf numFmtId="0" fontId="11" fillId="5" borderId="17" applyNumberFormat="0" applyProtection="0">
      <alignment horizontal="left" vertical="center" indent="1"/>
    </xf>
    <xf numFmtId="0" fontId="11" fillId="5" borderId="17" applyNumberFormat="0" applyProtection="0">
      <alignment horizontal="left" vertical="center" indent="1"/>
    </xf>
    <xf numFmtId="0" fontId="11" fillId="5" borderId="17" applyNumberFormat="0" applyProtection="0">
      <alignment horizontal="left" vertical="center" indent="1"/>
    </xf>
    <xf numFmtId="0" fontId="11" fillId="5" borderId="17" applyNumberFormat="0" applyProtection="0">
      <alignment horizontal="left" vertical="center" indent="1"/>
    </xf>
    <xf numFmtId="0" fontId="11" fillId="5" borderId="17" applyNumberFormat="0" applyProtection="0">
      <alignment horizontal="left" vertical="center" indent="1"/>
    </xf>
    <xf numFmtId="0" fontId="11" fillId="5" borderId="17" applyNumberFormat="0" applyProtection="0">
      <alignment horizontal="left" vertical="top" indent="1"/>
    </xf>
    <xf numFmtId="0" fontId="11" fillId="5" borderId="17" applyNumberFormat="0" applyProtection="0">
      <alignment horizontal="left" vertical="top" indent="1"/>
    </xf>
    <xf numFmtId="0" fontId="11" fillId="5" borderId="17" applyNumberFormat="0" applyProtection="0">
      <alignment horizontal="left" vertical="top" indent="1"/>
    </xf>
    <xf numFmtId="0" fontId="11" fillId="5" borderId="17" applyNumberFormat="0" applyProtection="0">
      <alignment horizontal="left" vertical="top" indent="1"/>
    </xf>
    <xf numFmtId="0" fontId="11" fillId="5" borderId="17" applyNumberFormat="0" applyProtection="0">
      <alignment horizontal="left" vertical="top" indent="1"/>
    </xf>
    <xf numFmtId="0" fontId="11" fillId="19" borderId="17" applyNumberFormat="0" applyProtection="0">
      <alignment horizontal="left" vertical="center" indent="1"/>
    </xf>
    <xf numFmtId="0" fontId="11" fillId="19" borderId="17" applyNumberFormat="0" applyProtection="0">
      <alignment horizontal="left" vertical="center" indent="1"/>
    </xf>
    <xf numFmtId="0" fontId="11" fillId="19" borderId="17" applyNumberFormat="0" applyProtection="0">
      <alignment horizontal="left" vertical="center" indent="1"/>
    </xf>
    <xf numFmtId="0" fontId="11" fillId="19" borderId="17" applyNumberFormat="0" applyProtection="0">
      <alignment horizontal="left" vertical="center" indent="1"/>
    </xf>
    <xf numFmtId="0" fontId="11" fillId="19" borderId="17" applyNumberFormat="0" applyProtection="0">
      <alignment horizontal="left" vertical="center" indent="1"/>
    </xf>
    <xf numFmtId="0" fontId="11" fillId="19" borderId="17" applyNumberFormat="0" applyProtection="0">
      <alignment horizontal="left" vertical="top" indent="1"/>
    </xf>
    <xf numFmtId="0" fontId="11" fillId="19" borderId="17" applyNumberFormat="0" applyProtection="0">
      <alignment horizontal="left" vertical="top" indent="1"/>
    </xf>
    <xf numFmtId="0" fontId="11" fillId="19" borderId="17" applyNumberFormat="0" applyProtection="0">
      <alignment horizontal="left" vertical="top" indent="1"/>
    </xf>
    <xf numFmtId="0" fontId="11" fillId="19" borderId="17" applyNumberFormat="0" applyProtection="0">
      <alignment horizontal="left" vertical="top" indent="1"/>
    </xf>
    <xf numFmtId="0" fontId="11" fillId="19" borderId="17" applyNumberFormat="0" applyProtection="0">
      <alignment horizontal="left" vertical="top" indent="1"/>
    </xf>
    <xf numFmtId="0" fontId="11" fillId="20" borderId="17" applyNumberFormat="0" applyProtection="0">
      <alignment horizontal="left" vertical="center" indent="1"/>
    </xf>
    <xf numFmtId="0" fontId="11" fillId="20" borderId="17" applyNumberFormat="0" applyProtection="0">
      <alignment horizontal="left" vertical="center" indent="1"/>
    </xf>
    <xf numFmtId="0" fontId="11" fillId="20" borderId="17" applyNumberFormat="0" applyProtection="0">
      <alignment horizontal="left" vertical="center" indent="1"/>
    </xf>
    <xf numFmtId="0" fontId="11" fillId="20" borderId="17" applyNumberFormat="0" applyProtection="0">
      <alignment horizontal="left" vertical="center" indent="1"/>
    </xf>
    <xf numFmtId="0" fontId="11" fillId="20" borderId="17" applyNumberFormat="0" applyProtection="0">
      <alignment horizontal="left" vertical="center" indent="1"/>
    </xf>
    <xf numFmtId="0" fontId="11" fillId="20" borderId="17" applyNumberFormat="0" applyProtection="0">
      <alignment horizontal="left" vertical="top" indent="1"/>
    </xf>
    <xf numFmtId="0" fontId="11" fillId="20" borderId="17" applyNumberFormat="0" applyProtection="0">
      <alignment horizontal="left" vertical="top" indent="1"/>
    </xf>
    <xf numFmtId="0" fontId="11" fillId="20" borderId="17" applyNumberFormat="0" applyProtection="0">
      <alignment horizontal="left" vertical="top" indent="1"/>
    </xf>
    <xf numFmtId="0" fontId="11" fillId="20" borderId="17" applyNumberFormat="0" applyProtection="0">
      <alignment horizontal="left" vertical="top" indent="1"/>
    </xf>
    <xf numFmtId="0" fontId="11" fillId="20" borderId="17" applyNumberFormat="0" applyProtection="0">
      <alignment horizontal="left" vertical="top" indent="1"/>
    </xf>
    <xf numFmtId="4" fontId="30" fillId="0" borderId="17" applyNumberFormat="0" applyProtection="0">
      <alignment horizontal="right" vertical="center"/>
    </xf>
    <xf numFmtId="4" fontId="30" fillId="0" borderId="17" applyNumberFormat="0" applyProtection="0">
      <alignment horizontal="right" vertical="center"/>
    </xf>
    <xf numFmtId="4" fontId="30" fillId="0" borderId="17" applyNumberFormat="0" applyProtection="0">
      <alignment horizontal="right" vertical="center"/>
    </xf>
    <xf numFmtId="4" fontId="30" fillId="0" borderId="17" applyNumberFormat="0" applyProtection="0">
      <alignment horizontal="right" vertical="center"/>
    </xf>
    <xf numFmtId="4" fontId="30" fillId="0" borderId="17" applyNumberFormat="0" applyProtection="0">
      <alignment horizontal="right" vertical="center"/>
    </xf>
    <xf numFmtId="4" fontId="30" fillId="0" borderId="17" applyNumberFormat="0" applyProtection="0">
      <alignment horizontal="right" vertical="center"/>
    </xf>
    <xf numFmtId="4" fontId="30" fillId="0" borderId="17" applyNumberFormat="0" applyProtection="0">
      <alignment horizontal="left" vertical="center" indent="1"/>
    </xf>
    <xf numFmtId="4" fontId="30" fillId="0" borderId="17" applyNumberFormat="0" applyProtection="0">
      <alignment horizontal="left" vertical="center" indent="1"/>
    </xf>
    <xf numFmtId="4" fontId="30" fillId="0" borderId="17" applyNumberFormat="0" applyProtection="0">
      <alignment horizontal="left" vertical="center" indent="1"/>
    </xf>
    <xf numFmtId="4" fontId="30" fillId="0" borderId="17" applyNumberFormat="0" applyProtection="0">
      <alignment horizontal="left" vertical="center" indent="1"/>
    </xf>
    <xf numFmtId="4" fontId="30" fillId="0" borderId="17" applyNumberFormat="0" applyProtection="0">
      <alignment horizontal="left" vertical="center" indent="1"/>
    </xf>
    <xf numFmtId="4" fontId="30" fillId="0" borderId="17" applyNumberFormat="0" applyProtection="0">
      <alignment horizontal="left" vertical="center" indent="1"/>
    </xf>
    <xf numFmtId="0" fontId="30" fillId="5" borderId="17" applyNumberFormat="0" applyProtection="0">
      <alignment horizontal="left" vertical="top"/>
    </xf>
    <xf numFmtId="0" fontId="30" fillId="5" borderId="17" applyNumberFormat="0" applyProtection="0">
      <alignment horizontal="left" vertical="top"/>
    </xf>
    <xf numFmtId="0" fontId="30" fillId="5" borderId="17" applyNumberFormat="0" applyProtection="0">
      <alignment horizontal="left" vertical="top"/>
    </xf>
    <xf numFmtId="0" fontId="30" fillId="5" borderId="17" applyNumberFormat="0" applyProtection="0">
      <alignment horizontal="left" vertical="top"/>
    </xf>
    <xf numFmtId="0" fontId="30" fillId="5" borderId="17" applyNumberFormat="0" applyProtection="0">
      <alignment horizontal="left" vertical="top"/>
    </xf>
    <xf numFmtId="0" fontId="30" fillId="5" borderId="17" applyNumberFormat="0" applyProtection="0">
      <alignment horizontal="left" vertical="top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37" fontId="25" fillId="62" borderId="0" applyNumberFormat="0" applyFont="0" applyBorder="0" applyAlignment="0" applyProtection="0"/>
    <xf numFmtId="0" fontId="92" fillId="0" borderId="0" applyNumberFormat="0" applyFill="0" applyBorder="0" applyAlignment="0" applyProtection="0"/>
    <xf numFmtId="169" fontId="11" fillId="0" borderId="25">
      <alignment horizontal="justify" vertical="top" wrapText="1"/>
    </xf>
    <xf numFmtId="169" fontId="11" fillId="0" borderId="25">
      <alignment horizontal="justify" vertical="top" wrapText="1"/>
    </xf>
    <xf numFmtId="169" fontId="11" fillId="0" borderId="25">
      <alignment horizontal="justify" vertical="top" wrapText="1"/>
    </xf>
    <xf numFmtId="0" fontId="93" fillId="63" borderId="36"/>
    <xf numFmtId="193" fontId="11" fillId="0" borderId="0">
      <alignment horizontal="left" wrapText="1"/>
    </xf>
    <xf numFmtId="2" fontId="11" fillId="0" borderId="0" applyFill="0" applyBorder="0" applyProtection="0">
      <alignment horizontal="right"/>
    </xf>
    <xf numFmtId="14" fontId="94" fillId="64" borderId="37" applyProtection="0">
      <alignment horizontal="right"/>
    </xf>
    <xf numFmtId="0" fontId="94" fillId="0" borderId="0" applyNumberFormat="0" applyFill="0" applyBorder="0" applyProtection="0">
      <alignment horizontal="left"/>
    </xf>
    <xf numFmtId="194" fontId="11" fillId="0" borderId="0" applyFill="0" applyBorder="0" applyAlignment="0" applyProtection="0">
      <alignment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72" fillId="0" borderId="31"/>
    <xf numFmtId="38" fontId="11" fillId="0" borderId="0">
      <alignment horizontal="left" wrapText="1"/>
    </xf>
    <xf numFmtId="0" fontId="95" fillId="65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0" fillId="0" borderId="21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1" fillId="0" borderId="12"/>
    <xf numFmtId="0" fontId="81" fillId="0" borderId="38"/>
    <xf numFmtId="0" fontId="81" fillId="0" borderId="31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71" fillId="0" borderId="2"/>
    <xf numFmtId="38" fontId="30" fillId="0" borderId="27" applyFill="0" applyBorder="0" applyAlignment="0" applyProtection="0">
      <protection locked="0"/>
    </xf>
    <xf numFmtId="37" fontId="24" fillId="4" borderId="0" applyNumberFormat="0" applyBorder="0" applyAlignment="0" applyProtection="0"/>
    <xf numFmtId="37" fontId="24" fillId="4" borderId="0" applyNumberFormat="0" applyBorder="0" applyAlignment="0" applyProtection="0"/>
    <xf numFmtId="37" fontId="24" fillId="4" borderId="0" applyNumberFormat="0" applyBorder="0" applyAlignment="0" applyProtection="0"/>
    <xf numFmtId="37" fontId="24" fillId="0" borderId="0"/>
    <xf numFmtId="37" fontId="24" fillId="0" borderId="0"/>
    <xf numFmtId="37" fontId="24" fillId="0" borderId="0"/>
    <xf numFmtId="37" fontId="24" fillId="4" borderId="0" applyNumberFormat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02" fillId="0" borderId="0"/>
    <xf numFmtId="0" fontId="11" fillId="0" borderId="0"/>
  </cellStyleXfs>
  <cellXfs count="528">
    <xf numFmtId="0" fontId="0" fillId="0" borderId="0" xfId="0"/>
    <xf numFmtId="164" fontId="6" fillId="0" borderId="0" xfId="4" applyNumberFormat="1" applyFont="1" applyFill="1" applyBorder="1" applyAlignment="1">
      <alignment horizontal="centerContinuous"/>
    </xf>
    <xf numFmtId="164" fontId="5" fillId="0" borderId="0" xfId="4" applyNumberFormat="1"/>
    <xf numFmtId="164" fontId="5" fillId="0" borderId="0" xfId="4" applyNumberFormat="1" applyFill="1"/>
    <xf numFmtId="37" fontId="9" fillId="0" borderId="0" xfId="4" applyNumberFormat="1" applyFont="1" applyFill="1" applyProtection="1"/>
    <xf numFmtId="164" fontId="9" fillId="0" borderId="0" xfId="4" applyNumberFormat="1" applyFont="1" applyFill="1" applyBorder="1"/>
    <xf numFmtId="37" fontId="10" fillId="0" borderId="0" xfId="4" applyNumberFormat="1" applyFont="1" applyFill="1" applyProtection="1"/>
    <xf numFmtId="37" fontId="10" fillId="0" borderId="0" xfId="4" applyNumberFormat="1" applyFont="1" applyFill="1" applyAlignment="1" applyProtection="1">
      <alignment horizontal="center"/>
    </xf>
    <xf numFmtId="5" fontId="5" fillId="0" borderId="0" xfId="4" applyNumberFormat="1" applyFill="1" applyProtection="1"/>
    <xf numFmtId="37" fontId="10" fillId="0" borderId="0" xfId="4" applyNumberFormat="1" applyFont="1" applyFill="1" applyBorder="1" applyAlignment="1" applyProtection="1">
      <alignment horizontal="center"/>
    </xf>
    <xf numFmtId="37" fontId="10" fillId="0" borderId="1" xfId="4" quotePrefix="1" applyNumberFormat="1" applyFont="1" applyFill="1" applyBorder="1" applyAlignment="1" applyProtection="1">
      <alignment horizontal="center"/>
    </xf>
    <xf numFmtId="164" fontId="5" fillId="0" borderId="0" xfId="4" applyNumberFormat="1" applyFont="1" applyBorder="1"/>
    <xf numFmtId="164" fontId="5" fillId="0" borderId="0" xfId="4" applyNumberFormat="1" applyBorder="1"/>
    <xf numFmtId="37" fontId="9" fillId="0" borderId="0" xfId="4" applyNumberFormat="1" applyFont="1" applyFill="1" applyProtection="1">
      <protection locked="0"/>
    </xf>
    <xf numFmtId="7" fontId="9" fillId="0" borderId="0" xfId="4" applyNumberFormat="1" applyFont="1" applyFill="1" applyProtection="1">
      <protection locked="0"/>
    </xf>
    <xf numFmtId="5" fontId="9" fillId="0" borderId="0" xfId="4" applyNumberFormat="1" applyFont="1" applyFill="1" applyProtection="1"/>
    <xf numFmtId="37" fontId="9" fillId="0" borderId="0" xfId="4" applyNumberFormat="1" applyFont="1" applyFill="1" applyBorder="1" applyProtection="1"/>
    <xf numFmtId="5" fontId="5" fillId="0" borderId="6" xfId="4" applyNumberFormat="1" applyFill="1" applyBorder="1" applyProtection="1"/>
    <xf numFmtId="5" fontId="5" fillId="0" borderId="7" xfId="4" applyNumberFormat="1" applyFill="1" applyBorder="1" applyProtection="1"/>
    <xf numFmtId="5" fontId="5" fillId="0" borderId="10" xfId="4" applyNumberFormat="1" applyFill="1" applyBorder="1" applyProtection="1"/>
    <xf numFmtId="7" fontId="9" fillId="0" borderId="0" xfId="4" applyNumberFormat="1" applyFont="1" applyFill="1" applyBorder="1" applyProtection="1"/>
    <xf numFmtId="5" fontId="9" fillId="0" borderId="0" xfId="4" applyNumberFormat="1" applyFont="1" applyFill="1" applyBorder="1" applyProtection="1"/>
    <xf numFmtId="164" fontId="5" fillId="0" borderId="0" xfId="4" applyNumberFormat="1" applyFont="1"/>
    <xf numFmtId="37" fontId="9" fillId="0" borderId="2" xfId="4" applyNumberFormat="1" applyFont="1" applyFill="1" applyBorder="1" applyProtection="1"/>
    <xf numFmtId="5" fontId="9" fillId="0" borderId="2" xfId="4" applyNumberFormat="1" applyFont="1" applyFill="1" applyBorder="1" applyProtection="1"/>
    <xf numFmtId="37" fontId="9" fillId="0" borderId="11" xfId="4" applyNumberFormat="1" applyFont="1" applyFill="1" applyBorder="1" applyProtection="1"/>
    <xf numFmtId="5" fontId="9" fillId="0" borderId="11" xfId="4" applyNumberFormat="1" applyFont="1" applyFill="1" applyBorder="1" applyProtection="1"/>
    <xf numFmtId="170" fontId="9" fillId="0" borderId="0" xfId="4" applyNumberFormat="1" applyFont="1" applyFill="1" applyProtection="1"/>
    <xf numFmtId="5" fontId="9" fillId="0" borderId="12" xfId="4" applyNumberFormat="1" applyFont="1" applyFill="1" applyBorder="1" applyProtection="1"/>
    <xf numFmtId="37" fontId="9" fillId="0" borderId="12" xfId="4" applyNumberFormat="1" applyFont="1" applyFill="1" applyBorder="1" applyProtection="1"/>
    <xf numFmtId="168" fontId="9" fillId="0" borderId="0" xfId="4" applyNumberFormat="1" applyFont="1" applyFill="1" applyProtection="1"/>
    <xf numFmtId="10" fontId="9" fillId="0" borderId="0" xfId="4" applyNumberFormat="1" applyFont="1" applyFill="1" applyProtection="1">
      <protection locked="0"/>
    </xf>
    <xf numFmtId="164" fontId="5" fillId="0" borderId="0" xfId="4" applyNumberFormat="1" applyFont="1" applyAlignment="1">
      <alignment horizontal="right"/>
    </xf>
    <xf numFmtId="6" fontId="5" fillId="0" borderId="0" xfId="3" applyNumberFormat="1" applyFont="1" applyAlignment="1">
      <alignment horizontal="right"/>
    </xf>
    <xf numFmtId="168" fontId="12" fillId="0" borderId="0" xfId="4" applyNumberFormat="1" applyFont="1" applyFill="1" applyAlignment="1" applyProtection="1">
      <alignment horizontal="right"/>
    </xf>
    <xf numFmtId="10" fontId="12" fillId="0" borderId="0" xfId="4" applyNumberFormat="1" applyFont="1" applyFill="1" applyAlignment="1" applyProtection="1">
      <alignment horizontal="right"/>
    </xf>
    <xf numFmtId="37" fontId="9" fillId="0" borderId="1" xfId="4" applyNumberFormat="1" applyFont="1" applyFill="1" applyBorder="1" applyProtection="1">
      <protection locked="0"/>
    </xf>
    <xf numFmtId="5" fontId="9" fillId="0" borderId="1" xfId="4" applyNumberFormat="1" applyFont="1" applyFill="1" applyBorder="1" applyProtection="1"/>
    <xf numFmtId="37" fontId="9" fillId="0" borderId="11" xfId="4" applyNumberFormat="1" applyFont="1" applyFill="1" applyBorder="1" applyProtection="1">
      <protection locked="0"/>
    </xf>
    <xf numFmtId="174" fontId="12" fillId="0" borderId="0" xfId="4" applyNumberFormat="1" applyFont="1" applyFill="1" applyAlignment="1" applyProtection="1">
      <alignment horizontal="right"/>
    </xf>
    <xf numFmtId="37" fontId="9" fillId="0" borderId="13" xfId="4" applyNumberFormat="1" applyFont="1" applyFill="1" applyBorder="1" applyProtection="1"/>
    <xf numFmtId="164" fontId="8" fillId="0" borderId="0" xfId="4" applyNumberFormat="1" applyFont="1"/>
    <xf numFmtId="175" fontId="8" fillId="0" borderId="0" xfId="4" applyNumberFormat="1" applyFont="1"/>
    <xf numFmtId="37" fontId="9" fillId="0" borderId="12" xfId="4" applyNumberFormat="1" applyFont="1" applyFill="1" applyBorder="1" applyProtection="1">
      <protection locked="0"/>
    </xf>
    <xf numFmtId="0" fontId="8" fillId="0" borderId="0" xfId="0" applyFont="1"/>
    <xf numFmtId="37" fontId="9" fillId="0" borderId="2" xfId="4" applyNumberFormat="1" applyFont="1" applyFill="1" applyBorder="1" applyProtection="1">
      <protection locked="0"/>
    </xf>
    <xf numFmtId="165" fontId="9" fillId="0" borderId="12" xfId="1" applyNumberFormat="1" applyFont="1" applyFill="1" applyBorder="1"/>
    <xf numFmtId="37" fontId="9" fillId="0" borderId="0" xfId="4" applyNumberFormat="1" applyFont="1" applyFill="1" applyBorder="1" applyProtection="1">
      <protection locked="0"/>
    </xf>
    <xf numFmtId="37" fontId="9" fillId="0" borderId="1" xfId="4" applyNumberFormat="1" applyFont="1" applyFill="1" applyBorder="1" applyProtection="1"/>
    <xf numFmtId="9" fontId="5" fillId="0" borderId="0" xfId="3" applyNumberFormat="1" applyFont="1"/>
    <xf numFmtId="9" fontId="5" fillId="0" borderId="0" xfId="4" applyNumberFormat="1"/>
    <xf numFmtId="5" fontId="9" fillId="0" borderId="0" xfId="4" applyNumberFormat="1" applyFont="1" applyFill="1" applyProtection="1">
      <protection locked="0"/>
    </xf>
    <xf numFmtId="37" fontId="9" fillId="0" borderId="14" xfId="4" applyNumberFormat="1" applyFont="1" applyFill="1" applyBorder="1" applyProtection="1"/>
    <xf numFmtId="173" fontId="9" fillId="0" borderId="0" xfId="1" applyNumberFormat="1" applyFont="1" applyFill="1"/>
    <xf numFmtId="173" fontId="9" fillId="0" borderId="11" xfId="1" applyNumberFormat="1" applyFont="1" applyFill="1" applyBorder="1"/>
    <xf numFmtId="0" fontId="0" fillId="0" borderId="0" xfId="0" applyAlignment="1"/>
    <xf numFmtId="37" fontId="7" fillId="0" borderId="0" xfId="5" quotePrefix="1" applyNumberFormat="1" applyFont="1" applyAlignment="1">
      <alignment horizontal="center"/>
    </xf>
    <xf numFmtId="37" fontId="7" fillId="0" borderId="0" xfId="5" quotePrefix="1" applyNumberFormat="1" applyFont="1" applyFill="1" applyAlignment="1">
      <alignment horizontal="center"/>
    </xf>
    <xf numFmtId="173" fontId="5" fillId="0" borderId="0" xfId="1" applyNumberFormat="1" applyFont="1" applyFill="1"/>
    <xf numFmtId="5" fontId="5" fillId="0" borderId="0" xfId="2" applyNumberFormat="1" applyFont="1" applyFill="1"/>
    <xf numFmtId="5" fontId="5" fillId="0" borderId="0" xfId="5" applyNumberFormat="1" applyFill="1"/>
    <xf numFmtId="5" fontId="5" fillId="0" borderId="1" xfId="2" applyNumberFormat="1" applyFont="1" applyFill="1" applyBorder="1"/>
    <xf numFmtId="5" fontId="5" fillId="0" borderId="0" xfId="2" applyNumberFormat="1" applyFont="1" applyFill="1" applyBorder="1"/>
    <xf numFmtId="5" fontId="5" fillId="0" borderId="0" xfId="5" applyNumberFormat="1" applyFill="1" applyBorder="1"/>
    <xf numFmtId="177" fontId="5" fillId="0" borderId="0" xfId="2" applyNumberFormat="1" applyFont="1" applyFill="1"/>
    <xf numFmtId="177" fontId="5" fillId="0" borderId="0" xfId="5" applyNumberFormat="1" applyFill="1"/>
    <xf numFmtId="5" fontId="5" fillId="0" borderId="11" xfId="2" applyNumberFormat="1" applyFont="1" applyFill="1" applyBorder="1"/>
    <xf numFmtId="0" fontId="9" fillId="0" borderId="1" xfId="6" applyFont="1" applyBorder="1" applyAlignment="1" applyProtection="1">
      <alignment horizontal="center"/>
      <protection locked="0"/>
    </xf>
    <xf numFmtId="166" fontId="9" fillId="0" borderId="0" xfId="6" applyNumberFormat="1" applyFont="1" applyProtection="1">
      <protection locked="0"/>
    </xf>
    <xf numFmtId="164" fontId="9" fillId="0" borderId="3" xfId="4" applyNumberFormat="1" applyFont="1" applyFill="1" applyBorder="1"/>
    <xf numFmtId="164" fontId="9" fillId="0" borderId="5" xfId="4" applyNumberFormat="1" applyFont="1" applyBorder="1"/>
    <xf numFmtId="164" fontId="9" fillId="0" borderId="8" xfId="4" applyNumberFormat="1" applyFont="1" applyBorder="1"/>
    <xf numFmtId="164" fontId="38" fillId="0" borderId="9" xfId="4" applyNumberFormat="1" applyFont="1" applyBorder="1"/>
    <xf numFmtId="164" fontId="9" fillId="0" borderId="5" xfId="4" applyNumberFormat="1" applyFont="1" applyFill="1" applyBorder="1"/>
    <xf numFmtId="164" fontId="5" fillId="0" borderId="7" xfId="4" applyNumberFormat="1" applyBorder="1"/>
    <xf numFmtId="164" fontId="9" fillId="0" borderId="9" xfId="4" applyNumberFormat="1" applyFont="1" applyFill="1" applyBorder="1"/>
    <xf numFmtId="10" fontId="5" fillId="0" borderId="10" xfId="3" applyNumberFormat="1" applyFont="1" applyBorder="1"/>
    <xf numFmtId="164" fontId="5" fillId="0" borderId="4" xfId="4" applyNumberFormat="1" applyFont="1" applyBorder="1"/>
    <xf numFmtId="164" fontId="9" fillId="0" borderId="0" xfId="4" applyNumberFormat="1" applyFont="1" applyBorder="1"/>
    <xf numFmtId="7" fontId="9" fillId="0" borderId="5" xfId="4" applyNumberFormat="1" applyFont="1" applyFill="1" applyBorder="1" applyProtection="1">
      <protection locked="0"/>
    </xf>
    <xf numFmtId="164" fontId="5" fillId="0" borderId="6" xfId="4" applyNumberFormat="1" applyFont="1" applyBorder="1"/>
    <xf numFmtId="5" fontId="5" fillId="0" borderId="3" xfId="4" applyNumberFormat="1" applyFill="1" applyBorder="1" applyProtection="1"/>
    <xf numFmtId="10" fontId="5" fillId="0" borderId="10" xfId="3" applyNumberFormat="1" applyFont="1" applyBorder="1" applyAlignment="1">
      <alignment horizontal="right"/>
    </xf>
    <xf numFmtId="164" fontId="7" fillId="0" borderId="0" xfId="5" applyFont="1" applyFill="1" applyBorder="1" applyAlignment="1">
      <alignment horizontal="center"/>
    </xf>
    <xf numFmtId="164" fontId="7" fillId="0" borderId="0" xfId="5" applyFont="1" applyFill="1" applyAlignment="1">
      <alignment horizontal="center"/>
    </xf>
    <xf numFmtId="164" fontId="7" fillId="0" borderId="0" xfId="5" applyFont="1" applyFill="1" applyBorder="1" applyAlignment="1">
      <alignment horizontal="centerContinuous"/>
    </xf>
    <xf numFmtId="164" fontId="7" fillId="0" borderId="1" xfId="5" quotePrefix="1" applyFont="1" applyFill="1" applyBorder="1" applyAlignment="1">
      <alignment horizontal="center"/>
    </xf>
    <xf numFmtId="164" fontId="7" fillId="0" borderId="0" xfId="5" applyFont="1"/>
    <xf numFmtId="164" fontId="7" fillId="0" borderId="0" xfId="5" applyFont="1" applyAlignment="1">
      <alignment horizontal="centerContinuous"/>
    </xf>
    <xf numFmtId="10" fontId="6" fillId="0" borderId="0" xfId="4" applyNumberFormat="1" applyFont="1" applyFill="1" applyAlignment="1">
      <alignment horizontal="centerContinuous"/>
    </xf>
    <xf numFmtId="5" fontId="9" fillId="0" borderId="0" xfId="4" applyNumberFormat="1" applyFont="1" applyFill="1" applyAlignment="1">
      <alignment horizontal="centerContinuous"/>
    </xf>
    <xf numFmtId="10" fontId="9" fillId="0" borderId="0" xfId="4" applyNumberFormat="1" applyFont="1" applyFill="1"/>
    <xf numFmtId="5" fontId="9" fillId="0" borderId="0" xfId="4" applyNumberFormat="1" applyFont="1" applyFill="1"/>
    <xf numFmtId="164" fontId="10" fillId="0" borderId="0" xfId="4" applyNumberFormat="1" applyFont="1" applyFill="1" applyBorder="1" applyAlignment="1">
      <alignment horizontal="center"/>
    </xf>
    <xf numFmtId="5" fontId="10" fillId="0" borderId="0" xfId="4" applyNumberFormat="1" applyFont="1" applyFill="1" applyAlignment="1">
      <alignment horizontal="center"/>
    </xf>
    <xf numFmtId="164" fontId="10" fillId="0" borderId="1" xfId="4" applyNumberFormat="1" applyFont="1" applyFill="1" applyBorder="1" applyAlignment="1">
      <alignment horizontal="centerContinuous"/>
    </xf>
    <xf numFmtId="10" fontId="10" fillId="0" borderId="1" xfId="4" applyNumberFormat="1" applyFont="1" applyFill="1" applyBorder="1" applyAlignment="1">
      <alignment horizontal="centerContinuous"/>
    </xf>
    <xf numFmtId="5" fontId="10" fillId="0" borderId="1" xfId="4" applyNumberFormat="1" applyFont="1" applyFill="1" applyBorder="1" applyAlignment="1">
      <alignment horizontal="centerContinuous"/>
    </xf>
    <xf numFmtId="10" fontId="10" fillId="0" borderId="0" xfId="4" applyNumberFormat="1" applyFont="1" applyFill="1" applyAlignment="1">
      <alignment horizontal="center"/>
    </xf>
    <xf numFmtId="10" fontId="10" fillId="0" borderId="2" xfId="4" applyNumberFormat="1" applyFont="1" applyFill="1" applyBorder="1" applyAlignment="1">
      <alignment horizontal="center"/>
    </xf>
    <xf numFmtId="7" fontId="9" fillId="0" borderId="0" xfId="4" applyNumberFormat="1" applyFont="1" applyFill="1" applyBorder="1" applyProtection="1">
      <protection locked="0"/>
    </xf>
    <xf numFmtId="167" fontId="9" fillId="0" borderId="0" xfId="4" applyNumberFormat="1" applyFont="1" applyFill="1" applyProtection="1">
      <protection locked="0"/>
    </xf>
    <xf numFmtId="0" fontId="9" fillId="0" borderId="0" xfId="0" applyFont="1" applyBorder="1"/>
    <xf numFmtId="10" fontId="9" fillId="0" borderId="0" xfId="3" applyNumberFormat="1" applyFont="1" applyBorder="1"/>
    <xf numFmtId="168" fontId="9" fillId="0" borderId="0" xfId="4" applyNumberFormat="1" applyFont="1" applyFill="1" applyProtection="1">
      <protection locked="0"/>
    </xf>
    <xf numFmtId="7" fontId="9" fillId="0" borderId="0" xfId="4" applyNumberFormat="1" applyFont="1" applyFill="1" applyProtection="1"/>
    <xf numFmtId="10" fontId="9" fillId="0" borderId="0" xfId="4" applyNumberFormat="1" applyFont="1" applyFill="1" applyProtection="1"/>
    <xf numFmtId="10" fontId="9" fillId="0" borderId="11" xfId="4" applyNumberFormat="1" applyFont="1" applyFill="1" applyBorder="1"/>
    <xf numFmtId="10" fontId="9" fillId="0" borderId="0" xfId="3" applyNumberFormat="1" applyFont="1" applyFill="1"/>
    <xf numFmtId="10" fontId="9" fillId="0" borderId="0" xfId="3" applyNumberFormat="1" applyFont="1" applyFill="1" applyBorder="1"/>
    <xf numFmtId="168" fontId="9" fillId="0" borderId="0" xfId="4" applyNumberFormat="1" applyFont="1" applyFill="1" applyBorder="1" applyProtection="1">
      <protection locked="0"/>
    </xf>
    <xf numFmtId="10" fontId="9" fillId="0" borderId="0" xfId="4" applyNumberFormat="1" applyFont="1" applyFill="1" applyBorder="1" applyProtection="1">
      <protection locked="0"/>
    </xf>
    <xf numFmtId="171" fontId="9" fillId="0" borderId="0" xfId="4" applyNumberFormat="1" applyFont="1" applyFill="1" applyProtection="1">
      <protection locked="0"/>
    </xf>
    <xf numFmtId="10" fontId="9" fillId="0" borderId="12" xfId="4" applyNumberFormat="1" applyFont="1" applyFill="1" applyBorder="1"/>
    <xf numFmtId="168" fontId="9" fillId="0" borderId="12" xfId="4" applyNumberFormat="1" applyFont="1" applyFill="1" applyBorder="1" applyProtection="1"/>
    <xf numFmtId="168" fontId="9" fillId="0" borderId="0" xfId="4" applyNumberFormat="1" applyFont="1" applyFill="1" applyBorder="1" applyProtection="1"/>
    <xf numFmtId="10" fontId="9" fillId="0" borderId="1" xfId="4" applyNumberFormat="1" applyFont="1" applyFill="1" applyBorder="1"/>
    <xf numFmtId="169" fontId="9" fillId="0" borderId="0" xfId="4" applyNumberFormat="1" applyFont="1" applyFill="1" applyProtection="1">
      <protection locked="0"/>
    </xf>
    <xf numFmtId="164" fontId="9" fillId="0" borderId="0" xfId="4" applyNumberFormat="1" applyFont="1" applyFill="1" applyProtection="1">
      <protection locked="0"/>
    </xf>
    <xf numFmtId="171" fontId="9" fillId="0" borderId="0" xfId="4" applyNumberFormat="1" applyFont="1" applyFill="1" applyProtection="1"/>
    <xf numFmtId="10" fontId="9" fillId="0" borderId="2" xfId="4" applyNumberFormat="1" applyFont="1" applyFill="1" applyBorder="1"/>
    <xf numFmtId="10" fontId="9" fillId="0" borderId="0" xfId="4" applyNumberFormat="1" applyFont="1" applyFill="1" applyBorder="1" applyProtection="1"/>
    <xf numFmtId="165" fontId="9" fillId="0" borderId="0" xfId="1" applyNumberFormat="1" applyFont="1" applyFill="1" applyBorder="1"/>
    <xf numFmtId="10" fontId="9" fillId="0" borderId="12" xfId="1" applyNumberFormat="1" applyFont="1" applyFill="1" applyBorder="1"/>
    <xf numFmtId="172" fontId="9" fillId="0" borderId="0" xfId="1" applyNumberFormat="1" applyFont="1" applyFill="1" applyBorder="1" applyProtection="1">
      <protection locked="0"/>
    </xf>
    <xf numFmtId="10" fontId="9" fillId="0" borderId="0" xfId="1" applyNumberFormat="1" applyFont="1" applyFill="1" applyBorder="1" applyProtection="1">
      <protection locked="0"/>
    </xf>
    <xf numFmtId="10" fontId="9" fillId="0" borderId="0" xfId="4" applyNumberFormat="1" applyFont="1" applyFill="1" applyBorder="1"/>
    <xf numFmtId="172" fontId="9" fillId="0" borderId="0" xfId="1" applyNumberFormat="1" applyFont="1" applyFill="1" applyProtection="1">
      <protection locked="0"/>
    </xf>
    <xf numFmtId="10" fontId="9" fillId="0" borderId="0" xfId="1" applyNumberFormat="1" applyFont="1" applyFill="1" applyProtection="1">
      <protection locked="0"/>
    </xf>
    <xf numFmtId="176" fontId="9" fillId="0" borderId="0" xfId="4" applyNumberFormat="1" applyFont="1" applyFill="1" applyProtection="1">
      <protection locked="0"/>
    </xf>
    <xf numFmtId="176" fontId="9" fillId="0" borderId="0" xfId="4" applyNumberFormat="1" applyFont="1" applyFill="1" applyBorder="1" applyProtection="1">
      <protection locked="0"/>
    </xf>
    <xf numFmtId="176" fontId="9" fillId="0" borderId="0" xfId="4" applyNumberFormat="1" applyFont="1" applyFill="1" applyBorder="1" applyProtection="1"/>
    <xf numFmtId="164" fontId="9" fillId="0" borderId="0" xfId="4" applyNumberFormat="1" applyFont="1" applyFill="1" applyProtection="1"/>
    <xf numFmtId="164" fontId="9" fillId="0" borderId="0" xfId="4" applyNumberFormat="1" applyFont="1" applyFill="1" applyBorder="1" applyProtection="1"/>
    <xf numFmtId="172" fontId="9" fillId="0" borderId="0" xfId="1" applyNumberFormat="1" applyFont="1" applyFill="1" applyProtection="1"/>
    <xf numFmtId="172" fontId="9" fillId="0" borderId="0" xfId="1" applyNumberFormat="1" applyFont="1" applyFill="1" applyBorder="1" applyProtection="1"/>
    <xf numFmtId="168" fontId="9" fillId="0" borderId="11" xfId="4" applyNumberFormat="1" applyFont="1" applyFill="1" applyBorder="1" applyProtection="1"/>
    <xf numFmtId="164" fontId="9" fillId="0" borderId="0" xfId="4" applyNumberFormat="1" applyFont="1" applyFill="1" applyBorder="1" applyProtection="1">
      <protection locked="0"/>
    </xf>
    <xf numFmtId="3" fontId="5" fillId="0" borderId="0" xfId="4" applyNumberFormat="1" applyBorder="1" applyAlignment="1">
      <alignment horizontal="centerContinuous"/>
    </xf>
    <xf numFmtId="3" fontId="5" fillId="0" borderId="0" xfId="4" applyNumberFormat="1" applyBorder="1" applyAlignment="1">
      <alignment horizontal="center"/>
    </xf>
    <xf numFmtId="10" fontId="9" fillId="0" borderId="3" xfId="4" applyNumberFormat="1" applyFont="1" applyFill="1" applyBorder="1" applyAlignment="1">
      <alignment horizontal="right"/>
    </xf>
    <xf numFmtId="164" fontId="13" fillId="0" borderId="4" xfId="4" applyNumberFormat="1" applyFont="1" applyFill="1" applyBorder="1"/>
    <xf numFmtId="164" fontId="7" fillId="0" borderId="0" xfId="5" applyFont="1" applyFill="1" applyAlignment="1">
      <alignment horizontal="centerContinuous"/>
    </xf>
    <xf numFmtId="164" fontId="5" fillId="0" borderId="0" xfId="5" applyFill="1" applyAlignment="1">
      <alignment horizontal="centerContinuous"/>
    </xf>
    <xf numFmtId="164" fontId="5" fillId="0" borderId="0" xfId="5"/>
    <xf numFmtId="164" fontId="5" fillId="0" borderId="0" xfId="5" applyAlignment="1">
      <alignment horizontal="centerContinuous"/>
    </xf>
    <xf numFmtId="164" fontId="5" fillId="0" borderId="0" xfId="5" applyFill="1"/>
    <xf numFmtId="164" fontId="7" fillId="0" borderId="0" xfId="5" applyFont="1" applyAlignment="1">
      <alignment horizontal="center"/>
    </xf>
    <xf numFmtId="164" fontId="7" fillId="0" borderId="1" xfId="5" applyFont="1" applyBorder="1" applyAlignment="1">
      <alignment horizontal="center"/>
    </xf>
    <xf numFmtId="164" fontId="7" fillId="0" borderId="0" xfId="5" applyFont="1" applyFill="1"/>
    <xf numFmtId="164" fontId="5" fillId="0" borderId="0" xfId="5" applyFont="1" applyAlignment="1">
      <alignment horizontal="right"/>
    </xf>
    <xf numFmtId="164" fontId="5" fillId="0" borderId="0" xfId="5" applyAlignment="1">
      <alignment horizontal="right"/>
    </xf>
    <xf numFmtId="164" fontId="5" fillId="0" borderId="0" xfId="5" applyFont="1"/>
    <xf numFmtId="164" fontId="5" fillId="0" borderId="0" xfId="5" applyBorder="1" applyAlignment="1">
      <alignment horizontal="right"/>
    </xf>
    <xf numFmtId="176" fontId="5" fillId="0" borderId="0" xfId="2" applyNumberFormat="1" applyFont="1" applyFill="1"/>
    <xf numFmtId="164" fontId="5" fillId="0" borderId="0" xfId="5" quotePrefix="1" applyAlignment="1">
      <alignment horizontal="right"/>
    </xf>
    <xf numFmtId="164" fontId="15" fillId="0" borderId="0" xfId="5" applyFont="1"/>
    <xf numFmtId="164" fontId="5" fillId="0" borderId="0" xfId="5" applyBorder="1"/>
    <xf numFmtId="164" fontId="5" fillId="0" borderId="0" xfId="5" applyFill="1" applyBorder="1"/>
    <xf numFmtId="164" fontId="5" fillId="0" borderId="0" xfId="4"/>
    <xf numFmtId="164" fontId="8" fillId="0" borderId="0" xfId="4" applyFont="1" applyFill="1"/>
    <xf numFmtId="164" fontId="5" fillId="0" borderId="0" xfId="4" applyBorder="1"/>
    <xf numFmtId="164" fontId="15" fillId="0" borderId="0" xfId="4" applyFont="1"/>
    <xf numFmtId="164" fontId="5" fillId="0" borderId="0" xfId="4" applyFont="1"/>
    <xf numFmtId="164" fontId="8" fillId="0" borderId="0" xfId="4" applyFont="1"/>
    <xf numFmtId="164" fontId="6" fillId="0" borderId="0" xfId="4" applyFont="1" applyFill="1" applyAlignment="1">
      <alignment horizontal="centerContinuous"/>
    </xf>
    <xf numFmtId="164" fontId="6" fillId="0" borderId="0" xfId="4" applyFont="1" applyFill="1" applyBorder="1" applyAlignment="1">
      <alignment horizontal="centerContinuous"/>
    </xf>
    <xf numFmtId="164" fontId="9" fillId="0" borderId="0" xfId="4" applyFont="1" applyFill="1" applyBorder="1"/>
    <xf numFmtId="164" fontId="9" fillId="0" borderId="0" xfId="4" applyFont="1" applyFill="1"/>
    <xf numFmtId="164" fontId="10" fillId="0" borderId="1" xfId="4" applyFont="1" applyFill="1" applyBorder="1" applyAlignment="1">
      <alignment horizontal="centerContinuous"/>
    </xf>
    <xf numFmtId="164" fontId="10" fillId="0" borderId="0" xfId="4" applyFont="1" applyFill="1" applyAlignment="1">
      <alignment horizontal="center"/>
    </xf>
    <xf numFmtId="164" fontId="10" fillId="0" borderId="2" xfId="4" applyFont="1" applyFill="1" applyBorder="1" applyAlignment="1">
      <alignment horizontal="center"/>
    </xf>
    <xf numFmtId="164" fontId="39" fillId="0" borderId="0" xfId="4" applyFont="1" applyFill="1" applyBorder="1"/>
    <xf numFmtId="164" fontId="9" fillId="0" borderId="11" xfId="4" applyFont="1" applyFill="1" applyBorder="1"/>
    <xf numFmtId="164" fontId="9" fillId="0" borderId="12" xfId="4" applyFont="1" applyFill="1" applyBorder="1"/>
    <xf numFmtId="164" fontId="9" fillId="0" borderId="1" xfId="4" applyFont="1" applyFill="1" applyBorder="1"/>
    <xf numFmtId="164" fontId="9" fillId="0" borderId="2" xfId="4" applyFont="1" applyFill="1" applyBorder="1"/>
    <xf numFmtId="171" fontId="9" fillId="0" borderId="0" xfId="4" applyNumberFormat="1" applyFont="1" applyFill="1" applyBorder="1" applyProtection="1"/>
    <xf numFmtId="10" fontId="9" fillId="0" borderId="0" xfId="1" applyNumberFormat="1" applyFont="1" applyFill="1" applyBorder="1"/>
    <xf numFmtId="164" fontId="7" fillId="0" borderId="0" xfId="5" applyFont="1" applyFill="1" applyAlignment="1">
      <alignment horizontal="left"/>
    </xf>
    <xf numFmtId="164" fontId="5" fillId="0" borderId="0" xfId="5" applyFill="1" applyBorder="1" applyAlignment="1">
      <alignment horizontal="centerContinuous"/>
    </xf>
    <xf numFmtId="5" fontId="9" fillId="0" borderId="11" xfId="2" applyNumberFormat="1" applyFont="1" applyFill="1" applyBorder="1"/>
    <xf numFmtId="164" fontId="7" fillId="0" borderId="1" xfId="5" applyFont="1" applyBorder="1" applyAlignment="1">
      <alignment horizontal="centerContinuous"/>
    </xf>
    <xf numFmtId="164" fontId="9" fillId="0" borderId="0" xfId="5" applyFont="1"/>
    <xf numFmtId="164" fontId="9" fillId="0" borderId="0" xfId="5" applyFont="1" applyFill="1" applyAlignment="1">
      <alignment horizontal="centerContinuous"/>
    </xf>
    <xf numFmtId="164" fontId="9" fillId="0" borderId="0" xfId="5" applyFont="1" applyFill="1" applyBorder="1" applyAlignment="1">
      <alignment horizontal="centerContinuous"/>
    </xf>
    <xf numFmtId="164" fontId="10" fillId="0" borderId="0" xfId="5" applyFont="1" applyFill="1" applyBorder="1" applyAlignment="1">
      <alignment horizontal="centerContinuous"/>
    </xf>
    <xf numFmtId="164" fontId="10" fillId="0" borderId="1" xfId="5" quotePrefix="1" applyFont="1" applyFill="1" applyBorder="1" applyAlignment="1">
      <alignment horizontal="center"/>
    </xf>
    <xf numFmtId="164" fontId="10" fillId="0" borderId="0" xfId="5" applyFont="1" applyFill="1" applyAlignment="1">
      <alignment horizontal="center"/>
    </xf>
    <xf numFmtId="164" fontId="9" fillId="0" borderId="0" xfId="5" applyFont="1" applyFill="1"/>
    <xf numFmtId="5" fontId="9" fillId="0" borderId="0" xfId="2" applyNumberFormat="1" applyFont="1" applyFill="1"/>
    <xf numFmtId="5" fontId="9" fillId="0" borderId="1" xfId="2" applyNumberFormat="1" applyFont="1" applyFill="1" applyBorder="1"/>
    <xf numFmtId="166" fontId="9" fillId="0" borderId="0" xfId="2" applyNumberFormat="1" applyFont="1" applyFill="1"/>
    <xf numFmtId="166" fontId="9" fillId="0" borderId="1" xfId="2" applyNumberFormat="1" applyFont="1" applyFill="1" applyBorder="1"/>
    <xf numFmtId="166" fontId="9" fillId="0" borderId="0" xfId="2" applyNumberFormat="1" applyFont="1" applyFill="1" applyBorder="1"/>
    <xf numFmtId="166" fontId="9" fillId="0" borderId="11" xfId="2" applyNumberFormat="1" applyFont="1" applyFill="1" applyBorder="1"/>
    <xf numFmtId="164" fontId="9" fillId="0" borderId="0" xfId="4" applyFont="1" applyFill="1" applyAlignment="1">
      <alignment horizontal="centerContinuous"/>
    </xf>
    <xf numFmtId="164" fontId="10" fillId="0" borderId="0" xfId="4" applyFont="1" applyFill="1" applyBorder="1" applyAlignment="1">
      <alignment horizontal="center"/>
    </xf>
    <xf numFmtId="164" fontId="9" fillId="0" borderId="0" xfId="4" applyFont="1" applyFill="1" applyAlignment="1">
      <alignment horizontal="left"/>
    </xf>
    <xf numFmtId="5" fontId="39" fillId="0" borderId="0" xfId="4" applyNumberFormat="1" applyFont="1" applyFill="1" applyProtection="1"/>
    <xf numFmtId="164" fontId="9" fillId="0" borderId="0" xfId="4" applyFont="1" applyFill="1" applyBorder="1" applyAlignment="1">
      <alignment horizontal="left"/>
    </xf>
    <xf numFmtId="164" fontId="9" fillId="0" borderId="0" xfId="4" applyFont="1"/>
    <xf numFmtId="164" fontId="9" fillId="0" borderId="0" xfId="4" applyFont="1" applyBorder="1"/>
    <xf numFmtId="180" fontId="11" fillId="0" borderId="0" xfId="186" applyFont="1" applyFill="1"/>
    <xf numFmtId="180" fontId="40" fillId="0" borderId="0" xfId="186" applyFont="1" applyFill="1" applyAlignment="1">
      <alignment horizontal="center"/>
    </xf>
    <xf numFmtId="180" fontId="11" fillId="0" borderId="0" xfId="186" applyFont="1" applyFill="1" applyAlignment="1">
      <alignment horizontal="centerContinuous"/>
    </xf>
    <xf numFmtId="173" fontId="11" fillId="0" borderId="0" xfId="186" applyNumberFormat="1" applyFont="1" applyFill="1"/>
    <xf numFmtId="180" fontId="40" fillId="0" borderId="0" xfId="186" applyFont="1" applyFill="1"/>
    <xf numFmtId="180" fontId="11" fillId="0" borderId="0" xfId="186" applyFont="1" applyFill="1" applyAlignment="1">
      <alignment horizontal="center"/>
    </xf>
    <xf numFmtId="10" fontId="13" fillId="0" borderId="0" xfId="4" applyNumberFormat="1" applyFont="1" applyFill="1"/>
    <xf numFmtId="164" fontId="13" fillId="0" borderId="0" xfId="5" applyFont="1" applyFill="1" applyBorder="1"/>
    <xf numFmtId="3" fontId="48" fillId="0" borderId="0" xfId="214" applyNumberFormat="1" applyFont="1" applyAlignment="1">
      <alignment horizontal="centerContinuous"/>
    </xf>
    <xf numFmtId="0" fontId="49" fillId="0" borderId="0" xfId="214" applyFont="1" applyAlignment="1">
      <alignment horizontal="centerContinuous"/>
    </xf>
    <xf numFmtId="178" fontId="49" fillId="0" borderId="0" xfId="214" applyNumberFormat="1" applyFont="1" applyAlignment="1">
      <alignment horizontal="centerContinuous"/>
    </xf>
    <xf numFmtId="7" fontId="49" fillId="0" borderId="0" xfId="214" applyNumberFormat="1" applyFont="1" applyAlignment="1">
      <alignment horizontal="centerContinuous"/>
    </xf>
    <xf numFmtId="0" fontId="49" fillId="0" borderId="0" xfId="214" applyFont="1" applyBorder="1" applyAlignment="1">
      <alignment horizontal="centerContinuous"/>
    </xf>
    <xf numFmtId="0" fontId="49" fillId="0" borderId="0" xfId="214" applyFont="1" applyBorder="1"/>
    <xf numFmtId="164" fontId="7" fillId="0" borderId="0" xfId="4" applyFont="1" applyFill="1" applyBorder="1" applyAlignment="1">
      <alignment horizontal="right"/>
    </xf>
    <xf numFmtId="9" fontId="7" fillId="0" borderId="0" xfId="4" applyNumberFormat="1" applyFont="1" applyBorder="1" applyAlignment="1">
      <alignment horizontal="right"/>
    </xf>
    <xf numFmtId="0" fontId="49" fillId="0" borderId="0" xfId="214" applyFont="1"/>
    <xf numFmtId="10" fontId="7" fillId="0" borderId="0" xfId="4" applyNumberFormat="1" applyFont="1" applyBorder="1" applyAlignment="1">
      <alignment horizontal="right"/>
    </xf>
    <xf numFmtId="164" fontId="7" fillId="0" borderId="0" xfId="4" applyFont="1" applyFill="1" applyBorder="1"/>
    <xf numFmtId="165" fontId="7" fillId="0" borderId="0" xfId="4" applyNumberFormat="1" applyFont="1" applyBorder="1"/>
    <xf numFmtId="178" fontId="49" fillId="0" borderId="0" xfId="214" applyNumberFormat="1" applyFont="1" applyBorder="1"/>
    <xf numFmtId="178" fontId="50" fillId="0" borderId="0" xfId="214" applyNumberFormat="1" applyFont="1" applyBorder="1" applyAlignment="1">
      <alignment horizontal="centerContinuous"/>
    </xf>
    <xf numFmtId="3" fontId="49" fillId="0" borderId="0" xfId="214" applyNumberFormat="1" applyFont="1"/>
    <xf numFmtId="178" fontId="49" fillId="0" borderId="0" xfId="214" applyNumberFormat="1" applyFont="1"/>
    <xf numFmtId="178" fontId="49" fillId="0" borderId="0" xfId="214" applyNumberFormat="1" applyFont="1" applyBorder="1" applyAlignment="1">
      <alignment horizontal="centerContinuous"/>
    </xf>
    <xf numFmtId="178" fontId="50" fillId="0" borderId="1" xfId="214" applyNumberFormat="1" applyFont="1" applyBorder="1" applyAlignment="1">
      <alignment horizontal="centerContinuous"/>
    </xf>
    <xf numFmtId="0" fontId="11" fillId="0" borderId="1" xfId="214" applyBorder="1" applyAlignment="1">
      <alignment horizontal="centerContinuous"/>
    </xf>
    <xf numFmtId="178" fontId="49" fillId="0" borderId="1" xfId="214" applyNumberFormat="1" applyFont="1" applyBorder="1" applyAlignment="1">
      <alignment horizontal="centerContinuous"/>
    </xf>
    <xf numFmtId="0" fontId="49" fillId="0" borderId="1" xfId="214" applyFont="1" applyBorder="1" applyAlignment="1">
      <alignment horizontal="centerContinuous"/>
    </xf>
    <xf numFmtId="7" fontId="49" fillId="0" borderId="1" xfId="214" applyNumberFormat="1" applyFont="1" applyBorder="1" applyAlignment="1">
      <alignment horizontal="centerContinuous"/>
    </xf>
    <xf numFmtId="7" fontId="49" fillId="0" borderId="0" xfId="214" applyNumberFormat="1" applyFont="1"/>
    <xf numFmtId="3" fontId="52" fillId="0" borderId="0" xfId="214" applyNumberFormat="1" applyFont="1" applyAlignment="1">
      <alignment horizontal="center"/>
    </xf>
    <xf numFmtId="178" fontId="49" fillId="0" borderId="23" xfId="214" applyNumberFormat="1" applyFont="1" applyBorder="1" applyAlignment="1">
      <alignment horizontal="centerContinuous"/>
    </xf>
    <xf numFmtId="178" fontId="49" fillId="0" borderId="23" xfId="214" applyNumberFormat="1" applyFont="1" applyBorder="1" applyAlignment="1">
      <alignment horizontal="centerContinuous" wrapText="1"/>
    </xf>
    <xf numFmtId="7" fontId="49" fillId="0" borderId="1" xfId="214" applyNumberFormat="1" applyFont="1" applyBorder="1" applyAlignment="1">
      <alignment horizontal="center"/>
    </xf>
    <xf numFmtId="0" fontId="49" fillId="0" borderId="1" xfId="214" applyFont="1" applyBorder="1" applyAlignment="1">
      <alignment horizontal="center"/>
    </xf>
    <xf numFmtId="0" fontId="49" fillId="0" borderId="0" xfId="214" applyFont="1" applyAlignment="1">
      <alignment horizontal="center"/>
    </xf>
    <xf numFmtId="7" fontId="49" fillId="0" borderId="0" xfId="3" applyNumberFormat="1" applyFont="1"/>
    <xf numFmtId="166" fontId="49" fillId="0" borderId="0" xfId="3" applyNumberFormat="1" applyFont="1"/>
    <xf numFmtId="0" fontId="50" fillId="0" borderId="3" xfId="214" applyFont="1" applyBorder="1"/>
    <xf numFmtId="0" fontId="50" fillId="0" borderId="23" xfId="214" applyFont="1" applyBorder="1" applyAlignment="1">
      <alignment horizontal="center"/>
    </xf>
    <xf numFmtId="0" fontId="50" fillId="0" borderId="4" xfId="214" applyFont="1" applyBorder="1" applyAlignment="1">
      <alignment horizontal="center"/>
    </xf>
    <xf numFmtId="39" fontId="49" fillId="0" borderId="0" xfId="214" applyNumberFormat="1" applyFont="1"/>
    <xf numFmtId="0" fontId="53" fillId="0" borderId="8" xfId="214" applyFont="1" applyBorder="1"/>
    <xf numFmtId="0" fontId="49" fillId="0" borderId="7" xfId="214" applyFont="1" applyBorder="1"/>
    <xf numFmtId="0" fontId="49" fillId="0" borderId="8" xfId="214" applyFont="1" applyBorder="1"/>
    <xf numFmtId="166" fontId="49" fillId="0" borderId="0" xfId="214" applyNumberFormat="1" applyFont="1"/>
    <xf numFmtId="7" fontId="49" fillId="0" borderId="0" xfId="214" applyNumberFormat="1" applyFont="1" applyBorder="1"/>
    <xf numFmtId="185" fontId="54" fillId="0" borderId="0" xfId="214" applyNumberFormat="1" applyFont="1" applyBorder="1"/>
    <xf numFmtId="0" fontId="49" fillId="0" borderId="9" xfId="214" applyFont="1" applyBorder="1"/>
    <xf numFmtId="10" fontId="49" fillId="0" borderId="1" xfId="3" applyNumberFormat="1" applyFont="1" applyBorder="1"/>
    <xf numFmtId="10" fontId="54" fillId="0" borderId="0" xfId="214" applyNumberFormat="1" applyFont="1" applyBorder="1"/>
    <xf numFmtId="9" fontId="49" fillId="0" borderId="0" xfId="214" applyNumberFormat="1" applyFont="1"/>
    <xf numFmtId="3" fontId="51" fillId="0" borderId="0" xfId="214" applyNumberFormat="1" applyFont="1"/>
    <xf numFmtId="0" fontId="49" fillId="0" borderId="5" xfId="214" applyFont="1" applyBorder="1" applyAlignment="1">
      <alignment horizontal="centerContinuous"/>
    </xf>
    <xf numFmtId="0" fontId="49" fillId="0" borderId="22" xfId="214" applyFont="1" applyBorder="1" applyAlignment="1">
      <alignment horizontal="centerContinuous"/>
    </xf>
    <xf numFmtId="0" fontId="49" fillId="0" borderId="3" xfId="214" applyFont="1" applyBorder="1" applyAlignment="1">
      <alignment horizontal="centerContinuous"/>
    </xf>
    <xf numFmtId="0" fontId="49" fillId="0" borderId="4" xfId="214" applyFont="1" applyBorder="1" applyAlignment="1">
      <alignment horizontal="centerContinuous"/>
    </xf>
    <xf numFmtId="0" fontId="49" fillId="0" borderId="3" xfId="214" applyFont="1" applyBorder="1" applyAlignment="1">
      <alignment horizontal="center"/>
    </xf>
    <xf numFmtId="0" fontId="49" fillId="0" borderId="9" xfId="214" applyFont="1" applyBorder="1" applyAlignment="1">
      <alignment horizontal="center"/>
    </xf>
    <xf numFmtId="0" fontId="49" fillId="0" borderId="25" xfId="214" applyFont="1" applyBorder="1" applyAlignment="1">
      <alignment horizontal="center"/>
    </xf>
    <xf numFmtId="0" fontId="49" fillId="0" borderId="26" xfId="214" applyFont="1" applyBorder="1"/>
    <xf numFmtId="1" fontId="49" fillId="0" borderId="0" xfId="214" applyNumberFormat="1" applyFont="1" applyBorder="1"/>
    <xf numFmtId="178" fontId="49" fillId="0" borderId="8" xfId="214" applyNumberFormat="1" applyFont="1" applyBorder="1"/>
    <xf numFmtId="166" fontId="49" fillId="0" borderId="26" xfId="3" applyNumberFormat="1" applyFont="1" applyBorder="1"/>
    <xf numFmtId="0" fontId="49" fillId="0" borderId="27" xfId="214" applyFont="1" applyBorder="1"/>
    <xf numFmtId="166" fontId="49" fillId="0" borderId="27" xfId="3" applyNumberFormat="1" applyFont="1" applyBorder="1"/>
    <xf numFmtId="3" fontId="49" fillId="0" borderId="0" xfId="214" applyNumberFormat="1" applyFont="1" applyBorder="1"/>
    <xf numFmtId="0" fontId="11" fillId="0" borderId="0" xfId="214" applyBorder="1" applyAlignment="1">
      <alignment horizontal="centerContinuous"/>
    </xf>
    <xf numFmtId="7" fontId="49" fillId="0" borderId="0" xfId="214" applyNumberFormat="1" applyFont="1" applyBorder="1" applyAlignment="1">
      <alignment horizontal="centerContinuous"/>
    </xf>
    <xf numFmtId="3" fontId="52" fillId="0" borderId="0" xfId="214" applyNumberFormat="1" applyFont="1" applyBorder="1" applyAlignment="1">
      <alignment horizontal="center"/>
    </xf>
    <xf numFmtId="178" fontId="49" fillId="0" borderId="0" xfId="214" applyNumberFormat="1" applyFont="1" applyBorder="1" applyAlignment="1">
      <alignment horizontal="centerContinuous" wrapText="1"/>
    </xf>
    <xf numFmtId="7" fontId="49" fillId="0" borderId="0" xfId="214" applyNumberFormat="1" applyFont="1" applyBorder="1" applyAlignment="1">
      <alignment horizontal="center"/>
    </xf>
    <xf numFmtId="0" fontId="49" fillId="0" borderId="0" xfId="214" applyFont="1" applyBorder="1" applyAlignment="1">
      <alignment horizontal="center"/>
    </xf>
    <xf numFmtId="166" fontId="49" fillId="0" borderId="0" xfId="3" applyNumberFormat="1" applyFont="1" applyBorder="1"/>
    <xf numFmtId="7" fontId="49" fillId="0" borderId="0" xfId="3" applyNumberFormat="1" applyFont="1" applyBorder="1"/>
    <xf numFmtId="164" fontId="7" fillId="0" borderId="0" xfId="5" applyNumberFormat="1" applyFont="1" applyAlignment="1">
      <alignment horizontal="centerContinuous"/>
    </xf>
    <xf numFmtId="164" fontId="7" fillId="0" borderId="0" xfId="5" applyNumberFormat="1" applyFont="1" applyFill="1" applyAlignment="1">
      <alignment horizontal="centerContinuous"/>
    </xf>
    <xf numFmtId="164" fontId="5" fillId="0" borderId="0" xfId="5" applyNumberFormat="1" applyFill="1" applyAlignment="1">
      <alignment horizontal="centerContinuous"/>
    </xf>
    <xf numFmtId="166" fontId="5" fillId="0" borderId="0" xfId="5" applyNumberFormat="1" applyFill="1" applyAlignment="1">
      <alignment horizontal="centerContinuous"/>
    </xf>
    <xf numFmtId="164" fontId="5" fillId="0" borderId="0" xfId="5" applyNumberFormat="1"/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64" fontId="5" fillId="0" borderId="0" xfId="5" applyNumberFormat="1" applyAlignment="1">
      <alignment horizontal="centerContinuous"/>
    </xf>
    <xf numFmtId="166" fontId="5" fillId="0" borderId="0" xfId="5" applyNumberFormat="1" applyAlignment="1">
      <alignment horizontal="centerContinuous"/>
    </xf>
    <xf numFmtId="164" fontId="7" fillId="0" borderId="0" xfId="5" applyNumberFormat="1" applyFont="1" applyFill="1" applyBorder="1" applyAlignment="1">
      <alignment horizontal="left"/>
    </xf>
    <xf numFmtId="164" fontId="7" fillId="0" borderId="0" xfId="5" applyNumberFormat="1" applyFont="1" applyFill="1" applyAlignment="1">
      <alignment horizontal="center"/>
    </xf>
    <xf numFmtId="164" fontId="5" fillId="0" borderId="0" xfId="5" applyNumberFormat="1" applyFill="1"/>
    <xf numFmtId="166" fontId="5" fillId="0" borderId="0" xfId="5" applyNumberFormat="1" applyFill="1"/>
    <xf numFmtId="164" fontId="7" fillId="0" borderId="0" xfId="5" applyNumberFormat="1" applyFont="1" applyAlignment="1">
      <alignment horizontal="center"/>
    </xf>
    <xf numFmtId="164" fontId="7" fillId="0" borderId="1" xfId="5" applyFont="1" applyFill="1" applyBorder="1" applyAlignment="1">
      <alignment horizontal="centerContinuous"/>
    </xf>
    <xf numFmtId="166" fontId="7" fillId="0" borderId="1" xfId="5" applyNumberFormat="1" applyFont="1" applyFill="1" applyBorder="1" applyAlignment="1">
      <alignment horizontal="centerContinuous"/>
    </xf>
    <xf numFmtId="164" fontId="7" fillId="0" borderId="0" xfId="5" applyNumberFormat="1" applyFont="1"/>
    <xf numFmtId="164" fontId="7" fillId="0" borderId="0" xfId="5" applyNumberFormat="1" applyFont="1" applyFill="1" applyBorder="1" applyAlignment="1">
      <alignment horizontal="center"/>
    </xf>
    <xf numFmtId="164" fontId="7" fillId="0" borderId="1" xfId="5" applyNumberFormat="1" applyFont="1" applyBorder="1" applyAlignment="1">
      <alignment horizontal="center"/>
    </xf>
    <xf numFmtId="164" fontId="7" fillId="0" borderId="1" xfId="5" applyNumberFormat="1" applyFont="1" applyFill="1" applyBorder="1" applyAlignment="1">
      <alignment horizontal="center"/>
    </xf>
    <xf numFmtId="166" fontId="7" fillId="0" borderId="1" xfId="5" applyNumberFormat="1" applyFont="1" applyFill="1" applyBorder="1" applyAlignment="1">
      <alignment horizontal="center"/>
    </xf>
    <xf numFmtId="164" fontId="7" fillId="0" borderId="0" xfId="5" applyNumberFormat="1" applyFont="1" applyFill="1"/>
    <xf numFmtId="166" fontId="7" fillId="0" borderId="0" xfId="5" applyNumberFormat="1" applyFont="1" applyFill="1" applyAlignment="1">
      <alignment horizontal="center"/>
    </xf>
    <xf numFmtId="164" fontId="5" fillId="0" borderId="0" xfId="5" applyNumberFormat="1" applyFont="1" applyAlignment="1">
      <alignment horizontal="right"/>
    </xf>
    <xf numFmtId="166" fontId="5" fillId="0" borderId="0" xfId="2" applyNumberFormat="1" applyFont="1" applyFill="1"/>
    <xf numFmtId="164" fontId="5" fillId="0" borderId="0" xfId="5" applyNumberFormat="1" applyFont="1"/>
    <xf numFmtId="164" fontId="5" fillId="0" borderId="0" xfId="5" applyNumberFormat="1" applyBorder="1" applyAlignment="1">
      <alignment horizontal="right"/>
    </xf>
    <xf numFmtId="164" fontId="5" fillId="0" borderId="1" xfId="5" applyNumberFormat="1" applyFill="1" applyBorder="1" applyAlignment="1">
      <alignment horizontal="right"/>
    </xf>
    <xf numFmtId="166" fontId="5" fillId="0" borderId="1" xfId="2" applyNumberFormat="1" applyFont="1" applyFill="1" applyBorder="1"/>
    <xf numFmtId="164" fontId="5" fillId="0" borderId="0" xfId="5" quotePrefix="1" applyNumberFormat="1" applyAlignment="1">
      <alignment horizontal="right"/>
    </xf>
    <xf numFmtId="164" fontId="5" fillId="0" borderId="0" xfId="5" applyNumberFormat="1" applyAlignment="1">
      <alignment horizontal="right"/>
    </xf>
    <xf numFmtId="173" fontId="5" fillId="0" borderId="1" xfId="1" applyNumberFormat="1" applyFont="1" applyFill="1" applyBorder="1"/>
    <xf numFmtId="164" fontId="15" fillId="0" borderId="0" xfId="5" applyNumberFormat="1" applyFont="1"/>
    <xf numFmtId="164" fontId="5" fillId="0" borderId="0" xfId="5" quotePrefix="1" applyNumberFormat="1" applyFont="1" applyAlignment="1">
      <alignment horizontal="right"/>
    </xf>
    <xf numFmtId="3" fontId="5" fillId="0" borderId="0" xfId="5" applyNumberFormat="1" applyFill="1"/>
    <xf numFmtId="164" fontId="5" fillId="0" borderId="0" xfId="5" applyNumberFormat="1" applyBorder="1"/>
    <xf numFmtId="164" fontId="5" fillId="0" borderId="0" xfId="5" applyNumberFormat="1" applyFill="1" applyBorder="1"/>
    <xf numFmtId="173" fontId="5" fillId="0" borderId="0" xfId="1" applyNumberFormat="1" applyFont="1" applyFill="1" applyBorder="1"/>
    <xf numFmtId="166" fontId="5" fillId="0" borderId="0" xfId="2" applyNumberFormat="1" applyFont="1" applyFill="1" applyBorder="1"/>
    <xf numFmtId="173" fontId="5" fillId="0" borderId="1" xfId="1" applyNumberFormat="1" applyFont="1" applyFill="1" applyBorder="1" applyAlignment="1">
      <alignment horizontal="right"/>
    </xf>
    <xf numFmtId="173" fontId="5" fillId="0" borderId="11" xfId="1" applyNumberFormat="1" applyFont="1" applyFill="1" applyBorder="1"/>
    <xf numFmtId="166" fontId="5" fillId="0" borderId="11" xfId="2" applyNumberFormat="1" applyFont="1" applyFill="1" applyBorder="1"/>
    <xf numFmtId="164" fontId="5" fillId="0" borderId="1" xfId="5" applyFill="1" applyBorder="1" applyAlignment="1">
      <alignment horizontal="right"/>
    </xf>
    <xf numFmtId="166" fontId="7" fillId="0" borderId="0" xfId="5" applyNumberFormat="1" applyFont="1" applyFill="1" applyAlignment="1">
      <alignment horizontal="centerContinuous"/>
    </xf>
    <xf numFmtId="166" fontId="7" fillId="0" borderId="0" xfId="0" quotePrefix="1" applyNumberFormat="1" applyFont="1" applyAlignment="1">
      <alignment horizontal="centerContinuous"/>
    </xf>
    <xf numFmtId="7" fontId="5" fillId="0" borderId="0" xfId="2" applyNumberFormat="1" applyFont="1" applyFill="1"/>
    <xf numFmtId="164" fontId="9" fillId="0" borderId="0" xfId="4" applyFont="1" applyFill="1" applyBorder="1" applyAlignment="1">
      <alignment vertical="center"/>
    </xf>
    <xf numFmtId="9" fontId="5" fillId="0" borderId="0" xfId="3" applyFont="1"/>
    <xf numFmtId="187" fontId="0" fillId="0" borderId="0" xfId="0" applyNumberFormat="1"/>
    <xf numFmtId="0" fontId="5" fillId="0" borderId="0" xfId="0" applyFont="1"/>
    <xf numFmtId="0" fontId="7" fillId="0" borderId="0" xfId="0" applyFont="1"/>
    <xf numFmtId="0" fontId="7" fillId="0" borderId="1" xfId="0" applyFont="1" applyBorder="1"/>
    <xf numFmtId="188" fontId="0" fillId="0" borderId="0" xfId="0" quotePrefix="1" applyNumberFormat="1"/>
    <xf numFmtId="0" fontId="7" fillId="0" borderId="1" xfId="0" applyFont="1" applyFill="1" applyBorder="1"/>
    <xf numFmtId="164" fontId="13" fillId="0" borderId="0" xfId="4" applyFont="1"/>
    <xf numFmtId="5" fontId="13" fillId="0" borderId="0" xfId="4" applyNumberFormat="1" applyFont="1" applyFill="1" applyProtection="1">
      <protection locked="0"/>
    </xf>
    <xf numFmtId="5" fontId="13" fillId="0" borderId="2" xfId="4" applyNumberFormat="1" applyFont="1" applyFill="1" applyBorder="1" applyProtection="1"/>
    <xf numFmtId="5" fontId="13" fillId="0" borderId="12" xfId="4" applyNumberFormat="1" applyFont="1" applyFill="1" applyBorder="1" applyProtection="1"/>
    <xf numFmtId="0" fontId="0" fillId="0" borderId="0" xfId="0" applyBorder="1"/>
    <xf numFmtId="5" fontId="9" fillId="0" borderId="0" xfId="2" applyNumberFormat="1" applyFont="1" applyFill="1" applyBorder="1"/>
    <xf numFmtId="164" fontId="58" fillId="0" borderId="0" xfId="4" applyFont="1" applyFill="1" applyAlignment="1">
      <alignment horizontal="centerContinuous"/>
    </xf>
    <xf numFmtId="164" fontId="5" fillId="0" borderId="0" xfId="4" applyFill="1"/>
    <xf numFmtId="164" fontId="5" fillId="0" borderId="0" xfId="4" applyFill="1" applyBorder="1"/>
    <xf numFmtId="164" fontId="5" fillId="0" borderId="0" xfId="4" applyFont="1" applyFill="1"/>
    <xf numFmtId="164" fontId="10" fillId="0" borderId="1" xfId="218" applyFont="1" applyFill="1" applyBorder="1" applyAlignment="1">
      <alignment horizontal="centerContinuous"/>
    </xf>
    <xf numFmtId="164" fontId="59" fillId="0" borderId="0" xfId="4" applyFont="1" applyFill="1" applyAlignment="1">
      <alignment horizontal="left"/>
    </xf>
    <xf numFmtId="164" fontId="8" fillId="0" borderId="0" xfId="4" applyFont="1" applyFill="1" applyAlignment="1">
      <alignment horizontal="left"/>
    </xf>
    <xf numFmtId="3" fontId="57" fillId="0" borderId="0" xfId="0" applyNumberFormat="1" applyFont="1" applyAlignment="1">
      <alignment horizontal="centerContinuous"/>
    </xf>
    <xf numFmtId="164" fontId="10" fillId="0" borderId="2" xfId="4" quotePrefix="1" applyFont="1" applyFill="1" applyBorder="1" applyAlignment="1">
      <alignment horizontal="center"/>
    </xf>
    <xf numFmtId="199" fontId="9" fillId="0" borderId="0" xfId="4" applyNumberFormat="1" applyFont="1" applyFill="1" applyProtection="1"/>
    <xf numFmtId="164" fontId="97" fillId="0" borderId="0" xfId="4" applyFont="1" applyFill="1" applyAlignment="1">
      <alignment horizontal="left"/>
    </xf>
    <xf numFmtId="164" fontId="15" fillId="0" borderId="0" xfId="4" applyFont="1" applyFill="1"/>
    <xf numFmtId="164" fontId="8" fillId="0" borderId="0" xfId="4" applyFont="1" applyFill="1" applyBorder="1" applyAlignment="1">
      <alignment horizontal="left"/>
    </xf>
    <xf numFmtId="37" fontId="39" fillId="0" borderId="0" xfId="4" applyNumberFormat="1" applyFont="1" applyFill="1" applyProtection="1"/>
    <xf numFmtId="7" fontId="39" fillId="0" borderId="0" xfId="4" applyNumberFormat="1" applyFont="1" applyFill="1" applyProtection="1">
      <protection locked="0"/>
    </xf>
    <xf numFmtId="7" fontId="39" fillId="0" borderId="0" xfId="4" applyNumberFormat="1" applyFont="1" applyFill="1" applyBorder="1" applyProtection="1">
      <protection locked="0"/>
    </xf>
    <xf numFmtId="185" fontId="9" fillId="0" borderId="0" xfId="4" applyNumberFormat="1" applyFont="1" applyFill="1" applyProtection="1">
      <protection locked="0"/>
    </xf>
    <xf numFmtId="164" fontId="98" fillId="0" borderId="0" xfId="4" applyFont="1" applyFill="1" applyAlignment="1">
      <alignment horizontal="left"/>
    </xf>
    <xf numFmtId="49" fontId="59" fillId="0" borderId="0" xfId="4" applyNumberFormat="1" applyFont="1" applyFill="1"/>
    <xf numFmtId="200" fontId="9" fillId="0" borderId="0" xfId="4" applyNumberFormat="1" applyFont="1" applyFill="1" applyProtection="1"/>
    <xf numFmtId="164" fontId="99" fillId="0" borderId="0" xfId="4" applyFont="1" applyFill="1" applyAlignment="1">
      <alignment horizontal="left"/>
    </xf>
    <xf numFmtId="39" fontId="9" fillId="0" borderId="0" xfId="4" applyNumberFormat="1" applyFont="1" applyFill="1" applyProtection="1"/>
    <xf numFmtId="186" fontId="9" fillId="0" borderId="0" xfId="4" applyNumberFormat="1" applyFont="1" applyFill="1" applyProtection="1">
      <protection locked="0"/>
    </xf>
    <xf numFmtId="171" fontId="9" fillId="0" borderId="1" xfId="4" applyNumberFormat="1" applyFont="1" applyFill="1" applyBorder="1" applyProtection="1"/>
    <xf numFmtId="164" fontId="59" fillId="0" borderId="0" xfId="4" applyFont="1" applyFill="1" applyBorder="1" applyAlignment="1">
      <alignment horizontal="left"/>
    </xf>
    <xf numFmtId="164" fontId="8" fillId="0" borderId="0" xfId="4" applyFont="1" applyFill="1" applyBorder="1"/>
    <xf numFmtId="164" fontId="8" fillId="0" borderId="11" xfId="4" applyFont="1" applyFill="1" applyBorder="1"/>
    <xf numFmtId="164" fontId="5" fillId="0" borderId="11" xfId="4" applyFill="1" applyBorder="1"/>
    <xf numFmtId="172" fontId="9" fillId="0" borderId="1" xfId="1" applyNumberFormat="1" applyFont="1" applyFill="1" applyBorder="1" applyProtection="1">
      <protection locked="0"/>
    </xf>
    <xf numFmtId="7" fontId="9" fillId="0" borderId="1" xfId="4" applyNumberFormat="1" applyFont="1" applyFill="1" applyBorder="1" applyProtection="1">
      <protection locked="0"/>
    </xf>
    <xf numFmtId="164" fontId="5" fillId="0" borderId="0" xfId="5" applyFill="1" applyBorder="1" applyAlignment="1">
      <alignment horizontal="center"/>
    </xf>
    <xf numFmtId="9" fontId="5" fillId="0" borderId="0" xfId="5" applyNumberFormat="1" applyFill="1" applyBorder="1" applyAlignment="1">
      <alignment horizontal="center"/>
    </xf>
    <xf numFmtId="0" fontId="49" fillId="0" borderId="25" xfId="214" applyFont="1" applyBorder="1"/>
    <xf numFmtId="3" fontId="49" fillId="0" borderId="1" xfId="214" applyNumberFormat="1" applyFont="1" applyBorder="1"/>
    <xf numFmtId="178" fontId="49" fillId="0" borderId="9" xfId="214" applyNumberFormat="1" applyFont="1" applyBorder="1"/>
    <xf numFmtId="166" fontId="49" fillId="0" borderId="25" xfId="3" applyNumberFormat="1" applyFont="1" applyBorder="1"/>
    <xf numFmtId="37" fontId="40" fillId="0" borderId="0" xfId="0" applyNumberFormat="1" applyFont="1" applyFill="1" applyAlignment="1" applyProtection="1">
      <alignment horizontal="centerContinuous"/>
    </xf>
    <xf numFmtId="41" fontId="11" fillId="0" borderId="0" xfId="0" applyNumberFormat="1" applyFont="1" applyFill="1" applyAlignment="1">
      <alignment horizontal="centerContinuous"/>
    </xf>
    <xf numFmtId="37" fontId="11" fillId="0" borderId="0" xfId="0" applyNumberFormat="1" applyFont="1" applyFill="1" applyAlignment="1" applyProtection="1">
      <alignment horizontal="centerContinuous"/>
    </xf>
    <xf numFmtId="41" fontId="40" fillId="0" borderId="0" xfId="0" applyNumberFormat="1" applyFont="1" applyFill="1"/>
    <xf numFmtId="41" fontId="40" fillId="0" borderId="0" xfId="0" applyNumberFormat="1" applyFont="1" applyFill="1" applyAlignment="1">
      <alignment horizontal="center"/>
    </xf>
    <xf numFmtId="41" fontId="11" fillId="0" borderId="0" xfId="0" applyNumberFormat="1" applyFont="1" applyFill="1"/>
    <xf numFmtId="37" fontId="40" fillId="0" borderId="0" xfId="0" applyNumberFormat="1" applyFont="1" applyFill="1" applyProtection="1"/>
    <xf numFmtId="173" fontId="11" fillId="0" borderId="0" xfId="0" applyNumberFormat="1" applyFont="1" applyFill="1" applyBorder="1" applyProtection="1"/>
    <xf numFmtId="41" fontId="40" fillId="0" borderId="0" xfId="0" applyNumberFormat="1" applyFont="1" applyFill="1" applyBorder="1" applyAlignment="1">
      <alignment horizontal="center"/>
    </xf>
    <xf numFmtId="41" fontId="41" fillId="0" borderId="0" xfId="0" applyNumberFormat="1" applyFont="1" applyFill="1" applyAlignment="1">
      <alignment horizontal="center"/>
    </xf>
    <xf numFmtId="41" fontId="41" fillId="0" borderId="0" xfId="0" applyNumberFormat="1" applyFont="1" applyFill="1"/>
    <xf numFmtId="41" fontId="41" fillId="0" borderId="0" xfId="0" applyNumberFormat="1" applyFont="1" applyFill="1" applyBorder="1" applyAlignment="1">
      <alignment horizontal="center"/>
    </xf>
    <xf numFmtId="41" fontId="11" fillId="0" borderId="0" xfId="0" applyNumberFormat="1" applyFont="1" applyFill="1" applyAlignment="1">
      <alignment horizontal="center"/>
    </xf>
    <xf numFmtId="41" fontId="11" fillId="0" borderId="0" xfId="0" applyNumberFormat="1" applyFont="1" applyFill="1" applyBorder="1" applyAlignment="1">
      <alignment horizontal="center"/>
    </xf>
    <xf numFmtId="41" fontId="40" fillId="0" borderId="0" xfId="0" applyNumberFormat="1" applyFont="1" applyFill="1" applyProtection="1"/>
    <xf numFmtId="37" fontId="11" fillId="0" borderId="0" xfId="0" applyNumberFormat="1" applyFont="1" applyFill="1" applyProtection="1"/>
    <xf numFmtId="2" fontId="40" fillId="0" borderId="0" xfId="0" applyNumberFormat="1" applyFont="1" applyFill="1" applyBorder="1" applyAlignment="1">
      <alignment horizontal="center"/>
    </xf>
    <xf numFmtId="173" fontId="40" fillId="0" borderId="0" xfId="0" applyNumberFormat="1" applyFont="1" applyFill="1" applyProtection="1"/>
    <xf numFmtId="173" fontId="42" fillId="0" borderId="0" xfId="0" applyNumberFormat="1" applyFont="1" applyFill="1" applyProtection="1"/>
    <xf numFmtId="41" fontId="42" fillId="0" borderId="0" xfId="0" applyNumberFormat="1" applyFont="1" applyFill="1"/>
    <xf numFmtId="3" fontId="40" fillId="0" borderId="0" xfId="0" applyNumberFormat="1" applyFont="1" applyFill="1"/>
    <xf numFmtId="37" fontId="42" fillId="0" borderId="0" xfId="0" applyNumberFormat="1" applyFont="1" applyFill="1" applyProtection="1"/>
    <xf numFmtId="173" fontId="42" fillId="0" borderId="1" xfId="0" applyNumberFormat="1" applyFont="1" applyFill="1" applyBorder="1" applyProtection="1"/>
    <xf numFmtId="173" fontId="40" fillId="0" borderId="1" xfId="0" applyNumberFormat="1" applyFont="1" applyFill="1" applyBorder="1" applyProtection="1"/>
    <xf numFmtId="41" fontId="40" fillId="0" borderId="0" xfId="0" applyNumberFormat="1" applyFont="1" applyFill="1" applyBorder="1"/>
    <xf numFmtId="37" fontId="40" fillId="0" borderId="0" xfId="0" applyNumberFormat="1" applyFont="1" applyFill="1" applyBorder="1" applyProtection="1"/>
    <xf numFmtId="173" fontId="40" fillId="0" borderId="0" xfId="1" applyNumberFormat="1" applyFont="1" applyFill="1"/>
    <xf numFmtId="173" fontId="11" fillId="0" borderId="0" xfId="1" applyNumberFormat="1" applyFont="1" applyFill="1"/>
    <xf numFmtId="10" fontId="40" fillId="0" borderId="0" xfId="3" applyNumberFormat="1" applyFont="1" applyFill="1"/>
    <xf numFmtId="9" fontId="43" fillId="0" borderId="0" xfId="3" applyFont="1" applyFill="1" applyAlignment="1">
      <alignment horizontal="center"/>
    </xf>
    <xf numFmtId="173" fontId="11" fillId="0" borderId="0" xfId="3" applyNumberFormat="1" applyFont="1" applyFill="1"/>
    <xf numFmtId="10" fontId="40" fillId="24" borderId="0" xfId="3" applyNumberFormat="1" applyFont="1" applyFill="1"/>
    <xf numFmtId="173" fontId="11" fillId="0" borderId="0" xfId="3" applyNumberFormat="1" applyFont="1" applyFill="1" applyBorder="1"/>
    <xf numFmtId="10" fontId="40" fillId="24" borderId="1" xfId="3" applyNumberFormat="1" applyFont="1" applyFill="1" applyBorder="1"/>
    <xf numFmtId="37" fontId="40" fillId="0" borderId="0" xfId="0" applyNumberFormat="1" applyFont="1" applyFill="1" applyBorder="1" applyAlignment="1" applyProtection="1">
      <alignment horizontal="center"/>
    </xf>
    <xf numFmtId="41" fontId="40" fillId="0" borderId="21" xfId="0" applyNumberFormat="1" applyFont="1" applyFill="1" applyBorder="1" applyAlignment="1">
      <alignment horizontal="center"/>
    </xf>
    <xf numFmtId="181" fontId="42" fillId="0" borderId="21" xfId="1" applyNumberFormat="1" applyFont="1" applyFill="1" applyBorder="1" applyProtection="1"/>
    <xf numFmtId="181" fontId="44" fillId="0" borderId="21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181" fontId="0" fillId="0" borderId="0" xfId="1" applyNumberFormat="1" applyFont="1"/>
    <xf numFmtId="0" fontId="40" fillId="0" borderId="21" xfId="0" applyNumberFormat="1" applyFont="1" applyFill="1" applyBorder="1" applyAlignment="1">
      <alignment horizontal="center"/>
    </xf>
    <xf numFmtId="181" fontId="45" fillId="0" borderId="21" xfId="1" applyNumberFormat="1" applyFont="1" applyFill="1" applyBorder="1" applyProtection="1"/>
    <xf numFmtId="181" fontId="40" fillId="0" borderId="21" xfId="1" applyNumberFormat="1" applyFont="1" applyFill="1" applyBorder="1" applyAlignment="1" applyProtection="1">
      <alignment horizontal="right"/>
    </xf>
    <xf numFmtId="180" fontId="100" fillId="0" borderId="0" xfId="186" applyFont="1" applyFill="1"/>
    <xf numFmtId="5" fontId="13" fillId="0" borderId="0" xfId="2" applyNumberFormat="1" applyFont="1" applyFill="1" applyBorder="1"/>
    <xf numFmtId="10" fontId="13" fillId="0" borderId="0" xfId="2" applyNumberFormat="1" applyFont="1" applyFill="1" applyBorder="1"/>
    <xf numFmtId="164" fontId="10" fillId="0" borderId="0" xfId="5" quotePrefix="1" applyFont="1" applyFill="1" applyBorder="1" applyAlignment="1">
      <alignment horizontal="center"/>
    </xf>
    <xf numFmtId="164" fontId="13" fillId="0" borderId="0" xfId="5" applyFont="1" applyFill="1" applyBorder="1" applyAlignment="1">
      <alignment horizontal="center"/>
    </xf>
    <xf numFmtId="165" fontId="13" fillId="0" borderId="0" xfId="5" applyNumberFormat="1" applyFont="1" applyFill="1" applyBorder="1"/>
    <xf numFmtId="166" fontId="13" fillId="0" borderId="0" xfId="5" applyNumberFormat="1" applyFont="1" applyFill="1" applyBorder="1"/>
    <xf numFmtId="0" fontId="10" fillId="0" borderId="23" xfId="6" applyFont="1" applyBorder="1" applyAlignment="1" applyProtection="1">
      <alignment horizontal="centerContinuous"/>
      <protection locked="0"/>
    </xf>
    <xf numFmtId="164" fontId="7" fillId="0" borderId="23" xfId="5" quotePrefix="1" applyFont="1" applyBorder="1" applyAlignment="1">
      <alignment horizontal="center"/>
    </xf>
    <xf numFmtId="164" fontId="7" fillId="0" borderId="23" xfId="5" quotePrefix="1" applyFont="1" applyBorder="1" applyAlignment="1">
      <alignment horizontal="centerContinuous"/>
    </xf>
    <xf numFmtId="164" fontId="5" fillId="0" borderId="1" xfId="5" applyBorder="1"/>
    <xf numFmtId="164" fontId="49" fillId="0" borderId="0" xfId="5" applyFont="1"/>
    <xf numFmtId="10" fontId="5" fillId="0" borderId="0" xfId="5" applyNumberFormat="1"/>
    <xf numFmtId="164" fontId="13" fillId="0" borderId="0" xfId="5" applyFont="1" applyFill="1" applyBorder="1" applyAlignment="1">
      <alignment horizontal="right"/>
    </xf>
    <xf numFmtId="164" fontId="13" fillId="0" borderId="0" xfId="5" applyFont="1" applyFill="1" applyBorder="1" applyAlignment="1">
      <alignment horizontal="centerContinuous"/>
    </xf>
    <xf numFmtId="5" fontId="13" fillId="0" borderId="0" xfId="5" applyNumberFormat="1" applyFont="1" applyFill="1" applyBorder="1" applyAlignment="1">
      <alignment horizontal="center"/>
    </xf>
    <xf numFmtId="5" fontId="5" fillId="0" borderId="0" xfId="5" applyNumberFormat="1"/>
    <xf numFmtId="5" fontId="9" fillId="0" borderId="0" xfId="5" applyNumberFormat="1" applyFont="1"/>
    <xf numFmtId="5" fontId="9" fillId="0" borderId="12" xfId="4" applyNumberFormat="1" applyFont="1" applyFill="1" applyBorder="1"/>
    <xf numFmtId="5" fontId="9" fillId="0" borderId="12" xfId="1" applyNumberFormat="1" applyFont="1" applyFill="1" applyBorder="1"/>
    <xf numFmtId="5" fontId="9" fillId="0" borderId="0" xfId="4" applyNumberFormat="1" applyFont="1" applyFill="1" applyBorder="1"/>
    <xf numFmtId="10" fontId="5" fillId="0" borderId="0" xfId="4" applyNumberFormat="1"/>
    <xf numFmtId="164" fontId="7" fillId="0" borderId="1" xfId="5" applyFont="1" applyBorder="1"/>
    <xf numFmtId="164" fontId="13" fillId="0" borderId="0" xfId="5" applyFont="1" applyBorder="1"/>
    <xf numFmtId="201" fontId="13" fillId="0" borderId="0" xfId="5" applyNumberFormat="1" applyFont="1" applyFill="1" applyBorder="1"/>
    <xf numFmtId="166" fontId="13" fillId="0" borderId="0" xfId="2" applyNumberFormat="1" applyFont="1" applyFill="1" applyBorder="1"/>
    <xf numFmtId="164" fontId="9" fillId="0" borderId="0" xfId="5" applyFont="1" applyFill="1" applyBorder="1"/>
    <xf numFmtId="164" fontId="5" fillId="0" borderId="0" xfId="5" applyAlignment="1">
      <alignment horizontal="center"/>
    </xf>
    <xf numFmtId="166" fontId="13" fillId="0" borderId="0" xfId="5" applyNumberFormat="1" applyFont="1" applyFill="1" applyBorder="1" applyAlignment="1">
      <alignment horizontal="right"/>
    </xf>
    <xf numFmtId="175" fontId="13" fillId="0" borderId="0" xfId="5" applyNumberFormat="1" applyFont="1" applyFill="1"/>
    <xf numFmtId="0" fontId="103" fillId="66" borderId="39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03" fillId="66" borderId="39" xfId="0" applyFont="1" applyFill="1" applyBorder="1" applyAlignment="1">
      <alignment horizontal="left" vertical="top"/>
    </xf>
    <xf numFmtId="202" fontId="103" fillId="66" borderId="39" xfId="0" applyNumberFormat="1" applyFont="1" applyFill="1" applyBorder="1" applyAlignment="1">
      <alignment horizontal="right" vertical="top"/>
    </xf>
    <xf numFmtId="203" fontId="103" fillId="66" borderId="39" xfId="0" applyNumberFormat="1" applyFont="1" applyFill="1" applyBorder="1" applyAlignment="1">
      <alignment horizontal="right" vertical="top"/>
    </xf>
    <xf numFmtId="0" fontId="103" fillId="66" borderId="40" xfId="0" applyFont="1" applyFill="1" applyBorder="1" applyAlignment="1">
      <alignment horizontal="left" vertical="top"/>
    </xf>
    <xf numFmtId="202" fontId="103" fillId="66" borderId="40" xfId="0" applyNumberFormat="1" applyFont="1" applyFill="1" applyBorder="1" applyAlignment="1">
      <alignment horizontal="right" vertical="top"/>
    </xf>
    <xf numFmtId="203" fontId="103" fillId="66" borderId="40" xfId="0" applyNumberFormat="1" applyFont="1" applyFill="1" applyBorder="1" applyAlignment="1">
      <alignment horizontal="right" vertical="top"/>
    </xf>
    <xf numFmtId="202" fontId="11" fillId="0" borderId="0" xfId="0" applyNumberFormat="1" applyFont="1" applyAlignment="1">
      <alignment wrapText="1"/>
    </xf>
    <xf numFmtId="164" fontId="5" fillId="0" borderId="0" xfId="5" applyNumberFormat="1" applyBorder="1" applyAlignment="1">
      <alignment horizontal="centerContinuous"/>
    </xf>
    <xf numFmtId="164" fontId="5" fillId="0" borderId="0" xfId="5" applyNumberFormat="1" applyBorder="1" applyAlignment="1">
      <alignment horizontal="center"/>
    </xf>
    <xf numFmtId="9" fontId="5" fillId="0" borderId="0" xfId="5" applyNumberFormat="1" applyBorder="1" applyAlignment="1">
      <alignment horizontal="center"/>
    </xf>
    <xf numFmtId="10" fontId="9" fillId="0" borderId="0" xfId="4" applyNumberFormat="1" applyFont="1" applyFill="1" applyAlignment="1">
      <alignment horizontal="centerContinuous"/>
    </xf>
    <xf numFmtId="164" fontId="5" fillId="0" borderId="0" xfId="4" applyFont="1" applyAlignment="1">
      <alignment horizontal="centerContinuous"/>
    </xf>
    <xf numFmtId="10" fontId="10" fillId="0" borderId="0" xfId="4" applyNumberFormat="1" applyFont="1" applyFill="1" applyBorder="1" applyAlignment="1">
      <alignment horizontal="centerContinuous"/>
    </xf>
    <xf numFmtId="164" fontId="5" fillId="0" borderId="1" xfId="4" applyFont="1" applyBorder="1" applyAlignment="1">
      <alignment horizontal="centerContinuous"/>
    </xf>
    <xf numFmtId="164" fontId="10" fillId="0" borderId="1" xfId="4" applyFont="1" applyFill="1" applyBorder="1" applyAlignment="1">
      <alignment horizontal="center"/>
    </xf>
    <xf numFmtId="164" fontId="7" fillId="0" borderId="0" xfId="4" applyFont="1" applyAlignment="1">
      <alignment horizontal="center"/>
    </xf>
    <xf numFmtId="164" fontId="9" fillId="0" borderId="0" xfId="4" applyFont="1" applyFill="1" applyAlignment="1">
      <alignment horizontal="center"/>
    </xf>
    <xf numFmtId="164" fontId="9" fillId="0" borderId="0" xfId="4" applyFont="1" applyFill="1" applyBorder="1" applyAlignment="1">
      <alignment horizontal="center"/>
    </xf>
    <xf numFmtId="164" fontId="9" fillId="0" borderId="11" xfId="4" applyFont="1" applyFill="1" applyBorder="1" applyAlignment="1">
      <alignment horizontal="center"/>
    </xf>
    <xf numFmtId="164" fontId="5" fillId="0" borderId="0" xfId="4" applyFont="1" applyBorder="1"/>
    <xf numFmtId="164" fontId="7" fillId="0" borderId="23" xfId="4" applyFont="1" applyBorder="1" applyAlignment="1">
      <alignment horizontal="center"/>
    </xf>
    <xf numFmtId="164" fontId="7" fillId="0" borderId="23" xfId="4" applyFont="1" applyBorder="1" applyAlignment="1">
      <alignment horizontal="center" wrapText="1"/>
    </xf>
    <xf numFmtId="7" fontId="54" fillId="0" borderId="0" xfId="214" applyNumberFormat="1" applyFont="1" applyBorder="1"/>
    <xf numFmtId="7" fontId="54" fillId="0" borderId="7" xfId="214" applyNumberFormat="1" applyFont="1" applyBorder="1"/>
    <xf numFmtId="169" fontId="54" fillId="0" borderId="0" xfId="214" applyNumberFormat="1" applyFont="1" applyBorder="1"/>
    <xf numFmtId="169" fontId="54" fillId="0" borderId="7" xfId="214" applyNumberFormat="1" applyFont="1" applyBorder="1"/>
    <xf numFmtId="10" fontId="104" fillId="0" borderId="0" xfId="3" applyNumberFormat="1" applyFont="1" applyBorder="1"/>
    <xf numFmtId="10" fontId="104" fillId="0" borderId="7" xfId="3" applyNumberFormat="1" applyFont="1" applyBorder="1"/>
    <xf numFmtId="0" fontId="104" fillId="0" borderId="0" xfId="214" applyFont="1" applyBorder="1"/>
    <xf numFmtId="0" fontId="104" fillId="0" borderId="7" xfId="214" applyFont="1" applyBorder="1"/>
    <xf numFmtId="10" fontId="104" fillId="0" borderId="10" xfId="3" applyNumberFormat="1" applyFont="1" applyBorder="1"/>
    <xf numFmtId="10" fontId="49" fillId="0" borderId="0" xfId="214" applyNumberFormat="1" applyFont="1" applyBorder="1"/>
    <xf numFmtId="0" fontId="49" fillId="0" borderId="5" xfId="214" applyFont="1" applyBorder="1"/>
    <xf numFmtId="10" fontId="54" fillId="0" borderId="22" xfId="214" applyNumberFormat="1" applyFont="1" applyBorder="1"/>
    <xf numFmtId="10" fontId="49" fillId="0" borderId="6" xfId="214" applyNumberFormat="1" applyFont="1" applyBorder="1"/>
    <xf numFmtId="10" fontId="49" fillId="0" borderId="7" xfId="214" applyNumberFormat="1" applyFont="1" applyBorder="1"/>
    <xf numFmtId="10" fontId="49" fillId="0" borderId="1" xfId="214" applyNumberFormat="1" applyFont="1" applyBorder="1"/>
    <xf numFmtId="10" fontId="49" fillId="0" borderId="10" xfId="214" applyNumberFormat="1" applyFont="1" applyBorder="1"/>
    <xf numFmtId="10" fontId="9" fillId="0" borderId="0" xfId="3" applyNumberFormat="1" applyFont="1" applyBorder="1" applyAlignment="1">
      <alignment horizontal="center"/>
    </xf>
    <xf numFmtId="10" fontId="9" fillId="0" borderId="11" xfId="3" applyNumberFormat="1" applyFont="1" applyBorder="1" applyAlignment="1">
      <alignment horizontal="center"/>
    </xf>
    <xf numFmtId="6" fontId="13" fillId="0" borderId="0" xfId="2" applyNumberFormat="1" applyFont="1" applyFill="1" applyBorder="1"/>
    <xf numFmtId="10" fontId="54" fillId="67" borderId="0" xfId="214" applyNumberFormat="1" applyFont="1" applyFill="1" applyBorder="1"/>
    <xf numFmtId="10" fontId="49" fillId="67" borderId="7" xfId="214" applyNumberFormat="1" applyFont="1" applyFill="1" applyBorder="1"/>
    <xf numFmtId="44" fontId="11" fillId="68" borderId="0" xfId="2" applyFont="1" applyFill="1" applyBorder="1" applyAlignment="1">
      <alignment horizontal="right" vertical="center"/>
    </xf>
    <xf numFmtId="43" fontId="11" fillId="68" borderId="1" xfId="1" applyFont="1" applyFill="1" applyBorder="1" applyAlignment="1">
      <alignment horizontal="right" vertical="center"/>
    </xf>
    <xf numFmtId="44" fontId="40" fillId="68" borderId="0" xfId="2" applyFont="1" applyFill="1" applyBorder="1" applyAlignment="1">
      <alignment horizontal="right" vertical="center"/>
    </xf>
    <xf numFmtId="0" fontId="0" fillId="68" borderId="0" xfId="0" applyFill="1"/>
    <xf numFmtId="0" fontId="0" fillId="68" borderId="5" xfId="0" applyFill="1" applyBorder="1"/>
    <xf numFmtId="0" fontId="0" fillId="68" borderId="22" xfId="0" applyFill="1" applyBorder="1"/>
    <xf numFmtId="0" fontId="105" fillId="68" borderId="6" xfId="0" applyFont="1" applyFill="1" applyBorder="1" applyAlignment="1">
      <alignment horizontal="center"/>
    </xf>
    <xf numFmtId="0" fontId="41" fillId="68" borderId="8" xfId="0" applyFont="1" applyFill="1" applyBorder="1"/>
    <xf numFmtId="0" fontId="105" fillId="68" borderId="7" xfId="0" applyFont="1" applyFill="1" applyBorder="1" applyAlignment="1">
      <alignment horizontal="center"/>
    </xf>
    <xf numFmtId="0" fontId="0" fillId="68" borderId="8" xfId="0" applyFill="1" applyBorder="1"/>
    <xf numFmtId="0" fontId="0" fillId="68" borderId="8" xfId="0" applyFill="1" applyBorder="1" applyAlignment="1">
      <alignment horizontal="left" indent="1"/>
    </xf>
    <xf numFmtId="41" fontId="0" fillId="68" borderId="1" xfId="0" applyNumberFormat="1" applyFill="1" applyBorder="1"/>
    <xf numFmtId="0" fontId="40" fillId="68" borderId="8" xfId="0" applyFont="1" applyFill="1" applyBorder="1" applyAlignment="1">
      <alignment horizontal="left" indent="1"/>
    </xf>
    <xf numFmtId="177" fontId="40" fillId="68" borderId="41" xfId="0" applyNumberFormat="1" applyFont="1" applyFill="1" applyBorder="1"/>
    <xf numFmtId="0" fontId="0" fillId="68" borderId="7" xfId="0" applyFill="1" applyBorder="1"/>
    <xf numFmtId="0" fontId="0" fillId="68" borderId="9" xfId="0" applyFill="1" applyBorder="1"/>
    <xf numFmtId="0" fontId="0" fillId="68" borderId="1" xfId="0" applyFill="1" applyBorder="1"/>
    <xf numFmtId="0" fontId="0" fillId="68" borderId="10" xfId="0" applyFill="1" applyBorder="1"/>
    <xf numFmtId="7" fontId="50" fillId="0" borderId="0" xfId="214" applyNumberFormat="1" applyFont="1" applyAlignment="1">
      <alignment horizontal="center"/>
    </xf>
    <xf numFmtId="2" fontId="0" fillId="68" borderId="0" xfId="0" applyNumberFormat="1" applyFill="1"/>
    <xf numFmtId="173" fontId="0" fillId="68" borderId="0" xfId="0" applyNumberFormat="1" applyFill="1"/>
    <xf numFmtId="44" fontId="0" fillId="68" borderId="0" xfId="0" applyNumberFormat="1" applyFill="1"/>
    <xf numFmtId="43" fontId="0" fillId="68" borderId="0" xfId="0" applyNumberFormat="1" applyFill="1"/>
    <xf numFmtId="41" fontId="0" fillId="68" borderId="0" xfId="0" applyNumberFormat="1" applyFill="1"/>
    <xf numFmtId="173" fontId="0" fillId="68" borderId="0" xfId="1" applyNumberFormat="1" applyFont="1" applyFill="1"/>
    <xf numFmtId="177" fontId="0" fillId="68" borderId="0" xfId="0" applyNumberFormat="1" applyFill="1"/>
    <xf numFmtId="204" fontId="0" fillId="68" borderId="0" xfId="0" applyNumberFormat="1" applyFill="1"/>
    <xf numFmtId="0" fontId="0" fillId="68" borderId="6" xfId="0" applyFill="1" applyBorder="1"/>
    <xf numFmtId="177" fontId="0" fillId="68" borderId="0" xfId="2" applyNumberFormat="1" applyFont="1" applyFill="1" applyBorder="1"/>
    <xf numFmtId="10" fontId="0" fillId="68" borderId="0" xfId="3" applyNumberFormat="1" applyFont="1" applyFill="1"/>
    <xf numFmtId="177" fontId="40" fillId="68" borderId="0" xfId="2" applyNumberFormat="1" applyFont="1" applyFill="1" applyBorder="1"/>
    <xf numFmtId="166" fontId="0" fillId="68" borderId="0" xfId="3" applyNumberFormat="1" applyFont="1" applyFill="1"/>
    <xf numFmtId="166" fontId="0" fillId="68" borderId="0" xfId="0" applyNumberFormat="1" applyFill="1"/>
    <xf numFmtId="41" fontId="0" fillId="68" borderId="23" xfId="0" applyNumberFormat="1" applyFill="1" applyBorder="1"/>
    <xf numFmtId="177" fontId="40" fillId="68" borderId="41" xfId="2" applyNumberFormat="1" applyFont="1" applyFill="1" applyBorder="1"/>
  </cellXfs>
  <cellStyles count="1083">
    <cellStyle name="20% - Accent1 2" xfId="219" xr:uid="{00000000-0005-0000-0000-000000000000}"/>
    <cellStyle name="20% - Accent1 3" xfId="220" xr:uid="{00000000-0005-0000-0000-000001000000}"/>
    <cellStyle name="20% - Accent1 4" xfId="221" xr:uid="{00000000-0005-0000-0000-000002000000}"/>
    <cellStyle name="20% - Accent1 5" xfId="222" xr:uid="{00000000-0005-0000-0000-000003000000}"/>
    <cellStyle name="20% - Accent1 6" xfId="223" xr:uid="{00000000-0005-0000-0000-000004000000}"/>
    <cellStyle name="20% - Accent2 2" xfId="224" xr:uid="{00000000-0005-0000-0000-000005000000}"/>
    <cellStyle name="20% - Accent2 3" xfId="225" xr:uid="{00000000-0005-0000-0000-000006000000}"/>
    <cellStyle name="20% - Accent2 4" xfId="226" xr:uid="{00000000-0005-0000-0000-000007000000}"/>
    <cellStyle name="20% - Accent2 5" xfId="227" xr:uid="{00000000-0005-0000-0000-000008000000}"/>
    <cellStyle name="20% - Accent2 6" xfId="228" xr:uid="{00000000-0005-0000-0000-000009000000}"/>
    <cellStyle name="20% - Accent3 2" xfId="229" xr:uid="{00000000-0005-0000-0000-00000A000000}"/>
    <cellStyle name="20% - Accent3 3" xfId="230" xr:uid="{00000000-0005-0000-0000-00000B000000}"/>
    <cellStyle name="20% - Accent3 4" xfId="231" xr:uid="{00000000-0005-0000-0000-00000C000000}"/>
    <cellStyle name="20% - Accent3 5" xfId="232" xr:uid="{00000000-0005-0000-0000-00000D000000}"/>
    <cellStyle name="20% - Accent3 6" xfId="233" xr:uid="{00000000-0005-0000-0000-00000E000000}"/>
    <cellStyle name="20% - Accent4 2" xfId="234" xr:uid="{00000000-0005-0000-0000-00000F000000}"/>
    <cellStyle name="20% - Accent4 3" xfId="235" xr:uid="{00000000-0005-0000-0000-000010000000}"/>
    <cellStyle name="20% - Accent4 4" xfId="236" xr:uid="{00000000-0005-0000-0000-000011000000}"/>
    <cellStyle name="20% - Accent4 5" xfId="237" xr:uid="{00000000-0005-0000-0000-000012000000}"/>
    <cellStyle name="20% - Accent4 6" xfId="238" xr:uid="{00000000-0005-0000-0000-000013000000}"/>
    <cellStyle name="20% - Accent5 2" xfId="239" xr:uid="{00000000-0005-0000-0000-000014000000}"/>
    <cellStyle name="20% - Accent5 3" xfId="240" xr:uid="{00000000-0005-0000-0000-000015000000}"/>
    <cellStyle name="20% - Accent5 4" xfId="241" xr:uid="{00000000-0005-0000-0000-000016000000}"/>
    <cellStyle name="20% - Accent5 5" xfId="242" xr:uid="{00000000-0005-0000-0000-000017000000}"/>
    <cellStyle name="20% - Accent5 6" xfId="243" xr:uid="{00000000-0005-0000-0000-000018000000}"/>
    <cellStyle name="20% - Accent6 2" xfId="244" xr:uid="{00000000-0005-0000-0000-000019000000}"/>
    <cellStyle name="20% - Accent6 3" xfId="245" xr:uid="{00000000-0005-0000-0000-00001A000000}"/>
    <cellStyle name="20% - Accent6 4" xfId="246" xr:uid="{00000000-0005-0000-0000-00001B000000}"/>
    <cellStyle name="20% - Accent6 5" xfId="247" xr:uid="{00000000-0005-0000-0000-00001C000000}"/>
    <cellStyle name="20% - Accent6 6" xfId="248" xr:uid="{00000000-0005-0000-0000-00001D000000}"/>
    <cellStyle name="40% - Accent1 2" xfId="249" xr:uid="{00000000-0005-0000-0000-00001E000000}"/>
    <cellStyle name="40% - Accent1 3" xfId="250" xr:uid="{00000000-0005-0000-0000-00001F000000}"/>
    <cellStyle name="40% - Accent1 4" xfId="251" xr:uid="{00000000-0005-0000-0000-000020000000}"/>
    <cellStyle name="40% - Accent1 5" xfId="252" xr:uid="{00000000-0005-0000-0000-000021000000}"/>
    <cellStyle name="40% - Accent1 6" xfId="253" xr:uid="{00000000-0005-0000-0000-000022000000}"/>
    <cellStyle name="40% - Accent2 2" xfId="254" xr:uid="{00000000-0005-0000-0000-000023000000}"/>
    <cellStyle name="40% - Accent2 3" xfId="255" xr:uid="{00000000-0005-0000-0000-000024000000}"/>
    <cellStyle name="40% - Accent2 4" xfId="256" xr:uid="{00000000-0005-0000-0000-000025000000}"/>
    <cellStyle name="40% - Accent2 5" xfId="257" xr:uid="{00000000-0005-0000-0000-000026000000}"/>
    <cellStyle name="40% - Accent2 6" xfId="258" xr:uid="{00000000-0005-0000-0000-000027000000}"/>
    <cellStyle name="40% - Accent3 2" xfId="259" xr:uid="{00000000-0005-0000-0000-000028000000}"/>
    <cellStyle name="40% - Accent3 3" xfId="260" xr:uid="{00000000-0005-0000-0000-000029000000}"/>
    <cellStyle name="40% - Accent3 4" xfId="261" xr:uid="{00000000-0005-0000-0000-00002A000000}"/>
    <cellStyle name="40% - Accent3 5" xfId="262" xr:uid="{00000000-0005-0000-0000-00002B000000}"/>
    <cellStyle name="40% - Accent3 6" xfId="263" xr:uid="{00000000-0005-0000-0000-00002C000000}"/>
    <cellStyle name="40% - Accent4 2" xfId="264" xr:uid="{00000000-0005-0000-0000-00002D000000}"/>
    <cellStyle name="40% - Accent4 3" xfId="265" xr:uid="{00000000-0005-0000-0000-00002E000000}"/>
    <cellStyle name="40% - Accent4 4" xfId="266" xr:uid="{00000000-0005-0000-0000-00002F000000}"/>
    <cellStyle name="40% - Accent4 5" xfId="267" xr:uid="{00000000-0005-0000-0000-000030000000}"/>
    <cellStyle name="40% - Accent4 6" xfId="268" xr:uid="{00000000-0005-0000-0000-000031000000}"/>
    <cellStyle name="40% - Accent5 2" xfId="269" xr:uid="{00000000-0005-0000-0000-000032000000}"/>
    <cellStyle name="40% - Accent5 3" xfId="270" xr:uid="{00000000-0005-0000-0000-000033000000}"/>
    <cellStyle name="40% - Accent5 4" xfId="271" xr:uid="{00000000-0005-0000-0000-000034000000}"/>
    <cellStyle name="40% - Accent5 5" xfId="272" xr:uid="{00000000-0005-0000-0000-000035000000}"/>
    <cellStyle name="40% - Accent5 6" xfId="273" xr:uid="{00000000-0005-0000-0000-000036000000}"/>
    <cellStyle name="40% - Accent6 2" xfId="274" xr:uid="{00000000-0005-0000-0000-000037000000}"/>
    <cellStyle name="40% - Accent6 3" xfId="275" xr:uid="{00000000-0005-0000-0000-000038000000}"/>
    <cellStyle name="40% - Accent6 4" xfId="276" xr:uid="{00000000-0005-0000-0000-000039000000}"/>
    <cellStyle name="40% - Accent6 5" xfId="277" xr:uid="{00000000-0005-0000-0000-00003A000000}"/>
    <cellStyle name="40% - Accent6 6" xfId="278" xr:uid="{00000000-0005-0000-0000-00003B000000}"/>
    <cellStyle name="60% - Accent1 2" xfId="279" xr:uid="{00000000-0005-0000-0000-00003C000000}"/>
    <cellStyle name="60% - Accent1 3" xfId="280" xr:uid="{00000000-0005-0000-0000-00003D000000}"/>
    <cellStyle name="60% - Accent1 4" xfId="281" xr:uid="{00000000-0005-0000-0000-00003E000000}"/>
    <cellStyle name="60% - Accent1 5" xfId="282" xr:uid="{00000000-0005-0000-0000-00003F000000}"/>
    <cellStyle name="60% - Accent1 6" xfId="283" xr:uid="{00000000-0005-0000-0000-000040000000}"/>
    <cellStyle name="60% - Accent2 2" xfId="284" xr:uid="{00000000-0005-0000-0000-000041000000}"/>
    <cellStyle name="60% - Accent2 3" xfId="285" xr:uid="{00000000-0005-0000-0000-000042000000}"/>
    <cellStyle name="60% - Accent2 4" xfId="286" xr:uid="{00000000-0005-0000-0000-000043000000}"/>
    <cellStyle name="60% - Accent2 5" xfId="287" xr:uid="{00000000-0005-0000-0000-000044000000}"/>
    <cellStyle name="60% - Accent2 6" xfId="288" xr:uid="{00000000-0005-0000-0000-000045000000}"/>
    <cellStyle name="60% - Accent3 2" xfId="289" xr:uid="{00000000-0005-0000-0000-000046000000}"/>
    <cellStyle name="60% - Accent3 3" xfId="290" xr:uid="{00000000-0005-0000-0000-000047000000}"/>
    <cellStyle name="60% - Accent3 4" xfId="291" xr:uid="{00000000-0005-0000-0000-000048000000}"/>
    <cellStyle name="60% - Accent3 5" xfId="292" xr:uid="{00000000-0005-0000-0000-000049000000}"/>
    <cellStyle name="60% - Accent3 6" xfId="293" xr:uid="{00000000-0005-0000-0000-00004A000000}"/>
    <cellStyle name="60% - Accent4 2" xfId="294" xr:uid="{00000000-0005-0000-0000-00004B000000}"/>
    <cellStyle name="60% - Accent4 3" xfId="295" xr:uid="{00000000-0005-0000-0000-00004C000000}"/>
    <cellStyle name="60% - Accent4 4" xfId="296" xr:uid="{00000000-0005-0000-0000-00004D000000}"/>
    <cellStyle name="60% - Accent4 5" xfId="297" xr:uid="{00000000-0005-0000-0000-00004E000000}"/>
    <cellStyle name="60% - Accent4 6" xfId="298" xr:uid="{00000000-0005-0000-0000-00004F000000}"/>
    <cellStyle name="60% - Accent5 2" xfId="299" xr:uid="{00000000-0005-0000-0000-000050000000}"/>
    <cellStyle name="60% - Accent5 3" xfId="300" xr:uid="{00000000-0005-0000-0000-000051000000}"/>
    <cellStyle name="60% - Accent5 4" xfId="301" xr:uid="{00000000-0005-0000-0000-000052000000}"/>
    <cellStyle name="60% - Accent5 5" xfId="302" xr:uid="{00000000-0005-0000-0000-000053000000}"/>
    <cellStyle name="60% - Accent5 6" xfId="303" xr:uid="{00000000-0005-0000-0000-000054000000}"/>
    <cellStyle name="60% - Accent6 2" xfId="304" xr:uid="{00000000-0005-0000-0000-000055000000}"/>
    <cellStyle name="60% - Accent6 3" xfId="305" xr:uid="{00000000-0005-0000-0000-000056000000}"/>
    <cellStyle name="60% - Accent6 4" xfId="306" xr:uid="{00000000-0005-0000-0000-000057000000}"/>
    <cellStyle name="60% - Accent6 5" xfId="307" xr:uid="{00000000-0005-0000-0000-000058000000}"/>
    <cellStyle name="60% - Accent6 6" xfId="308" xr:uid="{00000000-0005-0000-0000-000059000000}"/>
    <cellStyle name="Accent1 - 20%" xfId="309" xr:uid="{00000000-0005-0000-0000-00005A000000}"/>
    <cellStyle name="Accent1 - 40%" xfId="310" xr:uid="{00000000-0005-0000-0000-00005B000000}"/>
    <cellStyle name="Accent1 - 60%" xfId="311" xr:uid="{00000000-0005-0000-0000-00005C000000}"/>
    <cellStyle name="Accent1 2" xfId="312" xr:uid="{00000000-0005-0000-0000-00005D000000}"/>
    <cellStyle name="Accent1 3" xfId="313" xr:uid="{00000000-0005-0000-0000-00005E000000}"/>
    <cellStyle name="Accent1 4" xfId="314" xr:uid="{00000000-0005-0000-0000-00005F000000}"/>
    <cellStyle name="Accent1 5" xfId="315" xr:uid="{00000000-0005-0000-0000-000060000000}"/>
    <cellStyle name="Accent1 6" xfId="316" xr:uid="{00000000-0005-0000-0000-000061000000}"/>
    <cellStyle name="Accent2 - 20%" xfId="317" xr:uid="{00000000-0005-0000-0000-000062000000}"/>
    <cellStyle name="Accent2 - 40%" xfId="318" xr:uid="{00000000-0005-0000-0000-000063000000}"/>
    <cellStyle name="Accent2 - 60%" xfId="319" xr:uid="{00000000-0005-0000-0000-000064000000}"/>
    <cellStyle name="Accent2 2" xfId="320" xr:uid="{00000000-0005-0000-0000-000065000000}"/>
    <cellStyle name="Accent2 3" xfId="321" xr:uid="{00000000-0005-0000-0000-000066000000}"/>
    <cellStyle name="Accent2 4" xfId="322" xr:uid="{00000000-0005-0000-0000-000067000000}"/>
    <cellStyle name="Accent2 5" xfId="323" xr:uid="{00000000-0005-0000-0000-000068000000}"/>
    <cellStyle name="Accent2 6" xfId="324" xr:uid="{00000000-0005-0000-0000-000069000000}"/>
    <cellStyle name="Accent3 - 20%" xfId="325" xr:uid="{00000000-0005-0000-0000-00006A000000}"/>
    <cellStyle name="Accent3 - 40%" xfId="326" xr:uid="{00000000-0005-0000-0000-00006B000000}"/>
    <cellStyle name="Accent3 - 60%" xfId="327" xr:uid="{00000000-0005-0000-0000-00006C000000}"/>
    <cellStyle name="Accent3 2" xfId="328" xr:uid="{00000000-0005-0000-0000-00006D000000}"/>
    <cellStyle name="Accent3 3" xfId="329" xr:uid="{00000000-0005-0000-0000-00006E000000}"/>
    <cellStyle name="Accent3 4" xfId="330" xr:uid="{00000000-0005-0000-0000-00006F000000}"/>
    <cellStyle name="Accent3 5" xfId="331" xr:uid="{00000000-0005-0000-0000-000070000000}"/>
    <cellStyle name="Accent3 6" xfId="332" xr:uid="{00000000-0005-0000-0000-000071000000}"/>
    <cellStyle name="Accent4 - 20%" xfId="333" xr:uid="{00000000-0005-0000-0000-000072000000}"/>
    <cellStyle name="Accent4 - 40%" xfId="334" xr:uid="{00000000-0005-0000-0000-000073000000}"/>
    <cellStyle name="Accent4 - 60%" xfId="335" xr:uid="{00000000-0005-0000-0000-000074000000}"/>
    <cellStyle name="Accent4 2" xfId="336" xr:uid="{00000000-0005-0000-0000-000075000000}"/>
    <cellStyle name="Accent4 3" xfId="337" xr:uid="{00000000-0005-0000-0000-000076000000}"/>
    <cellStyle name="Accent4 4" xfId="338" xr:uid="{00000000-0005-0000-0000-000077000000}"/>
    <cellStyle name="Accent4 5" xfId="339" xr:uid="{00000000-0005-0000-0000-000078000000}"/>
    <cellStyle name="Accent4 6" xfId="340" xr:uid="{00000000-0005-0000-0000-000079000000}"/>
    <cellStyle name="Accent5 - 20%" xfId="341" xr:uid="{00000000-0005-0000-0000-00007A000000}"/>
    <cellStyle name="Accent5 - 40%" xfId="342" xr:uid="{00000000-0005-0000-0000-00007B000000}"/>
    <cellStyle name="Accent5 - 60%" xfId="343" xr:uid="{00000000-0005-0000-0000-00007C000000}"/>
    <cellStyle name="Accent5 2" xfId="344" xr:uid="{00000000-0005-0000-0000-00007D000000}"/>
    <cellStyle name="Accent5 3" xfId="345" xr:uid="{00000000-0005-0000-0000-00007E000000}"/>
    <cellStyle name="Accent5 4" xfId="346" xr:uid="{00000000-0005-0000-0000-00007F000000}"/>
    <cellStyle name="Accent5 5" xfId="347" xr:uid="{00000000-0005-0000-0000-000080000000}"/>
    <cellStyle name="Accent5 6" xfId="348" xr:uid="{00000000-0005-0000-0000-000081000000}"/>
    <cellStyle name="Accent6 - 20%" xfId="349" xr:uid="{00000000-0005-0000-0000-000082000000}"/>
    <cellStyle name="Accent6 - 40%" xfId="350" xr:uid="{00000000-0005-0000-0000-000083000000}"/>
    <cellStyle name="Accent6 - 60%" xfId="351" xr:uid="{00000000-0005-0000-0000-000084000000}"/>
    <cellStyle name="Accent6 2" xfId="352" xr:uid="{00000000-0005-0000-0000-000085000000}"/>
    <cellStyle name="Accent6 3" xfId="353" xr:uid="{00000000-0005-0000-0000-000086000000}"/>
    <cellStyle name="Accent6 4" xfId="354" xr:uid="{00000000-0005-0000-0000-000087000000}"/>
    <cellStyle name="Accent6 5" xfId="355" xr:uid="{00000000-0005-0000-0000-000088000000}"/>
    <cellStyle name="Accent6 6" xfId="356" xr:uid="{00000000-0005-0000-0000-000089000000}"/>
    <cellStyle name="ArrayHeading" xfId="357" xr:uid="{00000000-0005-0000-0000-00008A000000}"/>
    <cellStyle name="Bad 2" xfId="358" xr:uid="{00000000-0005-0000-0000-00008B000000}"/>
    <cellStyle name="Bad 3" xfId="359" xr:uid="{00000000-0005-0000-0000-00008C000000}"/>
    <cellStyle name="Bad 4" xfId="360" xr:uid="{00000000-0005-0000-0000-00008D000000}"/>
    <cellStyle name="Bad 5" xfId="361" xr:uid="{00000000-0005-0000-0000-00008E000000}"/>
    <cellStyle name="Bad 6" xfId="362" xr:uid="{00000000-0005-0000-0000-00008F000000}"/>
    <cellStyle name="BetweenMacros" xfId="363" xr:uid="{00000000-0005-0000-0000-000090000000}"/>
    <cellStyle name="Calc Currency (0)" xfId="364" xr:uid="{00000000-0005-0000-0000-000091000000}"/>
    <cellStyle name="Calculation 2" xfId="365" xr:uid="{00000000-0005-0000-0000-000092000000}"/>
    <cellStyle name="Calculation 3" xfId="366" xr:uid="{00000000-0005-0000-0000-000093000000}"/>
    <cellStyle name="Calculation 4" xfId="367" xr:uid="{00000000-0005-0000-0000-000094000000}"/>
    <cellStyle name="Calculation 5" xfId="368" xr:uid="{00000000-0005-0000-0000-000095000000}"/>
    <cellStyle name="Calculation 6" xfId="369" xr:uid="{00000000-0005-0000-0000-000096000000}"/>
    <cellStyle name="Cancel" xfId="370" xr:uid="{00000000-0005-0000-0000-000097000000}"/>
    <cellStyle name="Check Cell 2" xfId="371" xr:uid="{00000000-0005-0000-0000-000098000000}"/>
    <cellStyle name="Check Cell 3" xfId="372" xr:uid="{00000000-0005-0000-0000-000099000000}"/>
    <cellStyle name="Check Cell 4" xfId="373" xr:uid="{00000000-0005-0000-0000-00009A000000}"/>
    <cellStyle name="Check Cell 5" xfId="374" xr:uid="{00000000-0005-0000-0000-00009B000000}"/>
    <cellStyle name="Check Cell 6" xfId="375" xr:uid="{00000000-0005-0000-0000-00009C000000}"/>
    <cellStyle name="Column total in dollars" xfId="376" xr:uid="{00000000-0005-0000-0000-00009D000000}"/>
    <cellStyle name="Comma" xfId="1" builtinId="3"/>
    <cellStyle name="Comma  - Style1" xfId="190" xr:uid="{00000000-0005-0000-0000-00009F000000}"/>
    <cellStyle name="Comma  - Style1 2" xfId="377" xr:uid="{00000000-0005-0000-0000-0000A0000000}"/>
    <cellStyle name="Comma  - Style1 3" xfId="378" xr:uid="{00000000-0005-0000-0000-0000A1000000}"/>
    <cellStyle name="Comma  - Style2" xfId="191" xr:uid="{00000000-0005-0000-0000-0000A2000000}"/>
    <cellStyle name="Comma  - Style2 2" xfId="379" xr:uid="{00000000-0005-0000-0000-0000A3000000}"/>
    <cellStyle name="Comma  - Style2 3" xfId="380" xr:uid="{00000000-0005-0000-0000-0000A4000000}"/>
    <cellStyle name="Comma  - Style3" xfId="192" xr:uid="{00000000-0005-0000-0000-0000A5000000}"/>
    <cellStyle name="Comma  - Style3 2" xfId="381" xr:uid="{00000000-0005-0000-0000-0000A6000000}"/>
    <cellStyle name="Comma  - Style3 3" xfId="382" xr:uid="{00000000-0005-0000-0000-0000A7000000}"/>
    <cellStyle name="Comma  - Style4" xfId="193" xr:uid="{00000000-0005-0000-0000-0000A8000000}"/>
    <cellStyle name="Comma  - Style4 2" xfId="383" xr:uid="{00000000-0005-0000-0000-0000A9000000}"/>
    <cellStyle name="Comma  - Style4 3" xfId="384" xr:uid="{00000000-0005-0000-0000-0000AA000000}"/>
    <cellStyle name="Comma  - Style5" xfId="194" xr:uid="{00000000-0005-0000-0000-0000AB000000}"/>
    <cellStyle name="Comma  - Style5 2" xfId="385" xr:uid="{00000000-0005-0000-0000-0000AC000000}"/>
    <cellStyle name="Comma  - Style5 3" xfId="386" xr:uid="{00000000-0005-0000-0000-0000AD000000}"/>
    <cellStyle name="Comma  - Style6" xfId="195" xr:uid="{00000000-0005-0000-0000-0000AE000000}"/>
    <cellStyle name="Comma  - Style6 2" xfId="387" xr:uid="{00000000-0005-0000-0000-0000AF000000}"/>
    <cellStyle name="Comma  - Style6 3" xfId="388" xr:uid="{00000000-0005-0000-0000-0000B0000000}"/>
    <cellStyle name="Comma  - Style7" xfId="196" xr:uid="{00000000-0005-0000-0000-0000B1000000}"/>
    <cellStyle name="Comma  - Style7 2" xfId="389" xr:uid="{00000000-0005-0000-0000-0000B2000000}"/>
    <cellStyle name="Comma  - Style7 3" xfId="390" xr:uid="{00000000-0005-0000-0000-0000B3000000}"/>
    <cellStyle name="Comma  - Style8" xfId="197" xr:uid="{00000000-0005-0000-0000-0000B4000000}"/>
    <cellStyle name="Comma  - Style8 2" xfId="391" xr:uid="{00000000-0005-0000-0000-0000B5000000}"/>
    <cellStyle name="Comma  - Style8 3" xfId="392" xr:uid="{00000000-0005-0000-0000-0000B6000000}"/>
    <cellStyle name="Comma (0)" xfId="393" xr:uid="{00000000-0005-0000-0000-0000B7000000}"/>
    <cellStyle name="Comma [0] 2" xfId="394" xr:uid="{00000000-0005-0000-0000-0000B8000000}"/>
    <cellStyle name="Comma 10" xfId="395" xr:uid="{00000000-0005-0000-0000-0000B9000000}"/>
    <cellStyle name="Comma 10 2" xfId="396" xr:uid="{00000000-0005-0000-0000-0000BA000000}"/>
    <cellStyle name="Comma 11" xfId="26" xr:uid="{00000000-0005-0000-0000-0000BB000000}"/>
    <cellStyle name="Comma 12" xfId="397" xr:uid="{00000000-0005-0000-0000-0000BC000000}"/>
    <cellStyle name="Comma 13" xfId="398" xr:uid="{00000000-0005-0000-0000-0000BD000000}"/>
    <cellStyle name="Comma 13 2" xfId="399" xr:uid="{00000000-0005-0000-0000-0000BE000000}"/>
    <cellStyle name="Comma 13 2 2" xfId="400" xr:uid="{00000000-0005-0000-0000-0000BF000000}"/>
    <cellStyle name="Comma 14" xfId="401" xr:uid="{00000000-0005-0000-0000-0000C0000000}"/>
    <cellStyle name="Comma 15" xfId="402" xr:uid="{00000000-0005-0000-0000-0000C1000000}"/>
    <cellStyle name="Comma 16" xfId="403" xr:uid="{00000000-0005-0000-0000-0000C2000000}"/>
    <cellStyle name="Comma 17" xfId="404" xr:uid="{00000000-0005-0000-0000-0000C3000000}"/>
    <cellStyle name="Comma 17 2" xfId="405" xr:uid="{00000000-0005-0000-0000-0000C4000000}"/>
    <cellStyle name="Comma 18" xfId="406" xr:uid="{00000000-0005-0000-0000-0000C5000000}"/>
    <cellStyle name="Comma 19" xfId="27" xr:uid="{00000000-0005-0000-0000-0000C6000000}"/>
    <cellStyle name="Comma 2" xfId="8" xr:uid="{00000000-0005-0000-0000-0000C7000000}"/>
    <cellStyle name="Comma 2 10" xfId="28" xr:uid="{00000000-0005-0000-0000-0000C8000000}"/>
    <cellStyle name="Comma 2 11" xfId="29" xr:uid="{00000000-0005-0000-0000-0000C9000000}"/>
    <cellStyle name="Comma 2 12" xfId="30" xr:uid="{00000000-0005-0000-0000-0000CA000000}"/>
    <cellStyle name="Comma 2 13" xfId="31" xr:uid="{00000000-0005-0000-0000-0000CB000000}"/>
    <cellStyle name="Comma 2 14" xfId="32" xr:uid="{00000000-0005-0000-0000-0000CC000000}"/>
    <cellStyle name="Comma 2 15" xfId="33" xr:uid="{00000000-0005-0000-0000-0000CD000000}"/>
    <cellStyle name="Comma 2 16" xfId="34" xr:uid="{00000000-0005-0000-0000-0000CE000000}"/>
    <cellStyle name="Comma 2 17" xfId="35" xr:uid="{00000000-0005-0000-0000-0000CF000000}"/>
    <cellStyle name="Comma 2 18" xfId="36" xr:uid="{00000000-0005-0000-0000-0000D0000000}"/>
    <cellStyle name="Comma 2 19" xfId="37" xr:uid="{00000000-0005-0000-0000-0000D1000000}"/>
    <cellStyle name="Comma 2 2" xfId="38" xr:uid="{00000000-0005-0000-0000-0000D2000000}"/>
    <cellStyle name="Comma 2 2 2" xfId="39" xr:uid="{00000000-0005-0000-0000-0000D3000000}"/>
    <cellStyle name="Comma 2 2 2 2" xfId="407" xr:uid="{00000000-0005-0000-0000-0000D4000000}"/>
    <cellStyle name="Comma 2 20" xfId="40" xr:uid="{00000000-0005-0000-0000-0000D5000000}"/>
    <cellStyle name="Comma 2 21" xfId="41" xr:uid="{00000000-0005-0000-0000-0000D6000000}"/>
    <cellStyle name="Comma 2 3" xfId="42" xr:uid="{00000000-0005-0000-0000-0000D7000000}"/>
    <cellStyle name="Comma 2 4" xfId="43" xr:uid="{00000000-0005-0000-0000-0000D8000000}"/>
    <cellStyle name="Comma 2 5" xfId="44" xr:uid="{00000000-0005-0000-0000-0000D9000000}"/>
    <cellStyle name="Comma 2 6" xfId="45" xr:uid="{00000000-0005-0000-0000-0000DA000000}"/>
    <cellStyle name="Comma 2 7" xfId="46" xr:uid="{00000000-0005-0000-0000-0000DB000000}"/>
    <cellStyle name="Comma 2 8" xfId="47" xr:uid="{00000000-0005-0000-0000-0000DC000000}"/>
    <cellStyle name="Comma 2 9" xfId="48" xr:uid="{00000000-0005-0000-0000-0000DD000000}"/>
    <cellStyle name="Comma 20" xfId="408" xr:uid="{00000000-0005-0000-0000-0000DE000000}"/>
    <cellStyle name="Comma 21" xfId="49" xr:uid="{00000000-0005-0000-0000-0000DF000000}"/>
    <cellStyle name="Comma 22" xfId="50" xr:uid="{00000000-0005-0000-0000-0000E0000000}"/>
    <cellStyle name="Comma 23" xfId="409" xr:uid="{00000000-0005-0000-0000-0000E1000000}"/>
    <cellStyle name="Comma 24" xfId="410" xr:uid="{00000000-0005-0000-0000-0000E2000000}"/>
    <cellStyle name="Comma 25" xfId="411" xr:uid="{00000000-0005-0000-0000-0000E3000000}"/>
    <cellStyle name="Comma 26" xfId="412" xr:uid="{00000000-0005-0000-0000-0000E4000000}"/>
    <cellStyle name="Comma 27" xfId="413" xr:uid="{00000000-0005-0000-0000-0000E5000000}"/>
    <cellStyle name="Comma 28" xfId="414" xr:uid="{00000000-0005-0000-0000-0000E6000000}"/>
    <cellStyle name="Comma 29" xfId="415" xr:uid="{00000000-0005-0000-0000-0000E7000000}"/>
    <cellStyle name="Comma 3" xfId="51" xr:uid="{00000000-0005-0000-0000-0000E8000000}"/>
    <cellStyle name="Comma 3 2" xfId="198" xr:uid="{00000000-0005-0000-0000-0000E9000000}"/>
    <cellStyle name="Comma 3 3" xfId="416" xr:uid="{00000000-0005-0000-0000-0000EA000000}"/>
    <cellStyle name="Comma 3 4" xfId="417" xr:uid="{00000000-0005-0000-0000-0000EB000000}"/>
    <cellStyle name="Comma 30" xfId="418" xr:uid="{00000000-0005-0000-0000-0000EC000000}"/>
    <cellStyle name="Comma 31" xfId="419" xr:uid="{00000000-0005-0000-0000-0000ED000000}"/>
    <cellStyle name="Comma 32" xfId="420" xr:uid="{00000000-0005-0000-0000-0000EE000000}"/>
    <cellStyle name="Comma 33" xfId="421" xr:uid="{00000000-0005-0000-0000-0000EF000000}"/>
    <cellStyle name="Comma 34" xfId="422" xr:uid="{00000000-0005-0000-0000-0000F0000000}"/>
    <cellStyle name="Comma 35" xfId="423" xr:uid="{00000000-0005-0000-0000-0000F1000000}"/>
    <cellStyle name="Comma 36" xfId="424" xr:uid="{00000000-0005-0000-0000-0000F2000000}"/>
    <cellStyle name="Comma 37" xfId="425" xr:uid="{00000000-0005-0000-0000-0000F3000000}"/>
    <cellStyle name="Comma 38" xfId="426" xr:uid="{00000000-0005-0000-0000-0000F4000000}"/>
    <cellStyle name="Comma 4" xfId="52" xr:uid="{00000000-0005-0000-0000-0000F5000000}"/>
    <cellStyle name="Comma 4 2" xfId="427" xr:uid="{00000000-0005-0000-0000-0000F6000000}"/>
    <cellStyle name="Comma 4 2 2" xfId="428" xr:uid="{00000000-0005-0000-0000-0000F7000000}"/>
    <cellStyle name="Comma 4 3" xfId="429" xr:uid="{00000000-0005-0000-0000-0000F8000000}"/>
    <cellStyle name="Comma 4 3 2" xfId="430" xr:uid="{00000000-0005-0000-0000-0000F9000000}"/>
    <cellStyle name="Comma 4 3 3" xfId="431" xr:uid="{00000000-0005-0000-0000-0000FA000000}"/>
    <cellStyle name="Comma 4 3 4" xfId="432" xr:uid="{00000000-0005-0000-0000-0000FB000000}"/>
    <cellStyle name="Comma 4 4" xfId="433" xr:uid="{00000000-0005-0000-0000-0000FC000000}"/>
    <cellStyle name="Comma 4 5" xfId="434" xr:uid="{00000000-0005-0000-0000-0000FD000000}"/>
    <cellStyle name="Comma 5" xfId="53" xr:uid="{00000000-0005-0000-0000-0000FE000000}"/>
    <cellStyle name="Comma 5 2" xfId="435" xr:uid="{00000000-0005-0000-0000-0000FF000000}"/>
    <cellStyle name="Comma 6" xfId="187" xr:uid="{00000000-0005-0000-0000-000000010000}"/>
    <cellStyle name="Comma 6 2" xfId="436" xr:uid="{00000000-0005-0000-0000-000001010000}"/>
    <cellStyle name="Comma 6 2 2" xfId="437" xr:uid="{00000000-0005-0000-0000-000002010000}"/>
    <cellStyle name="Comma 6 3" xfId="438" xr:uid="{00000000-0005-0000-0000-000003010000}"/>
    <cellStyle name="Comma 7" xfId="439" xr:uid="{00000000-0005-0000-0000-000004010000}"/>
    <cellStyle name="Comma 7 2" xfId="440" xr:uid="{00000000-0005-0000-0000-000005010000}"/>
    <cellStyle name="Comma 7 2 2" xfId="441" xr:uid="{00000000-0005-0000-0000-000006010000}"/>
    <cellStyle name="Comma 7 2 2 2" xfId="442" xr:uid="{00000000-0005-0000-0000-000007010000}"/>
    <cellStyle name="Comma 7 2 2 2 2" xfId="443" xr:uid="{00000000-0005-0000-0000-000008010000}"/>
    <cellStyle name="Comma 7 2 2 2 3" xfId="444" xr:uid="{00000000-0005-0000-0000-000009010000}"/>
    <cellStyle name="Comma 7 2 2 3" xfId="445" xr:uid="{00000000-0005-0000-0000-00000A010000}"/>
    <cellStyle name="Comma 8" xfId="446" xr:uid="{00000000-0005-0000-0000-00000B010000}"/>
    <cellStyle name="Comma 9" xfId="447" xr:uid="{00000000-0005-0000-0000-00000C010000}"/>
    <cellStyle name="Comma0" xfId="54" xr:uid="{00000000-0005-0000-0000-00000D010000}"/>
    <cellStyle name="Comma0 - Style1" xfId="448" xr:uid="{00000000-0005-0000-0000-00000E010000}"/>
    <cellStyle name="Comma0 - Style2" xfId="449" xr:uid="{00000000-0005-0000-0000-00000F010000}"/>
    <cellStyle name="Comma0 - Style3" xfId="450" xr:uid="{00000000-0005-0000-0000-000010010000}"/>
    <cellStyle name="Comma0 - Style4" xfId="451" xr:uid="{00000000-0005-0000-0000-000011010000}"/>
    <cellStyle name="Comma0 2" xfId="452" xr:uid="{00000000-0005-0000-0000-000012010000}"/>
    <cellStyle name="Comma0 2 2" xfId="453" xr:uid="{00000000-0005-0000-0000-000013010000}"/>
    <cellStyle name="Comma0 3" xfId="454" xr:uid="{00000000-0005-0000-0000-000014010000}"/>
    <cellStyle name="Comma0 4" xfId="455" xr:uid="{00000000-0005-0000-0000-000015010000}"/>
    <cellStyle name="Comma0_1st Qtr 2009 Global Insight Factors" xfId="456" xr:uid="{00000000-0005-0000-0000-000016010000}"/>
    <cellStyle name="Comma1 - Style1" xfId="457" xr:uid="{00000000-0005-0000-0000-000017010000}"/>
    <cellStyle name="Curren - Style2" xfId="458" xr:uid="{00000000-0005-0000-0000-000018010000}"/>
    <cellStyle name="Curren - Style3" xfId="459" xr:uid="{00000000-0005-0000-0000-000019010000}"/>
    <cellStyle name="Currency" xfId="2" builtinId="4"/>
    <cellStyle name="Currency 10" xfId="460" xr:uid="{00000000-0005-0000-0000-00001B010000}"/>
    <cellStyle name="Currency 10 2" xfId="461" xr:uid="{00000000-0005-0000-0000-00001C010000}"/>
    <cellStyle name="Currency 10 3" xfId="462" xr:uid="{00000000-0005-0000-0000-00001D010000}"/>
    <cellStyle name="Currency 2" xfId="9" xr:uid="{00000000-0005-0000-0000-00001E010000}"/>
    <cellStyle name="Currency 2 10" xfId="55" xr:uid="{00000000-0005-0000-0000-00001F010000}"/>
    <cellStyle name="Currency 2 11" xfId="56" xr:uid="{00000000-0005-0000-0000-000020010000}"/>
    <cellStyle name="Currency 2 12" xfId="57" xr:uid="{00000000-0005-0000-0000-000021010000}"/>
    <cellStyle name="Currency 2 13" xfId="58" xr:uid="{00000000-0005-0000-0000-000022010000}"/>
    <cellStyle name="Currency 2 14" xfId="59" xr:uid="{00000000-0005-0000-0000-000023010000}"/>
    <cellStyle name="Currency 2 15" xfId="60" xr:uid="{00000000-0005-0000-0000-000024010000}"/>
    <cellStyle name="Currency 2 16" xfId="61" xr:uid="{00000000-0005-0000-0000-000025010000}"/>
    <cellStyle name="Currency 2 17" xfId="62" xr:uid="{00000000-0005-0000-0000-000026010000}"/>
    <cellStyle name="Currency 2 18" xfId="63" xr:uid="{00000000-0005-0000-0000-000027010000}"/>
    <cellStyle name="Currency 2 19" xfId="64" xr:uid="{00000000-0005-0000-0000-000028010000}"/>
    <cellStyle name="Currency 2 2" xfId="65" xr:uid="{00000000-0005-0000-0000-000029010000}"/>
    <cellStyle name="Currency 2 2 2" xfId="66" xr:uid="{00000000-0005-0000-0000-00002A010000}"/>
    <cellStyle name="Currency 2 20" xfId="67" xr:uid="{00000000-0005-0000-0000-00002B010000}"/>
    <cellStyle name="Currency 2 21" xfId="68" xr:uid="{00000000-0005-0000-0000-00002C010000}"/>
    <cellStyle name="Currency 2 3" xfId="69" xr:uid="{00000000-0005-0000-0000-00002D010000}"/>
    <cellStyle name="Currency 2 4" xfId="70" xr:uid="{00000000-0005-0000-0000-00002E010000}"/>
    <cellStyle name="Currency 2 5" xfId="71" xr:uid="{00000000-0005-0000-0000-00002F010000}"/>
    <cellStyle name="Currency 2 6" xfId="72" xr:uid="{00000000-0005-0000-0000-000030010000}"/>
    <cellStyle name="Currency 2 7" xfId="73" xr:uid="{00000000-0005-0000-0000-000031010000}"/>
    <cellStyle name="Currency 2 8" xfId="74" xr:uid="{00000000-0005-0000-0000-000032010000}"/>
    <cellStyle name="Currency 2 9" xfId="75" xr:uid="{00000000-0005-0000-0000-000033010000}"/>
    <cellStyle name="Currency 3" xfId="199" xr:uid="{00000000-0005-0000-0000-000034010000}"/>
    <cellStyle name="Currency 3 2" xfId="463" xr:uid="{00000000-0005-0000-0000-000035010000}"/>
    <cellStyle name="Currency 4" xfId="464" xr:uid="{00000000-0005-0000-0000-000036010000}"/>
    <cellStyle name="Currency 4 2" xfId="465" xr:uid="{00000000-0005-0000-0000-000037010000}"/>
    <cellStyle name="Currency 5" xfId="466" xr:uid="{00000000-0005-0000-0000-000038010000}"/>
    <cellStyle name="Currency 6" xfId="467" xr:uid="{00000000-0005-0000-0000-000039010000}"/>
    <cellStyle name="Currency 7" xfId="468" xr:uid="{00000000-0005-0000-0000-00003A010000}"/>
    <cellStyle name="Currency 7 2" xfId="469" xr:uid="{00000000-0005-0000-0000-00003B010000}"/>
    <cellStyle name="Currency 7 2 2" xfId="470" xr:uid="{00000000-0005-0000-0000-00003C010000}"/>
    <cellStyle name="Currency 8" xfId="471" xr:uid="{00000000-0005-0000-0000-00003D010000}"/>
    <cellStyle name="Currency 9" xfId="472" xr:uid="{00000000-0005-0000-0000-00003E010000}"/>
    <cellStyle name="Currency No Comma" xfId="76" xr:uid="{00000000-0005-0000-0000-00003F010000}"/>
    <cellStyle name="Currency(0)" xfId="473" xr:uid="{00000000-0005-0000-0000-000040010000}"/>
    <cellStyle name="Currency0" xfId="77" xr:uid="{00000000-0005-0000-0000-000041010000}"/>
    <cellStyle name="Currency0 2" xfId="474" xr:uid="{00000000-0005-0000-0000-000042010000}"/>
    <cellStyle name="Currency0 2 2" xfId="475" xr:uid="{00000000-0005-0000-0000-000043010000}"/>
    <cellStyle name="Currency0 3" xfId="476" xr:uid="{00000000-0005-0000-0000-000044010000}"/>
    <cellStyle name="Currency0 4" xfId="477" xr:uid="{00000000-0005-0000-0000-000045010000}"/>
    <cellStyle name="Custom - Style8" xfId="478" xr:uid="{00000000-0005-0000-0000-000046010000}"/>
    <cellStyle name="Data   - Style2" xfId="479" xr:uid="{00000000-0005-0000-0000-000047010000}"/>
    <cellStyle name="Date" xfId="78" xr:uid="{00000000-0005-0000-0000-000048010000}"/>
    <cellStyle name="Date - Style1" xfId="480" xr:uid="{00000000-0005-0000-0000-000049010000}"/>
    <cellStyle name="Date - Style3" xfId="481" xr:uid="{00000000-0005-0000-0000-00004A010000}"/>
    <cellStyle name="Date 2" xfId="482" xr:uid="{00000000-0005-0000-0000-00004B010000}"/>
    <cellStyle name="Date 2 2" xfId="483" xr:uid="{00000000-0005-0000-0000-00004C010000}"/>
    <cellStyle name="Date 3" xfId="484" xr:uid="{00000000-0005-0000-0000-00004D010000}"/>
    <cellStyle name="Date 4" xfId="485" xr:uid="{00000000-0005-0000-0000-00004E010000}"/>
    <cellStyle name="Date_1st Qtr 2009 Global Insight Factors" xfId="486" xr:uid="{00000000-0005-0000-0000-00004F010000}"/>
    <cellStyle name="Explanatory Text 2" xfId="487" xr:uid="{00000000-0005-0000-0000-000050010000}"/>
    <cellStyle name="Explanatory Text 3" xfId="488" xr:uid="{00000000-0005-0000-0000-000051010000}"/>
    <cellStyle name="Explanatory Text 4" xfId="489" xr:uid="{00000000-0005-0000-0000-000052010000}"/>
    <cellStyle name="Explanatory Text 5" xfId="490" xr:uid="{00000000-0005-0000-0000-000053010000}"/>
    <cellStyle name="Explanatory Text 6" xfId="491" xr:uid="{00000000-0005-0000-0000-000054010000}"/>
    <cellStyle name="Fixed" xfId="79" xr:uid="{00000000-0005-0000-0000-000055010000}"/>
    <cellStyle name="Fixed 2" xfId="492" xr:uid="{00000000-0005-0000-0000-000056010000}"/>
    <cellStyle name="Fixed 2 2" xfId="493" xr:uid="{00000000-0005-0000-0000-000057010000}"/>
    <cellStyle name="Fixed 3" xfId="494" xr:uid="{00000000-0005-0000-0000-000058010000}"/>
    <cellStyle name="Fixed 4" xfId="495" xr:uid="{00000000-0005-0000-0000-000059010000}"/>
    <cellStyle name="Fixed2 - Style2" xfId="496" xr:uid="{00000000-0005-0000-0000-00005A010000}"/>
    <cellStyle name="General" xfId="10" xr:uid="{00000000-0005-0000-0000-00005B010000}"/>
    <cellStyle name="Good 2" xfId="497" xr:uid="{00000000-0005-0000-0000-00005C010000}"/>
    <cellStyle name="Good 3" xfId="498" xr:uid="{00000000-0005-0000-0000-00005D010000}"/>
    <cellStyle name="Good 4" xfId="499" xr:uid="{00000000-0005-0000-0000-00005E010000}"/>
    <cellStyle name="Good 5" xfId="500" xr:uid="{00000000-0005-0000-0000-00005F010000}"/>
    <cellStyle name="Good 6" xfId="501" xr:uid="{00000000-0005-0000-0000-000060010000}"/>
    <cellStyle name="Grey" xfId="200" xr:uid="{00000000-0005-0000-0000-000061010000}"/>
    <cellStyle name="Grey 2" xfId="502" xr:uid="{00000000-0005-0000-0000-000062010000}"/>
    <cellStyle name="Grey 3" xfId="503" xr:uid="{00000000-0005-0000-0000-000063010000}"/>
    <cellStyle name="header" xfId="201" xr:uid="{00000000-0005-0000-0000-000064010000}"/>
    <cellStyle name="Header1" xfId="202" xr:uid="{00000000-0005-0000-0000-000065010000}"/>
    <cellStyle name="Header2" xfId="203" xr:uid="{00000000-0005-0000-0000-000066010000}"/>
    <cellStyle name="Heading 1 2" xfId="504" xr:uid="{00000000-0005-0000-0000-000067010000}"/>
    <cellStyle name="Heading 2 2" xfId="505" xr:uid="{00000000-0005-0000-0000-000068010000}"/>
    <cellStyle name="Heading 2 2 2" xfId="506" xr:uid="{00000000-0005-0000-0000-000069010000}"/>
    <cellStyle name="Heading 2 3" xfId="507" xr:uid="{00000000-0005-0000-0000-00006A010000}"/>
    <cellStyle name="Heading 2 4" xfId="508" xr:uid="{00000000-0005-0000-0000-00006B010000}"/>
    <cellStyle name="Heading 2 5" xfId="509" xr:uid="{00000000-0005-0000-0000-00006C010000}"/>
    <cellStyle name="Heading 3 2" xfId="510" xr:uid="{00000000-0005-0000-0000-00006D010000}"/>
    <cellStyle name="Heading 3 3" xfId="511" xr:uid="{00000000-0005-0000-0000-00006E010000}"/>
    <cellStyle name="Heading 3 4" xfId="512" xr:uid="{00000000-0005-0000-0000-00006F010000}"/>
    <cellStyle name="Heading 3 5" xfId="513" xr:uid="{00000000-0005-0000-0000-000070010000}"/>
    <cellStyle name="Heading 3 6" xfId="514" xr:uid="{00000000-0005-0000-0000-000071010000}"/>
    <cellStyle name="Heading 4 2" xfId="515" xr:uid="{00000000-0005-0000-0000-000072010000}"/>
    <cellStyle name="Heading 4 3" xfId="516" xr:uid="{00000000-0005-0000-0000-000073010000}"/>
    <cellStyle name="Heading 4 4" xfId="517" xr:uid="{00000000-0005-0000-0000-000074010000}"/>
    <cellStyle name="Heading 4 5" xfId="518" xr:uid="{00000000-0005-0000-0000-000075010000}"/>
    <cellStyle name="Heading 4 6" xfId="519" xr:uid="{00000000-0005-0000-0000-000076010000}"/>
    <cellStyle name="Heading1" xfId="520" xr:uid="{00000000-0005-0000-0000-000077010000}"/>
    <cellStyle name="Heading2" xfId="521" xr:uid="{00000000-0005-0000-0000-000078010000}"/>
    <cellStyle name="Hyperlink 2" xfId="522" xr:uid="{00000000-0005-0000-0000-000079010000}"/>
    <cellStyle name="Hyperlink 2 2" xfId="523" xr:uid="{00000000-0005-0000-0000-00007A010000}"/>
    <cellStyle name="Hyperlink 2 3" xfId="524" xr:uid="{00000000-0005-0000-0000-00007B010000}"/>
    <cellStyle name="Hyperlink 3" xfId="525" xr:uid="{00000000-0005-0000-0000-00007C010000}"/>
    <cellStyle name="Hyperlink 4" xfId="526" xr:uid="{00000000-0005-0000-0000-00007D010000}"/>
    <cellStyle name="Input [yellow]" xfId="204" xr:uid="{00000000-0005-0000-0000-00007E010000}"/>
    <cellStyle name="Input [yellow] 2" xfId="527" xr:uid="{00000000-0005-0000-0000-00007F010000}"/>
    <cellStyle name="Input [yellow] 3" xfId="528" xr:uid="{00000000-0005-0000-0000-000080010000}"/>
    <cellStyle name="Input 2" xfId="529" xr:uid="{00000000-0005-0000-0000-000081010000}"/>
    <cellStyle name="Input 2 2" xfId="530" xr:uid="{00000000-0005-0000-0000-000082010000}"/>
    <cellStyle name="Inst. Sections" xfId="531" xr:uid="{00000000-0005-0000-0000-000083010000}"/>
    <cellStyle name="Inst. Subheading" xfId="532" xr:uid="{00000000-0005-0000-0000-000084010000}"/>
    <cellStyle name="Labels - Style3" xfId="533" xr:uid="{00000000-0005-0000-0000-000085010000}"/>
    <cellStyle name="Linked Cell 2" xfId="534" xr:uid="{00000000-0005-0000-0000-000086010000}"/>
    <cellStyle name="Linked Cell 3" xfId="535" xr:uid="{00000000-0005-0000-0000-000087010000}"/>
    <cellStyle name="Linked Cell 4" xfId="536" xr:uid="{00000000-0005-0000-0000-000088010000}"/>
    <cellStyle name="Linked Cell 5" xfId="537" xr:uid="{00000000-0005-0000-0000-000089010000}"/>
    <cellStyle name="Linked Cell 6" xfId="538" xr:uid="{00000000-0005-0000-0000-00008A010000}"/>
    <cellStyle name="Macro" xfId="539" xr:uid="{00000000-0005-0000-0000-00008B010000}"/>
    <cellStyle name="macro descr" xfId="540" xr:uid="{00000000-0005-0000-0000-00008C010000}"/>
    <cellStyle name="Macro_Comments" xfId="541" xr:uid="{00000000-0005-0000-0000-00008D010000}"/>
    <cellStyle name="MacroText" xfId="542" xr:uid="{00000000-0005-0000-0000-00008E010000}"/>
    <cellStyle name="Marathon" xfId="543" xr:uid="{00000000-0005-0000-0000-00008F010000}"/>
    <cellStyle name="MCP" xfId="80" xr:uid="{00000000-0005-0000-0000-000090010000}"/>
    <cellStyle name="Neutral 2" xfId="544" xr:uid="{00000000-0005-0000-0000-000091010000}"/>
    <cellStyle name="Neutral 3" xfId="545" xr:uid="{00000000-0005-0000-0000-000092010000}"/>
    <cellStyle name="Neutral 4" xfId="546" xr:uid="{00000000-0005-0000-0000-000093010000}"/>
    <cellStyle name="Neutral 5" xfId="547" xr:uid="{00000000-0005-0000-0000-000094010000}"/>
    <cellStyle name="Neutral 6" xfId="548" xr:uid="{00000000-0005-0000-0000-000095010000}"/>
    <cellStyle name="nONE" xfId="11" xr:uid="{00000000-0005-0000-0000-000096010000}"/>
    <cellStyle name="nONE 2" xfId="549" xr:uid="{00000000-0005-0000-0000-000097010000}"/>
    <cellStyle name="noninput" xfId="81" xr:uid="{00000000-0005-0000-0000-000098010000}"/>
    <cellStyle name="noninput 2" xfId="550" xr:uid="{00000000-0005-0000-0000-000099010000}"/>
    <cellStyle name="noninput 3" xfId="551" xr:uid="{00000000-0005-0000-0000-00009A010000}"/>
    <cellStyle name="noninput 4" xfId="552" xr:uid="{00000000-0005-0000-0000-00009B010000}"/>
    <cellStyle name="Normal" xfId="0" builtinId="0"/>
    <cellStyle name="Normal - Style1" xfId="205" xr:uid="{00000000-0005-0000-0000-00009D010000}"/>
    <cellStyle name="Normal - Style1 2" xfId="553" xr:uid="{00000000-0005-0000-0000-00009E010000}"/>
    <cellStyle name="Normal - Style1 3" xfId="554" xr:uid="{00000000-0005-0000-0000-00009F010000}"/>
    <cellStyle name="Normal - Style2" xfId="555" xr:uid="{00000000-0005-0000-0000-0000A0010000}"/>
    <cellStyle name="Normal - Style3" xfId="556" xr:uid="{00000000-0005-0000-0000-0000A1010000}"/>
    <cellStyle name="Normal - Style4" xfId="557" xr:uid="{00000000-0005-0000-0000-0000A2010000}"/>
    <cellStyle name="Normal - Style5" xfId="558" xr:uid="{00000000-0005-0000-0000-0000A3010000}"/>
    <cellStyle name="Normal - Style6" xfId="559" xr:uid="{00000000-0005-0000-0000-0000A4010000}"/>
    <cellStyle name="Normal - Style7" xfId="560" xr:uid="{00000000-0005-0000-0000-0000A5010000}"/>
    <cellStyle name="Normal - Style8" xfId="561" xr:uid="{00000000-0005-0000-0000-0000A6010000}"/>
    <cellStyle name="Normal 10" xfId="82" xr:uid="{00000000-0005-0000-0000-0000A7010000}"/>
    <cellStyle name="Normal 10 2" xfId="562" xr:uid="{00000000-0005-0000-0000-0000A8010000}"/>
    <cellStyle name="Normal 10 2 2" xfId="563" xr:uid="{00000000-0005-0000-0000-0000A9010000}"/>
    <cellStyle name="Normal 10 3" xfId="564" xr:uid="{00000000-0005-0000-0000-0000AA010000}"/>
    <cellStyle name="Normal 10 4" xfId="565" xr:uid="{00000000-0005-0000-0000-0000AB010000}"/>
    <cellStyle name="Normal 10 5" xfId="566" xr:uid="{00000000-0005-0000-0000-0000AC010000}"/>
    <cellStyle name="Normal 10 6" xfId="567" xr:uid="{00000000-0005-0000-0000-0000AD010000}"/>
    <cellStyle name="Normal 100" xfId="568" xr:uid="{00000000-0005-0000-0000-0000AE010000}"/>
    <cellStyle name="Normal 101" xfId="569" xr:uid="{00000000-0005-0000-0000-0000AF010000}"/>
    <cellStyle name="Normal 102" xfId="570" xr:uid="{00000000-0005-0000-0000-0000B0010000}"/>
    <cellStyle name="Normal 103" xfId="571" xr:uid="{00000000-0005-0000-0000-0000B1010000}"/>
    <cellStyle name="Normal 104" xfId="572" xr:uid="{00000000-0005-0000-0000-0000B2010000}"/>
    <cellStyle name="Normal 105" xfId="573" xr:uid="{00000000-0005-0000-0000-0000B3010000}"/>
    <cellStyle name="Normal 106" xfId="574" xr:uid="{00000000-0005-0000-0000-0000B4010000}"/>
    <cellStyle name="Normal 107" xfId="575" xr:uid="{00000000-0005-0000-0000-0000B5010000}"/>
    <cellStyle name="Normal 108" xfId="576" xr:uid="{00000000-0005-0000-0000-0000B6010000}"/>
    <cellStyle name="Normal 109" xfId="577" xr:uid="{00000000-0005-0000-0000-0000B7010000}"/>
    <cellStyle name="Normal 11" xfId="83" xr:uid="{00000000-0005-0000-0000-0000B8010000}"/>
    <cellStyle name="Normal 11 2" xfId="578" xr:uid="{00000000-0005-0000-0000-0000B9010000}"/>
    <cellStyle name="Normal 11 2 2" xfId="579" xr:uid="{00000000-0005-0000-0000-0000BA010000}"/>
    <cellStyle name="Normal 110" xfId="580" xr:uid="{00000000-0005-0000-0000-0000BB010000}"/>
    <cellStyle name="Normal 111" xfId="581" xr:uid="{00000000-0005-0000-0000-0000BC010000}"/>
    <cellStyle name="Normal 112" xfId="582" xr:uid="{00000000-0005-0000-0000-0000BD010000}"/>
    <cellStyle name="Normal 113" xfId="583" xr:uid="{00000000-0005-0000-0000-0000BE010000}"/>
    <cellStyle name="Normal 114" xfId="584" xr:uid="{00000000-0005-0000-0000-0000BF010000}"/>
    <cellStyle name="Normal 115" xfId="585" xr:uid="{00000000-0005-0000-0000-0000C0010000}"/>
    <cellStyle name="Normal 116" xfId="586" xr:uid="{00000000-0005-0000-0000-0000C1010000}"/>
    <cellStyle name="Normal 117" xfId="587" xr:uid="{00000000-0005-0000-0000-0000C2010000}"/>
    <cellStyle name="Normal 118" xfId="588" xr:uid="{00000000-0005-0000-0000-0000C3010000}"/>
    <cellStyle name="Normal 119" xfId="589" xr:uid="{00000000-0005-0000-0000-0000C4010000}"/>
    <cellStyle name="Normal 12" xfId="84" xr:uid="{00000000-0005-0000-0000-0000C5010000}"/>
    <cellStyle name="Normal 12 2" xfId="590" xr:uid="{00000000-0005-0000-0000-0000C6010000}"/>
    <cellStyle name="Normal 120" xfId="591" xr:uid="{00000000-0005-0000-0000-0000C7010000}"/>
    <cellStyle name="Normal 121" xfId="592" xr:uid="{00000000-0005-0000-0000-0000C8010000}"/>
    <cellStyle name="Normal 122" xfId="593" xr:uid="{00000000-0005-0000-0000-0000C9010000}"/>
    <cellStyle name="Normal 123" xfId="594" xr:uid="{00000000-0005-0000-0000-0000CA010000}"/>
    <cellStyle name="Normal 124" xfId="595" xr:uid="{00000000-0005-0000-0000-0000CB010000}"/>
    <cellStyle name="Normal 125" xfId="596" xr:uid="{00000000-0005-0000-0000-0000CC010000}"/>
    <cellStyle name="Normal 126" xfId="597" xr:uid="{00000000-0005-0000-0000-0000CD010000}"/>
    <cellStyle name="Normal 127" xfId="598" xr:uid="{00000000-0005-0000-0000-0000CE010000}"/>
    <cellStyle name="Normal 128" xfId="599" xr:uid="{00000000-0005-0000-0000-0000CF010000}"/>
    <cellStyle name="Normal 129" xfId="600" xr:uid="{00000000-0005-0000-0000-0000D0010000}"/>
    <cellStyle name="Normal 13" xfId="85" xr:uid="{00000000-0005-0000-0000-0000D1010000}"/>
    <cellStyle name="Normal 130" xfId="601" xr:uid="{00000000-0005-0000-0000-0000D2010000}"/>
    <cellStyle name="Normal 131" xfId="602" xr:uid="{00000000-0005-0000-0000-0000D3010000}"/>
    <cellStyle name="Normal 132" xfId="603" xr:uid="{00000000-0005-0000-0000-0000D4010000}"/>
    <cellStyle name="Normal 133" xfId="604" xr:uid="{00000000-0005-0000-0000-0000D5010000}"/>
    <cellStyle name="Normal 134" xfId="605" xr:uid="{00000000-0005-0000-0000-0000D6010000}"/>
    <cellStyle name="Normal 135" xfId="606" xr:uid="{00000000-0005-0000-0000-0000D7010000}"/>
    <cellStyle name="Normal 136" xfId="607" xr:uid="{00000000-0005-0000-0000-0000D8010000}"/>
    <cellStyle name="Normal 137" xfId="608" xr:uid="{00000000-0005-0000-0000-0000D9010000}"/>
    <cellStyle name="Normal 138" xfId="609" xr:uid="{00000000-0005-0000-0000-0000DA010000}"/>
    <cellStyle name="Normal 139" xfId="610" xr:uid="{00000000-0005-0000-0000-0000DB010000}"/>
    <cellStyle name="Normal 14" xfId="86" xr:uid="{00000000-0005-0000-0000-0000DC010000}"/>
    <cellStyle name="Normal 14 2" xfId="611" xr:uid="{00000000-0005-0000-0000-0000DD010000}"/>
    <cellStyle name="Normal 140" xfId="612" xr:uid="{00000000-0005-0000-0000-0000DE010000}"/>
    <cellStyle name="Normal 141" xfId="613" xr:uid="{00000000-0005-0000-0000-0000DF010000}"/>
    <cellStyle name="Normal 142" xfId="614" xr:uid="{00000000-0005-0000-0000-0000E0010000}"/>
    <cellStyle name="Normal 143" xfId="615" xr:uid="{00000000-0005-0000-0000-0000E1010000}"/>
    <cellStyle name="Normal 144" xfId="616" xr:uid="{00000000-0005-0000-0000-0000E2010000}"/>
    <cellStyle name="Normal 145" xfId="617" xr:uid="{00000000-0005-0000-0000-0000E3010000}"/>
    <cellStyle name="Normal 146" xfId="618" xr:uid="{00000000-0005-0000-0000-0000E4010000}"/>
    <cellStyle name="Normal 147" xfId="619" xr:uid="{00000000-0005-0000-0000-0000E5010000}"/>
    <cellStyle name="Normal 148" xfId="620" xr:uid="{00000000-0005-0000-0000-0000E6010000}"/>
    <cellStyle name="Normal 149" xfId="621" xr:uid="{00000000-0005-0000-0000-0000E7010000}"/>
    <cellStyle name="Normal 15" xfId="184" xr:uid="{00000000-0005-0000-0000-0000E8010000}"/>
    <cellStyle name="Normal 15 2" xfId="622" xr:uid="{00000000-0005-0000-0000-0000E9010000}"/>
    <cellStyle name="Normal 15 2 2" xfId="623" xr:uid="{00000000-0005-0000-0000-0000EA010000}"/>
    <cellStyle name="Normal 150" xfId="624" xr:uid="{00000000-0005-0000-0000-0000EB010000}"/>
    <cellStyle name="Normal 151" xfId="625" xr:uid="{00000000-0005-0000-0000-0000EC010000}"/>
    <cellStyle name="Normal 152" xfId="626" xr:uid="{00000000-0005-0000-0000-0000ED010000}"/>
    <cellStyle name="Normal 153" xfId="627" xr:uid="{00000000-0005-0000-0000-0000EE010000}"/>
    <cellStyle name="Normal 154" xfId="628" xr:uid="{00000000-0005-0000-0000-0000EF010000}"/>
    <cellStyle name="Normal 155" xfId="629" xr:uid="{00000000-0005-0000-0000-0000F0010000}"/>
    <cellStyle name="Normal 156" xfId="630" xr:uid="{00000000-0005-0000-0000-0000F1010000}"/>
    <cellStyle name="Normal 157" xfId="631" xr:uid="{00000000-0005-0000-0000-0000F2010000}"/>
    <cellStyle name="Normal 158" xfId="632" xr:uid="{00000000-0005-0000-0000-0000F3010000}"/>
    <cellStyle name="Normal 159" xfId="633" xr:uid="{00000000-0005-0000-0000-0000F4010000}"/>
    <cellStyle name="Normal 16" xfId="87" xr:uid="{00000000-0005-0000-0000-0000F5010000}"/>
    <cellStyle name="Normal 16 2" xfId="634" xr:uid="{00000000-0005-0000-0000-0000F6010000}"/>
    <cellStyle name="Normal 160" xfId="635" xr:uid="{00000000-0005-0000-0000-0000F7010000}"/>
    <cellStyle name="Normal 161" xfId="636" xr:uid="{00000000-0005-0000-0000-0000F8010000}"/>
    <cellStyle name="Normal 162" xfId="637" xr:uid="{00000000-0005-0000-0000-0000F9010000}"/>
    <cellStyle name="Normal 163" xfId="638" xr:uid="{00000000-0005-0000-0000-0000FA010000}"/>
    <cellStyle name="Normal 164" xfId="639" xr:uid="{00000000-0005-0000-0000-0000FB010000}"/>
    <cellStyle name="Normal 165" xfId="640" xr:uid="{00000000-0005-0000-0000-0000FC010000}"/>
    <cellStyle name="Normal 166" xfId="641" xr:uid="{00000000-0005-0000-0000-0000FD010000}"/>
    <cellStyle name="Normal 167" xfId="642" xr:uid="{00000000-0005-0000-0000-0000FE010000}"/>
    <cellStyle name="Normal 168" xfId="643" xr:uid="{00000000-0005-0000-0000-0000FF010000}"/>
    <cellStyle name="Normal 169" xfId="644" xr:uid="{00000000-0005-0000-0000-000000020000}"/>
    <cellStyle name="Normal 17" xfId="88" xr:uid="{00000000-0005-0000-0000-000001020000}"/>
    <cellStyle name="Normal 170" xfId="645" xr:uid="{00000000-0005-0000-0000-000002020000}"/>
    <cellStyle name="Normal 171" xfId="646" xr:uid="{00000000-0005-0000-0000-000003020000}"/>
    <cellStyle name="Normal 172" xfId="647" xr:uid="{00000000-0005-0000-0000-000004020000}"/>
    <cellStyle name="Normal 173" xfId="648" xr:uid="{00000000-0005-0000-0000-000005020000}"/>
    <cellStyle name="Normal 174" xfId="649" xr:uid="{00000000-0005-0000-0000-000006020000}"/>
    <cellStyle name="Normal 175" xfId="650" xr:uid="{00000000-0005-0000-0000-000007020000}"/>
    <cellStyle name="Normal 176" xfId="651" xr:uid="{00000000-0005-0000-0000-000008020000}"/>
    <cellStyle name="Normal 177" xfId="652" xr:uid="{00000000-0005-0000-0000-000009020000}"/>
    <cellStyle name="Normal 178" xfId="653" xr:uid="{00000000-0005-0000-0000-00000A020000}"/>
    <cellStyle name="Normal 179" xfId="654" xr:uid="{00000000-0005-0000-0000-00000B020000}"/>
    <cellStyle name="Normal 18" xfId="89" xr:uid="{00000000-0005-0000-0000-00000C020000}"/>
    <cellStyle name="Normal 18 2" xfId="655" xr:uid="{00000000-0005-0000-0000-00000D020000}"/>
    <cellStyle name="Normal 180" xfId="656" xr:uid="{00000000-0005-0000-0000-00000E020000}"/>
    <cellStyle name="Normal 181" xfId="657" xr:uid="{00000000-0005-0000-0000-00000F020000}"/>
    <cellStyle name="Normal 182" xfId="658" xr:uid="{00000000-0005-0000-0000-000010020000}"/>
    <cellStyle name="Normal 183" xfId="659" xr:uid="{00000000-0005-0000-0000-000011020000}"/>
    <cellStyle name="Normal 184" xfId="660" xr:uid="{00000000-0005-0000-0000-000012020000}"/>
    <cellStyle name="Normal 185" xfId="661" xr:uid="{00000000-0005-0000-0000-000013020000}"/>
    <cellStyle name="Normal 186" xfId="662" xr:uid="{00000000-0005-0000-0000-000014020000}"/>
    <cellStyle name="Normal 187" xfId="663" xr:uid="{00000000-0005-0000-0000-000015020000}"/>
    <cellStyle name="Normal 188" xfId="664" xr:uid="{00000000-0005-0000-0000-000016020000}"/>
    <cellStyle name="Normal 189" xfId="665" xr:uid="{00000000-0005-0000-0000-000017020000}"/>
    <cellStyle name="Normal 19" xfId="90" xr:uid="{00000000-0005-0000-0000-000018020000}"/>
    <cellStyle name="Normal 190" xfId="666" xr:uid="{00000000-0005-0000-0000-000019020000}"/>
    <cellStyle name="Normal 191" xfId="667" xr:uid="{00000000-0005-0000-0000-00001A020000}"/>
    <cellStyle name="Normal 192" xfId="668" xr:uid="{00000000-0005-0000-0000-00001B020000}"/>
    <cellStyle name="Normal 193" xfId="669" xr:uid="{00000000-0005-0000-0000-00001C020000}"/>
    <cellStyle name="Normal 194" xfId="670" xr:uid="{00000000-0005-0000-0000-00001D020000}"/>
    <cellStyle name="Normal 195" xfId="671" xr:uid="{00000000-0005-0000-0000-00001E020000}"/>
    <cellStyle name="Normal 196" xfId="672" xr:uid="{00000000-0005-0000-0000-00001F020000}"/>
    <cellStyle name="Normal 197" xfId="673" xr:uid="{00000000-0005-0000-0000-000020020000}"/>
    <cellStyle name="Normal 198" xfId="674" xr:uid="{00000000-0005-0000-0000-000021020000}"/>
    <cellStyle name="Normal 199" xfId="675" xr:uid="{00000000-0005-0000-0000-000022020000}"/>
    <cellStyle name="Normal 2" xfId="12" xr:uid="{00000000-0005-0000-0000-000023020000}"/>
    <cellStyle name="Normal 2 10" xfId="91" xr:uid="{00000000-0005-0000-0000-000024020000}"/>
    <cellStyle name="Normal 2 10 2" xfId="676" xr:uid="{00000000-0005-0000-0000-000025020000}"/>
    <cellStyle name="Normal 2 10 2 2 2 3" xfId="1082" xr:uid="{00000000-0005-0000-0000-000026020000}"/>
    <cellStyle name="Normal 2 11" xfId="92" xr:uid="{00000000-0005-0000-0000-000027020000}"/>
    <cellStyle name="Normal 2 12" xfId="93" xr:uid="{00000000-0005-0000-0000-000028020000}"/>
    <cellStyle name="Normal 2 13" xfId="94" xr:uid="{00000000-0005-0000-0000-000029020000}"/>
    <cellStyle name="Normal 2 14" xfId="95" xr:uid="{00000000-0005-0000-0000-00002A020000}"/>
    <cellStyle name="Normal 2 15" xfId="96" xr:uid="{00000000-0005-0000-0000-00002B020000}"/>
    <cellStyle name="Normal 2 16" xfId="97" xr:uid="{00000000-0005-0000-0000-00002C020000}"/>
    <cellStyle name="Normal 2 17" xfId="98" xr:uid="{00000000-0005-0000-0000-00002D020000}"/>
    <cellStyle name="Normal 2 18" xfId="99" xr:uid="{00000000-0005-0000-0000-00002E020000}"/>
    <cellStyle name="Normal 2 19" xfId="100" xr:uid="{00000000-0005-0000-0000-00002F020000}"/>
    <cellStyle name="Normal 2 2" xfId="6" xr:uid="{00000000-0005-0000-0000-000030020000}"/>
    <cellStyle name="Normal 2 2 2" xfId="677" xr:uid="{00000000-0005-0000-0000-000031020000}"/>
    <cellStyle name="Normal 2 2 2 2" xfId="678" xr:uid="{00000000-0005-0000-0000-000032020000}"/>
    <cellStyle name="Normal 2 2 3" xfId="679" xr:uid="{00000000-0005-0000-0000-000033020000}"/>
    <cellStyle name="Normal 2 2 4" xfId="680" xr:uid="{00000000-0005-0000-0000-000034020000}"/>
    <cellStyle name="Normal 2 2 5" xfId="681" xr:uid="{00000000-0005-0000-0000-000035020000}"/>
    <cellStyle name="Normal 2 20" xfId="101" xr:uid="{00000000-0005-0000-0000-000036020000}"/>
    <cellStyle name="Normal 2 21" xfId="102" xr:uid="{00000000-0005-0000-0000-000037020000}"/>
    <cellStyle name="Normal 2 22" xfId="103" xr:uid="{00000000-0005-0000-0000-000038020000}"/>
    <cellStyle name="Normal 2 23" xfId="682" xr:uid="{00000000-0005-0000-0000-000039020000}"/>
    <cellStyle name="Normal 2 3" xfId="104" xr:uid="{00000000-0005-0000-0000-00003A020000}"/>
    <cellStyle name="Normal 2 3 2" xfId="105" xr:uid="{00000000-0005-0000-0000-00003B020000}"/>
    <cellStyle name="Normal 2 3 2 2" xfId="683" xr:uid="{00000000-0005-0000-0000-00003C020000}"/>
    <cellStyle name="Normal 2 3 3" xfId="684" xr:uid="{00000000-0005-0000-0000-00003D020000}"/>
    <cellStyle name="Normal 2 3 4" xfId="685" xr:uid="{00000000-0005-0000-0000-00003E020000}"/>
    <cellStyle name="Normal 2 3 5" xfId="686" xr:uid="{00000000-0005-0000-0000-00003F020000}"/>
    <cellStyle name="Normal 2 3 6" xfId="687" xr:uid="{00000000-0005-0000-0000-000040020000}"/>
    <cellStyle name="Normal 2 4" xfId="106" xr:uid="{00000000-0005-0000-0000-000041020000}"/>
    <cellStyle name="Normal 2 4 2" xfId="688" xr:uid="{00000000-0005-0000-0000-000042020000}"/>
    <cellStyle name="Normal 2 5" xfId="107" xr:uid="{00000000-0005-0000-0000-000043020000}"/>
    <cellStyle name="Normal 2 5 2" xfId="689" xr:uid="{00000000-0005-0000-0000-000044020000}"/>
    <cellStyle name="Normal 2 6" xfId="108" xr:uid="{00000000-0005-0000-0000-000045020000}"/>
    <cellStyle name="Normal 2 7" xfId="109" xr:uid="{00000000-0005-0000-0000-000046020000}"/>
    <cellStyle name="Normal 2 8" xfId="110" xr:uid="{00000000-0005-0000-0000-000047020000}"/>
    <cellStyle name="Normal 2 9" xfId="111" xr:uid="{00000000-0005-0000-0000-000048020000}"/>
    <cellStyle name="Normal 2_Book1" xfId="112" xr:uid="{00000000-0005-0000-0000-000049020000}"/>
    <cellStyle name="Normal 20" xfId="113" xr:uid="{00000000-0005-0000-0000-00004A020000}"/>
    <cellStyle name="Normal 20 2" xfId="690" xr:uid="{00000000-0005-0000-0000-00004B020000}"/>
    <cellStyle name="Normal 200" xfId="691" xr:uid="{00000000-0005-0000-0000-00004C020000}"/>
    <cellStyle name="Normal 201" xfId="692" xr:uid="{00000000-0005-0000-0000-00004D020000}"/>
    <cellStyle name="Normal 202" xfId="693" xr:uid="{00000000-0005-0000-0000-00004E020000}"/>
    <cellStyle name="Normal 203" xfId="694" xr:uid="{00000000-0005-0000-0000-00004F020000}"/>
    <cellStyle name="Normal 204" xfId="695" xr:uid="{00000000-0005-0000-0000-000050020000}"/>
    <cellStyle name="Normal 205" xfId="696" xr:uid="{00000000-0005-0000-0000-000051020000}"/>
    <cellStyle name="Normal 206" xfId="697" xr:uid="{00000000-0005-0000-0000-000052020000}"/>
    <cellStyle name="Normal 207" xfId="698" xr:uid="{00000000-0005-0000-0000-000053020000}"/>
    <cellStyle name="Normal 208" xfId="699" xr:uid="{00000000-0005-0000-0000-000054020000}"/>
    <cellStyle name="Normal 209" xfId="700" xr:uid="{00000000-0005-0000-0000-000055020000}"/>
    <cellStyle name="Normal 21" xfId="114" xr:uid="{00000000-0005-0000-0000-000056020000}"/>
    <cellStyle name="Normal 210" xfId="701" xr:uid="{00000000-0005-0000-0000-000057020000}"/>
    <cellStyle name="Normal 211" xfId="702" xr:uid="{00000000-0005-0000-0000-000058020000}"/>
    <cellStyle name="Normal 212" xfId="703" xr:uid="{00000000-0005-0000-0000-000059020000}"/>
    <cellStyle name="Normal 213" xfId="704" xr:uid="{00000000-0005-0000-0000-00005A020000}"/>
    <cellStyle name="Normal 214" xfId="705" xr:uid="{00000000-0005-0000-0000-00005B020000}"/>
    <cellStyle name="Normal 215" xfId="706" xr:uid="{00000000-0005-0000-0000-00005C020000}"/>
    <cellStyle name="Normal 216" xfId="707" xr:uid="{00000000-0005-0000-0000-00005D020000}"/>
    <cellStyle name="Normal 217" xfId="708" xr:uid="{00000000-0005-0000-0000-00005E020000}"/>
    <cellStyle name="Normal 218" xfId="709" xr:uid="{00000000-0005-0000-0000-00005F020000}"/>
    <cellStyle name="Normal 219" xfId="710" xr:uid="{00000000-0005-0000-0000-000060020000}"/>
    <cellStyle name="Normal 22" xfId="115" xr:uid="{00000000-0005-0000-0000-000061020000}"/>
    <cellStyle name="Normal 22 2" xfId="711" xr:uid="{00000000-0005-0000-0000-000062020000}"/>
    <cellStyle name="Normal 22 3" xfId="712" xr:uid="{00000000-0005-0000-0000-000063020000}"/>
    <cellStyle name="Normal 220" xfId="713" xr:uid="{00000000-0005-0000-0000-000064020000}"/>
    <cellStyle name="Normal 221" xfId="714" xr:uid="{00000000-0005-0000-0000-000065020000}"/>
    <cellStyle name="Normal 222" xfId="715" xr:uid="{00000000-0005-0000-0000-000066020000}"/>
    <cellStyle name="Normal 223" xfId="716" xr:uid="{00000000-0005-0000-0000-000067020000}"/>
    <cellStyle name="Normal 224" xfId="717" xr:uid="{00000000-0005-0000-0000-000068020000}"/>
    <cellStyle name="Normal 225" xfId="718" xr:uid="{00000000-0005-0000-0000-000069020000}"/>
    <cellStyle name="Normal 226" xfId="719" xr:uid="{00000000-0005-0000-0000-00006A020000}"/>
    <cellStyle name="Normal 227" xfId="720" xr:uid="{00000000-0005-0000-0000-00006B020000}"/>
    <cellStyle name="Normal 228" xfId="721" xr:uid="{00000000-0005-0000-0000-00006C020000}"/>
    <cellStyle name="Normal 229" xfId="722" xr:uid="{00000000-0005-0000-0000-00006D020000}"/>
    <cellStyle name="Normal 23" xfId="116" xr:uid="{00000000-0005-0000-0000-00006E020000}"/>
    <cellStyle name="Normal 23 2" xfId="723" xr:uid="{00000000-0005-0000-0000-00006F020000}"/>
    <cellStyle name="Normal 230" xfId="724" xr:uid="{00000000-0005-0000-0000-000070020000}"/>
    <cellStyle name="Normal 231" xfId="725" xr:uid="{00000000-0005-0000-0000-000071020000}"/>
    <cellStyle name="Normal 232" xfId="726" xr:uid="{00000000-0005-0000-0000-000072020000}"/>
    <cellStyle name="Normal 233" xfId="727" xr:uid="{00000000-0005-0000-0000-000073020000}"/>
    <cellStyle name="Normal 234" xfId="728" xr:uid="{00000000-0005-0000-0000-000074020000}"/>
    <cellStyle name="Normal 235" xfId="729" xr:uid="{00000000-0005-0000-0000-000075020000}"/>
    <cellStyle name="Normal 236" xfId="730" xr:uid="{00000000-0005-0000-0000-000076020000}"/>
    <cellStyle name="Normal 237" xfId="731" xr:uid="{00000000-0005-0000-0000-000077020000}"/>
    <cellStyle name="Normal 238" xfId="732" xr:uid="{00000000-0005-0000-0000-000078020000}"/>
    <cellStyle name="Normal 239" xfId="733" xr:uid="{00000000-0005-0000-0000-000079020000}"/>
    <cellStyle name="Normal 24" xfId="117" xr:uid="{00000000-0005-0000-0000-00007A020000}"/>
    <cellStyle name="Normal 24 2" xfId="734" xr:uid="{00000000-0005-0000-0000-00007B020000}"/>
    <cellStyle name="Normal 24 3" xfId="735" xr:uid="{00000000-0005-0000-0000-00007C020000}"/>
    <cellStyle name="Normal 240" xfId="736" xr:uid="{00000000-0005-0000-0000-00007D020000}"/>
    <cellStyle name="Normal 240 2" xfId="737" xr:uid="{00000000-0005-0000-0000-00007E020000}"/>
    <cellStyle name="Normal 241" xfId="738" xr:uid="{00000000-0005-0000-0000-00007F020000}"/>
    <cellStyle name="Normal 241 2" xfId="739" xr:uid="{00000000-0005-0000-0000-000080020000}"/>
    <cellStyle name="Normal 241 3" xfId="740" xr:uid="{00000000-0005-0000-0000-000081020000}"/>
    <cellStyle name="Normal 242" xfId="741" xr:uid="{00000000-0005-0000-0000-000082020000}"/>
    <cellStyle name="Normal 243" xfId="742" xr:uid="{00000000-0005-0000-0000-000083020000}"/>
    <cellStyle name="Normal 243 2" xfId="743" xr:uid="{00000000-0005-0000-0000-000084020000}"/>
    <cellStyle name="Normal 244" xfId="744" xr:uid="{00000000-0005-0000-0000-000085020000}"/>
    <cellStyle name="Normal 245" xfId="745" xr:uid="{00000000-0005-0000-0000-000086020000}"/>
    <cellStyle name="Normal 246" xfId="746" xr:uid="{00000000-0005-0000-0000-000087020000}"/>
    <cellStyle name="Normal 247" xfId="747" xr:uid="{00000000-0005-0000-0000-000088020000}"/>
    <cellStyle name="Normal 248" xfId="748" xr:uid="{00000000-0005-0000-0000-000089020000}"/>
    <cellStyle name="Normal 249" xfId="749" xr:uid="{00000000-0005-0000-0000-00008A020000}"/>
    <cellStyle name="Normal 25" xfId="188" xr:uid="{00000000-0005-0000-0000-00008B020000}"/>
    <cellStyle name="Normal 250" xfId="750" xr:uid="{00000000-0005-0000-0000-00008C020000}"/>
    <cellStyle name="Normal 251" xfId="751" xr:uid="{00000000-0005-0000-0000-00008D020000}"/>
    <cellStyle name="Normal 252" xfId="752" xr:uid="{00000000-0005-0000-0000-00008E020000}"/>
    <cellStyle name="Normal 253" xfId="753" xr:uid="{00000000-0005-0000-0000-00008F020000}"/>
    <cellStyle name="Normal 254" xfId="754" xr:uid="{00000000-0005-0000-0000-000090020000}"/>
    <cellStyle name="Normal 255" xfId="755" xr:uid="{00000000-0005-0000-0000-000091020000}"/>
    <cellStyle name="Normal 256" xfId="756" xr:uid="{00000000-0005-0000-0000-000092020000}"/>
    <cellStyle name="Normal 257" xfId="757" xr:uid="{00000000-0005-0000-0000-000093020000}"/>
    <cellStyle name="Normal 258" xfId="758" xr:uid="{00000000-0005-0000-0000-000094020000}"/>
    <cellStyle name="Normal 259" xfId="759" xr:uid="{00000000-0005-0000-0000-000095020000}"/>
    <cellStyle name="Normal 26" xfId="215" xr:uid="{00000000-0005-0000-0000-000096020000}"/>
    <cellStyle name="Normal 26 2" xfId="760" xr:uid="{00000000-0005-0000-0000-000097020000}"/>
    <cellStyle name="Normal 260" xfId="761" xr:uid="{00000000-0005-0000-0000-000098020000}"/>
    <cellStyle name="Normal 261" xfId="762" xr:uid="{00000000-0005-0000-0000-000099020000}"/>
    <cellStyle name="Normal 262" xfId="763" xr:uid="{00000000-0005-0000-0000-00009A020000}"/>
    <cellStyle name="Normal 263" xfId="764" xr:uid="{00000000-0005-0000-0000-00009B020000}"/>
    <cellStyle name="Normal 264" xfId="765" xr:uid="{00000000-0005-0000-0000-00009C020000}"/>
    <cellStyle name="Normal 265" xfId="766" xr:uid="{00000000-0005-0000-0000-00009D020000}"/>
    <cellStyle name="Normal 266" xfId="767" xr:uid="{00000000-0005-0000-0000-00009E020000}"/>
    <cellStyle name="Normal 267" xfId="768" xr:uid="{00000000-0005-0000-0000-00009F020000}"/>
    <cellStyle name="Normal 268" xfId="769" xr:uid="{00000000-0005-0000-0000-0000A0020000}"/>
    <cellStyle name="Normal 269" xfId="770" xr:uid="{00000000-0005-0000-0000-0000A1020000}"/>
    <cellStyle name="Normal 27" xfId="216" xr:uid="{00000000-0005-0000-0000-0000A2020000}"/>
    <cellStyle name="Normal 270" xfId="771" xr:uid="{00000000-0005-0000-0000-0000A3020000}"/>
    <cellStyle name="Normal 270 2" xfId="772" xr:uid="{00000000-0005-0000-0000-0000A4020000}"/>
    <cellStyle name="Normal 271" xfId="1081" xr:uid="{00000000-0005-0000-0000-0000A5020000}"/>
    <cellStyle name="Normal 28" xfId="773" xr:uid="{00000000-0005-0000-0000-0000A6020000}"/>
    <cellStyle name="Normal 29" xfId="774" xr:uid="{00000000-0005-0000-0000-0000A7020000}"/>
    <cellStyle name="Normal 3" xfId="7" xr:uid="{00000000-0005-0000-0000-0000A8020000}"/>
    <cellStyle name="Normal 3 2" xfId="13" xr:uid="{00000000-0005-0000-0000-0000A9020000}"/>
    <cellStyle name="Normal 3 2 2" xfId="206" xr:uid="{00000000-0005-0000-0000-0000AA020000}"/>
    <cellStyle name="Normal 3 2 2 2" xfId="775" xr:uid="{00000000-0005-0000-0000-0000AB020000}"/>
    <cellStyle name="Normal 3 2 3" xfId="776" xr:uid="{00000000-0005-0000-0000-0000AC020000}"/>
    <cellStyle name="Normal 3 2 4" xfId="777" xr:uid="{00000000-0005-0000-0000-0000AD020000}"/>
    <cellStyle name="Normal 3 2 5" xfId="778" xr:uid="{00000000-0005-0000-0000-0000AE020000}"/>
    <cellStyle name="Normal 3 2 6" xfId="779" xr:uid="{00000000-0005-0000-0000-0000AF020000}"/>
    <cellStyle name="Normal 3 3" xfId="207" xr:uid="{00000000-0005-0000-0000-0000B0020000}"/>
    <cellStyle name="Normal 3 3 2" xfId="780" xr:uid="{00000000-0005-0000-0000-0000B1020000}"/>
    <cellStyle name="Normal 3 4" xfId="781" xr:uid="{00000000-0005-0000-0000-0000B2020000}"/>
    <cellStyle name="Normal 3 5" xfId="782" xr:uid="{00000000-0005-0000-0000-0000B3020000}"/>
    <cellStyle name="Normal 3 5 2" xfId="783" xr:uid="{00000000-0005-0000-0000-0000B4020000}"/>
    <cellStyle name="Normal 3 6" xfId="784" xr:uid="{00000000-0005-0000-0000-0000B5020000}"/>
    <cellStyle name="Normal 3 7" xfId="785" xr:uid="{00000000-0005-0000-0000-0000B6020000}"/>
    <cellStyle name="Normal 3 8" xfId="786" xr:uid="{00000000-0005-0000-0000-0000B7020000}"/>
    <cellStyle name="Normal 30" xfId="787" xr:uid="{00000000-0005-0000-0000-0000B8020000}"/>
    <cellStyle name="Normal 31" xfId="788" xr:uid="{00000000-0005-0000-0000-0000B9020000}"/>
    <cellStyle name="Normal 32" xfId="789" xr:uid="{00000000-0005-0000-0000-0000BA020000}"/>
    <cellStyle name="Normal 33" xfId="790" xr:uid="{00000000-0005-0000-0000-0000BB020000}"/>
    <cellStyle name="Normal 34" xfId="791" xr:uid="{00000000-0005-0000-0000-0000BC020000}"/>
    <cellStyle name="Normal 35" xfId="792" xr:uid="{00000000-0005-0000-0000-0000BD020000}"/>
    <cellStyle name="Normal 36" xfId="793" xr:uid="{00000000-0005-0000-0000-0000BE020000}"/>
    <cellStyle name="Normal 37" xfId="794" xr:uid="{00000000-0005-0000-0000-0000BF020000}"/>
    <cellStyle name="Normal 38" xfId="795" xr:uid="{00000000-0005-0000-0000-0000C0020000}"/>
    <cellStyle name="Normal 39" xfId="796" xr:uid="{00000000-0005-0000-0000-0000C1020000}"/>
    <cellStyle name="Normal 4" xfId="14" xr:uid="{00000000-0005-0000-0000-0000C2020000}"/>
    <cellStyle name="Normal 4 2" xfId="208" xr:uid="{00000000-0005-0000-0000-0000C3020000}"/>
    <cellStyle name="Normal 4 3" xfId="797" xr:uid="{00000000-0005-0000-0000-0000C4020000}"/>
    <cellStyle name="Normal 4 3 2" xfId="798" xr:uid="{00000000-0005-0000-0000-0000C5020000}"/>
    <cellStyle name="Normal 4 3 3" xfId="799" xr:uid="{00000000-0005-0000-0000-0000C6020000}"/>
    <cellStyle name="Normal 4 3 4" xfId="800" xr:uid="{00000000-0005-0000-0000-0000C7020000}"/>
    <cellStyle name="Normal 4 4" xfId="801" xr:uid="{00000000-0005-0000-0000-0000C8020000}"/>
    <cellStyle name="Normal 4 5" xfId="802" xr:uid="{00000000-0005-0000-0000-0000C9020000}"/>
    <cellStyle name="Normal 4 6" xfId="803" xr:uid="{00000000-0005-0000-0000-0000CA020000}"/>
    <cellStyle name="Normal 4 7" xfId="804" xr:uid="{00000000-0005-0000-0000-0000CB020000}"/>
    <cellStyle name="Normal 40" xfId="805" xr:uid="{00000000-0005-0000-0000-0000CC020000}"/>
    <cellStyle name="Normal 41" xfId="806" xr:uid="{00000000-0005-0000-0000-0000CD020000}"/>
    <cellStyle name="Normal 42" xfId="807" xr:uid="{00000000-0005-0000-0000-0000CE020000}"/>
    <cellStyle name="Normal 43" xfId="808" xr:uid="{00000000-0005-0000-0000-0000CF020000}"/>
    <cellStyle name="Normal 44" xfId="809" xr:uid="{00000000-0005-0000-0000-0000D0020000}"/>
    <cellStyle name="Normal 45" xfId="810" xr:uid="{00000000-0005-0000-0000-0000D1020000}"/>
    <cellStyle name="Normal 46" xfId="811" xr:uid="{00000000-0005-0000-0000-0000D2020000}"/>
    <cellStyle name="Normal 47" xfId="812" xr:uid="{00000000-0005-0000-0000-0000D3020000}"/>
    <cellStyle name="Normal 48" xfId="813" xr:uid="{00000000-0005-0000-0000-0000D4020000}"/>
    <cellStyle name="Normal 49" xfId="814" xr:uid="{00000000-0005-0000-0000-0000D5020000}"/>
    <cellStyle name="Normal 5" xfId="15" xr:uid="{00000000-0005-0000-0000-0000D6020000}"/>
    <cellStyle name="Normal 5 2" xfId="815" xr:uid="{00000000-0005-0000-0000-0000D7020000}"/>
    <cellStyle name="Normal 5 2 2" xfId="816" xr:uid="{00000000-0005-0000-0000-0000D8020000}"/>
    <cellStyle name="Normal 5 2 3" xfId="817" xr:uid="{00000000-0005-0000-0000-0000D9020000}"/>
    <cellStyle name="Normal 5 3" xfId="818" xr:uid="{00000000-0005-0000-0000-0000DA020000}"/>
    <cellStyle name="Normal 50" xfId="819" xr:uid="{00000000-0005-0000-0000-0000DB020000}"/>
    <cellStyle name="Normal 51" xfId="820" xr:uid="{00000000-0005-0000-0000-0000DC020000}"/>
    <cellStyle name="Normal 52" xfId="821" xr:uid="{00000000-0005-0000-0000-0000DD020000}"/>
    <cellStyle name="Normal 53" xfId="822" xr:uid="{00000000-0005-0000-0000-0000DE020000}"/>
    <cellStyle name="Normal 54" xfId="823" xr:uid="{00000000-0005-0000-0000-0000DF020000}"/>
    <cellStyle name="Normal 55" xfId="824" xr:uid="{00000000-0005-0000-0000-0000E0020000}"/>
    <cellStyle name="Normal 56" xfId="825" xr:uid="{00000000-0005-0000-0000-0000E1020000}"/>
    <cellStyle name="Normal 57" xfId="826" xr:uid="{00000000-0005-0000-0000-0000E2020000}"/>
    <cellStyle name="Normal 58" xfId="827" xr:uid="{00000000-0005-0000-0000-0000E3020000}"/>
    <cellStyle name="Normal 59" xfId="828" xr:uid="{00000000-0005-0000-0000-0000E4020000}"/>
    <cellStyle name="Normal 6" xfId="16" xr:uid="{00000000-0005-0000-0000-0000E5020000}"/>
    <cellStyle name="Normal 6 2" xfId="209" xr:uid="{00000000-0005-0000-0000-0000E6020000}"/>
    <cellStyle name="Normal 6 2 2" xfId="829" xr:uid="{00000000-0005-0000-0000-0000E7020000}"/>
    <cellStyle name="Normal 6 3" xfId="830" xr:uid="{00000000-0005-0000-0000-0000E8020000}"/>
    <cellStyle name="Normal 6 4" xfId="831" xr:uid="{00000000-0005-0000-0000-0000E9020000}"/>
    <cellStyle name="Normal 6 4 2" xfId="832" xr:uid="{00000000-0005-0000-0000-0000EA020000}"/>
    <cellStyle name="Normal 6 4 2 2" xfId="833" xr:uid="{00000000-0005-0000-0000-0000EB020000}"/>
    <cellStyle name="Normal 6 5" xfId="834" xr:uid="{00000000-0005-0000-0000-0000EC020000}"/>
    <cellStyle name="Normal 60" xfId="835" xr:uid="{00000000-0005-0000-0000-0000ED020000}"/>
    <cellStyle name="Normal 61" xfId="836" xr:uid="{00000000-0005-0000-0000-0000EE020000}"/>
    <cellStyle name="Normal 62" xfId="837" xr:uid="{00000000-0005-0000-0000-0000EF020000}"/>
    <cellStyle name="Normal 63" xfId="838" xr:uid="{00000000-0005-0000-0000-0000F0020000}"/>
    <cellStyle name="Normal 64" xfId="839" xr:uid="{00000000-0005-0000-0000-0000F1020000}"/>
    <cellStyle name="Normal 65" xfId="840" xr:uid="{00000000-0005-0000-0000-0000F2020000}"/>
    <cellStyle name="Normal 66" xfId="841" xr:uid="{00000000-0005-0000-0000-0000F3020000}"/>
    <cellStyle name="Normal 67" xfId="842" xr:uid="{00000000-0005-0000-0000-0000F4020000}"/>
    <cellStyle name="Normal 68" xfId="843" xr:uid="{00000000-0005-0000-0000-0000F5020000}"/>
    <cellStyle name="Normal 69" xfId="844" xr:uid="{00000000-0005-0000-0000-0000F6020000}"/>
    <cellStyle name="Normal 7" xfId="17" xr:uid="{00000000-0005-0000-0000-0000F7020000}"/>
    <cellStyle name="Normal 7 2" xfId="845" xr:uid="{00000000-0005-0000-0000-0000F8020000}"/>
    <cellStyle name="Normal 70" xfId="846" xr:uid="{00000000-0005-0000-0000-0000F9020000}"/>
    <cellStyle name="Normal 71" xfId="847" xr:uid="{00000000-0005-0000-0000-0000FA020000}"/>
    <cellStyle name="Normal 72" xfId="848" xr:uid="{00000000-0005-0000-0000-0000FB020000}"/>
    <cellStyle name="Normal 73" xfId="849" xr:uid="{00000000-0005-0000-0000-0000FC020000}"/>
    <cellStyle name="Normal 74" xfId="850" xr:uid="{00000000-0005-0000-0000-0000FD020000}"/>
    <cellStyle name="Normal 75" xfId="851" xr:uid="{00000000-0005-0000-0000-0000FE020000}"/>
    <cellStyle name="Normal 76" xfId="852" xr:uid="{00000000-0005-0000-0000-0000FF020000}"/>
    <cellStyle name="Normal 77" xfId="853" xr:uid="{00000000-0005-0000-0000-000000030000}"/>
    <cellStyle name="Normal 78" xfId="854" xr:uid="{00000000-0005-0000-0000-000001030000}"/>
    <cellStyle name="Normal 79" xfId="855" xr:uid="{00000000-0005-0000-0000-000002030000}"/>
    <cellStyle name="Normal 8" xfId="18" xr:uid="{00000000-0005-0000-0000-000003030000}"/>
    <cellStyle name="Normal 8 2" xfId="856" xr:uid="{00000000-0005-0000-0000-000004030000}"/>
    <cellStyle name="Normal 8 3" xfId="857" xr:uid="{00000000-0005-0000-0000-000005030000}"/>
    <cellStyle name="Normal 80" xfId="858" xr:uid="{00000000-0005-0000-0000-000006030000}"/>
    <cellStyle name="Normal 81" xfId="859" xr:uid="{00000000-0005-0000-0000-000007030000}"/>
    <cellStyle name="Normal 82" xfId="860" xr:uid="{00000000-0005-0000-0000-000008030000}"/>
    <cellStyle name="Normal 83" xfId="861" xr:uid="{00000000-0005-0000-0000-000009030000}"/>
    <cellStyle name="Normal 84" xfId="862" xr:uid="{00000000-0005-0000-0000-00000A030000}"/>
    <cellStyle name="Normal 85" xfId="863" xr:uid="{00000000-0005-0000-0000-00000B030000}"/>
    <cellStyle name="Normal 86" xfId="864" xr:uid="{00000000-0005-0000-0000-00000C030000}"/>
    <cellStyle name="Normal 87" xfId="865" xr:uid="{00000000-0005-0000-0000-00000D030000}"/>
    <cellStyle name="Normal 88" xfId="866" xr:uid="{00000000-0005-0000-0000-00000E030000}"/>
    <cellStyle name="Normal 89" xfId="867" xr:uid="{00000000-0005-0000-0000-00000F030000}"/>
    <cellStyle name="Normal 9" xfId="118" xr:uid="{00000000-0005-0000-0000-000010030000}"/>
    <cellStyle name="Normal 9 2" xfId="868" xr:uid="{00000000-0005-0000-0000-000011030000}"/>
    <cellStyle name="Normal 90" xfId="869" xr:uid="{00000000-0005-0000-0000-000012030000}"/>
    <cellStyle name="Normal 91" xfId="870" xr:uid="{00000000-0005-0000-0000-000013030000}"/>
    <cellStyle name="Normal 92" xfId="871" xr:uid="{00000000-0005-0000-0000-000014030000}"/>
    <cellStyle name="Normal 93" xfId="872" xr:uid="{00000000-0005-0000-0000-000015030000}"/>
    <cellStyle name="Normal 94" xfId="873" xr:uid="{00000000-0005-0000-0000-000016030000}"/>
    <cellStyle name="Normal 95" xfId="874" xr:uid="{00000000-0005-0000-0000-000017030000}"/>
    <cellStyle name="Normal 96" xfId="875" xr:uid="{00000000-0005-0000-0000-000018030000}"/>
    <cellStyle name="Normal 97" xfId="876" xr:uid="{00000000-0005-0000-0000-000019030000}"/>
    <cellStyle name="Normal 98" xfId="877" xr:uid="{00000000-0005-0000-0000-00001A030000}"/>
    <cellStyle name="Normal 99" xfId="878" xr:uid="{00000000-0005-0000-0000-00001B030000}"/>
    <cellStyle name="Normal(0)" xfId="879" xr:uid="{00000000-0005-0000-0000-00001C030000}"/>
    <cellStyle name="Normal_Bill Comp Settlement with New DSM" xfId="214" xr:uid="{00000000-0005-0000-0000-00001D030000}"/>
    <cellStyle name="Normal_Blocking 03-01" xfId="5" xr:uid="{00000000-0005-0000-0000-00001E030000}"/>
    <cellStyle name="Normal_Blocking 09-00" xfId="4" xr:uid="{00000000-0005-0000-0000-00001F030000}"/>
    <cellStyle name="Normal_Blocking 09-00 2" xfId="218" xr:uid="{00000000-0005-0000-0000-000020030000}"/>
    <cellStyle name="Normal_Distribution" xfId="186" xr:uid="{00000000-0005-0000-0000-000021030000}"/>
    <cellStyle name="Note 2" xfId="880" xr:uid="{00000000-0005-0000-0000-000022030000}"/>
    <cellStyle name="Note 3" xfId="881" xr:uid="{00000000-0005-0000-0000-000023030000}"/>
    <cellStyle name="Note 4" xfId="882" xr:uid="{00000000-0005-0000-0000-000024030000}"/>
    <cellStyle name="Note 5" xfId="883" xr:uid="{00000000-0005-0000-0000-000025030000}"/>
    <cellStyle name="Note 6" xfId="884" xr:uid="{00000000-0005-0000-0000-000026030000}"/>
    <cellStyle name="Number" xfId="885" xr:uid="{00000000-0005-0000-0000-000027030000}"/>
    <cellStyle name="Number 10" xfId="886" xr:uid="{00000000-0005-0000-0000-000028030000}"/>
    <cellStyle name="Number 11" xfId="887" xr:uid="{00000000-0005-0000-0000-000029030000}"/>
    <cellStyle name="Number 12" xfId="888" xr:uid="{00000000-0005-0000-0000-00002A030000}"/>
    <cellStyle name="Number 13" xfId="889" xr:uid="{00000000-0005-0000-0000-00002B030000}"/>
    <cellStyle name="Number 14" xfId="890" xr:uid="{00000000-0005-0000-0000-00002C030000}"/>
    <cellStyle name="Number 2" xfId="891" xr:uid="{00000000-0005-0000-0000-00002D030000}"/>
    <cellStyle name="Number 3" xfId="892" xr:uid="{00000000-0005-0000-0000-00002E030000}"/>
    <cellStyle name="Number 4" xfId="893" xr:uid="{00000000-0005-0000-0000-00002F030000}"/>
    <cellStyle name="Number 5" xfId="894" xr:uid="{00000000-0005-0000-0000-000030030000}"/>
    <cellStyle name="Number 6" xfId="895" xr:uid="{00000000-0005-0000-0000-000031030000}"/>
    <cellStyle name="Number 7" xfId="896" xr:uid="{00000000-0005-0000-0000-000032030000}"/>
    <cellStyle name="Number 8" xfId="897" xr:uid="{00000000-0005-0000-0000-000033030000}"/>
    <cellStyle name="Number 9" xfId="898" xr:uid="{00000000-0005-0000-0000-000034030000}"/>
    <cellStyle name="Output 2" xfId="899" xr:uid="{00000000-0005-0000-0000-000035030000}"/>
    <cellStyle name="Output 3" xfId="900" xr:uid="{00000000-0005-0000-0000-000036030000}"/>
    <cellStyle name="Output 4" xfId="901" xr:uid="{00000000-0005-0000-0000-000037030000}"/>
    <cellStyle name="Output 5" xfId="902" xr:uid="{00000000-0005-0000-0000-000038030000}"/>
    <cellStyle name="Output 6" xfId="903" xr:uid="{00000000-0005-0000-0000-000039030000}"/>
    <cellStyle name="Output Amounts" xfId="904" xr:uid="{00000000-0005-0000-0000-00003A030000}"/>
    <cellStyle name="Output Line Items" xfId="905" xr:uid="{00000000-0005-0000-0000-00003B030000}"/>
    <cellStyle name="Password" xfId="119" xr:uid="{00000000-0005-0000-0000-00003C030000}"/>
    <cellStyle name="Percen - Style1" xfId="906" xr:uid="{00000000-0005-0000-0000-00003D030000}"/>
    <cellStyle name="Percen - Style2" xfId="907" xr:uid="{00000000-0005-0000-0000-00003E030000}"/>
    <cellStyle name="Percent" xfId="3" builtinId="5"/>
    <cellStyle name="Percent [2]" xfId="210" xr:uid="{00000000-0005-0000-0000-000040030000}"/>
    <cellStyle name="Percent [2] 2" xfId="908" xr:uid="{00000000-0005-0000-0000-000041030000}"/>
    <cellStyle name="Percent [2] 3" xfId="909" xr:uid="{00000000-0005-0000-0000-000042030000}"/>
    <cellStyle name="Percent 10" xfId="910" xr:uid="{00000000-0005-0000-0000-000043030000}"/>
    <cellStyle name="Percent 11" xfId="911" xr:uid="{00000000-0005-0000-0000-000044030000}"/>
    <cellStyle name="Percent 12" xfId="912" xr:uid="{00000000-0005-0000-0000-000045030000}"/>
    <cellStyle name="Percent 13" xfId="120" xr:uid="{00000000-0005-0000-0000-000046030000}"/>
    <cellStyle name="Percent 19" xfId="121" xr:uid="{00000000-0005-0000-0000-000047030000}"/>
    <cellStyle name="Percent 2" xfId="19" xr:uid="{00000000-0005-0000-0000-000048030000}"/>
    <cellStyle name="Percent 2 10" xfId="122" xr:uid="{00000000-0005-0000-0000-000049030000}"/>
    <cellStyle name="Percent 2 11" xfId="123" xr:uid="{00000000-0005-0000-0000-00004A030000}"/>
    <cellStyle name="Percent 2 12" xfId="124" xr:uid="{00000000-0005-0000-0000-00004B030000}"/>
    <cellStyle name="Percent 2 13" xfId="125" xr:uid="{00000000-0005-0000-0000-00004C030000}"/>
    <cellStyle name="Percent 2 14" xfId="126" xr:uid="{00000000-0005-0000-0000-00004D030000}"/>
    <cellStyle name="Percent 2 15" xfId="127" xr:uid="{00000000-0005-0000-0000-00004E030000}"/>
    <cellStyle name="Percent 2 16" xfId="128" xr:uid="{00000000-0005-0000-0000-00004F030000}"/>
    <cellStyle name="Percent 2 17" xfId="129" xr:uid="{00000000-0005-0000-0000-000050030000}"/>
    <cellStyle name="Percent 2 18" xfId="130" xr:uid="{00000000-0005-0000-0000-000051030000}"/>
    <cellStyle name="Percent 2 19" xfId="131" xr:uid="{00000000-0005-0000-0000-000052030000}"/>
    <cellStyle name="Percent 2 2" xfId="20" xr:uid="{00000000-0005-0000-0000-000053030000}"/>
    <cellStyle name="Percent 2 2 2" xfId="132" xr:uid="{00000000-0005-0000-0000-000054030000}"/>
    <cellStyle name="Percent 2 20" xfId="133" xr:uid="{00000000-0005-0000-0000-000055030000}"/>
    <cellStyle name="Percent 2 21" xfId="134" xr:uid="{00000000-0005-0000-0000-000056030000}"/>
    <cellStyle name="Percent 2 3" xfId="135" xr:uid="{00000000-0005-0000-0000-000057030000}"/>
    <cellStyle name="Percent 2 3 2" xfId="913" xr:uid="{00000000-0005-0000-0000-000058030000}"/>
    <cellStyle name="Percent 2 4" xfId="136" xr:uid="{00000000-0005-0000-0000-000059030000}"/>
    <cellStyle name="Percent 2 5" xfId="137" xr:uid="{00000000-0005-0000-0000-00005A030000}"/>
    <cellStyle name="Percent 2 6" xfId="138" xr:uid="{00000000-0005-0000-0000-00005B030000}"/>
    <cellStyle name="Percent 2 7" xfId="139" xr:uid="{00000000-0005-0000-0000-00005C030000}"/>
    <cellStyle name="Percent 2 8" xfId="140" xr:uid="{00000000-0005-0000-0000-00005D030000}"/>
    <cellStyle name="Percent 2 9" xfId="141" xr:uid="{00000000-0005-0000-0000-00005E030000}"/>
    <cellStyle name="Percent 22" xfId="142" xr:uid="{00000000-0005-0000-0000-00005F030000}"/>
    <cellStyle name="Percent 3" xfId="21" xr:uid="{00000000-0005-0000-0000-000060030000}"/>
    <cellStyle name="Percent 3 2" xfId="211" xr:uid="{00000000-0005-0000-0000-000061030000}"/>
    <cellStyle name="Percent 3 2 2" xfId="914" xr:uid="{00000000-0005-0000-0000-000062030000}"/>
    <cellStyle name="Percent 3 3" xfId="915" xr:uid="{00000000-0005-0000-0000-000063030000}"/>
    <cellStyle name="Percent 3 4" xfId="916" xr:uid="{00000000-0005-0000-0000-000064030000}"/>
    <cellStyle name="Percent 3 5" xfId="917" xr:uid="{00000000-0005-0000-0000-000065030000}"/>
    <cellStyle name="Percent 3 6" xfId="918" xr:uid="{00000000-0005-0000-0000-000066030000}"/>
    <cellStyle name="Percent 3 7" xfId="919" xr:uid="{00000000-0005-0000-0000-000067030000}"/>
    <cellStyle name="Percent 3 8" xfId="920" xr:uid="{00000000-0005-0000-0000-000068030000}"/>
    <cellStyle name="Percent 3 9" xfId="921" xr:uid="{00000000-0005-0000-0000-000069030000}"/>
    <cellStyle name="Percent 4" xfId="22" xr:uid="{00000000-0005-0000-0000-00006A030000}"/>
    <cellStyle name="Percent 4 2" xfId="922" xr:uid="{00000000-0005-0000-0000-00006B030000}"/>
    <cellStyle name="Percent 4 2 2" xfId="923" xr:uid="{00000000-0005-0000-0000-00006C030000}"/>
    <cellStyle name="Percent 4 3" xfId="924" xr:uid="{00000000-0005-0000-0000-00006D030000}"/>
    <cellStyle name="Percent 5" xfId="23" xr:uid="{00000000-0005-0000-0000-00006E030000}"/>
    <cellStyle name="Percent 6" xfId="24" xr:uid="{00000000-0005-0000-0000-00006F030000}"/>
    <cellStyle name="Percent 6 2" xfId="925" xr:uid="{00000000-0005-0000-0000-000070030000}"/>
    <cellStyle name="Percent 6 2 2" xfId="926" xr:uid="{00000000-0005-0000-0000-000071030000}"/>
    <cellStyle name="Percent 7" xfId="185" xr:uid="{00000000-0005-0000-0000-000072030000}"/>
    <cellStyle name="Percent 7 2" xfId="927" xr:uid="{00000000-0005-0000-0000-000073030000}"/>
    <cellStyle name="Percent 8" xfId="189" xr:uid="{00000000-0005-0000-0000-000074030000}"/>
    <cellStyle name="Percent 9" xfId="217" xr:uid="{00000000-0005-0000-0000-000075030000}"/>
    <cellStyle name="Percent(0)" xfId="928" xr:uid="{00000000-0005-0000-0000-000076030000}"/>
    <cellStyle name="Reset  - Style7" xfId="929" xr:uid="{00000000-0005-0000-0000-000077030000}"/>
    <cellStyle name="SAPBEXaggData" xfId="143" xr:uid="{00000000-0005-0000-0000-000078030000}"/>
    <cellStyle name="SAPBEXaggDataEmph" xfId="144" xr:uid="{00000000-0005-0000-0000-000079030000}"/>
    <cellStyle name="SAPBEXaggItem" xfId="145" xr:uid="{00000000-0005-0000-0000-00007A030000}"/>
    <cellStyle name="SAPBEXaggItem 2" xfId="930" xr:uid="{00000000-0005-0000-0000-00007B030000}"/>
    <cellStyle name="SAPBEXaggItem 3" xfId="931" xr:uid="{00000000-0005-0000-0000-00007C030000}"/>
    <cellStyle name="SAPBEXaggItem 4" xfId="932" xr:uid="{00000000-0005-0000-0000-00007D030000}"/>
    <cellStyle name="SAPBEXaggItem 5" xfId="933" xr:uid="{00000000-0005-0000-0000-00007E030000}"/>
    <cellStyle name="SAPBEXaggItem 6" xfId="934" xr:uid="{00000000-0005-0000-0000-00007F030000}"/>
    <cellStyle name="SAPBEXaggItem_Copy of xSAPtemp5457" xfId="935" xr:uid="{00000000-0005-0000-0000-000080030000}"/>
    <cellStyle name="SAPBEXaggItemX" xfId="146" xr:uid="{00000000-0005-0000-0000-000081030000}"/>
    <cellStyle name="SAPBEXchaText" xfId="147" xr:uid="{00000000-0005-0000-0000-000082030000}"/>
    <cellStyle name="SAPBEXchaText 2" xfId="936" xr:uid="{00000000-0005-0000-0000-000083030000}"/>
    <cellStyle name="SAPBEXchaText 3" xfId="937" xr:uid="{00000000-0005-0000-0000-000084030000}"/>
    <cellStyle name="SAPBEXchaText 4" xfId="938" xr:uid="{00000000-0005-0000-0000-000085030000}"/>
    <cellStyle name="SAPBEXchaText 5" xfId="939" xr:uid="{00000000-0005-0000-0000-000086030000}"/>
    <cellStyle name="SAPBEXchaText 6" xfId="940" xr:uid="{00000000-0005-0000-0000-000087030000}"/>
    <cellStyle name="SAPBEXchaText_Copy of xSAPtemp5457" xfId="941" xr:uid="{00000000-0005-0000-0000-000088030000}"/>
    <cellStyle name="SAPBEXexcBad7" xfId="148" xr:uid="{00000000-0005-0000-0000-000089030000}"/>
    <cellStyle name="SAPBEXexcBad8" xfId="149" xr:uid="{00000000-0005-0000-0000-00008A030000}"/>
    <cellStyle name="SAPBEXexcBad9" xfId="150" xr:uid="{00000000-0005-0000-0000-00008B030000}"/>
    <cellStyle name="SAPBEXexcCritical4" xfId="151" xr:uid="{00000000-0005-0000-0000-00008C030000}"/>
    <cellStyle name="SAPBEXexcCritical5" xfId="152" xr:uid="{00000000-0005-0000-0000-00008D030000}"/>
    <cellStyle name="SAPBEXexcCritical6" xfId="153" xr:uid="{00000000-0005-0000-0000-00008E030000}"/>
    <cellStyle name="SAPBEXexcGood1" xfId="154" xr:uid="{00000000-0005-0000-0000-00008F030000}"/>
    <cellStyle name="SAPBEXexcGood2" xfId="155" xr:uid="{00000000-0005-0000-0000-000090030000}"/>
    <cellStyle name="SAPBEXexcGood3" xfId="156" xr:uid="{00000000-0005-0000-0000-000091030000}"/>
    <cellStyle name="SAPBEXfilterDrill" xfId="157" xr:uid="{00000000-0005-0000-0000-000092030000}"/>
    <cellStyle name="SAPBEXfilterDrill 2" xfId="942" xr:uid="{00000000-0005-0000-0000-000093030000}"/>
    <cellStyle name="SAPBEXfilterItem" xfId="158" xr:uid="{00000000-0005-0000-0000-000094030000}"/>
    <cellStyle name="SAPBEXfilterItem 2" xfId="943" xr:uid="{00000000-0005-0000-0000-000095030000}"/>
    <cellStyle name="SAPBEXfilterItem 3" xfId="944" xr:uid="{00000000-0005-0000-0000-000096030000}"/>
    <cellStyle name="SAPBEXfilterItem 4" xfId="945" xr:uid="{00000000-0005-0000-0000-000097030000}"/>
    <cellStyle name="SAPBEXfilterItem 5" xfId="946" xr:uid="{00000000-0005-0000-0000-000098030000}"/>
    <cellStyle name="SAPBEXfilterItem 6" xfId="947" xr:uid="{00000000-0005-0000-0000-000099030000}"/>
    <cellStyle name="SAPBEXfilterItem_Copy of xSAPtemp5457" xfId="948" xr:uid="{00000000-0005-0000-0000-00009A030000}"/>
    <cellStyle name="SAPBEXfilterText" xfId="159" xr:uid="{00000000-0005-0000-0000-00009B030000}"/>
    <cellStyle name="SAPBEXfilterText 2" xfId="949" xr:uid="{00000000-0005-0000-0000-00009C030000}"/>
    <cellStyle name="SAPBEXfilterText 3" xfId="950" xr:uid="{00000000-0005-0000-0000-00009D030000}"/>
    <cellStyle name="SAPBEXfilterText 4" xfId="951" xr:uid="{00000000-0005-0000-0000-00009E030000}"/>
    <cellStyle name="SAPBEXfilterText 5" xfId="952" xr:uid="{00000000-0005-0000-0000-00009F030000}"/>
    <cellStyle name="SAPBEXformats" xfId="160" xr:uid="{00000000-0005-0000-0000-0000A0030000}"/>
    <cellStyle name="SAPBEXheaderItem" xfId="161" xr:uid="{00000000-0005-0000-0000-0000A1030000}"/>
    <cellStyle name="SAPBEXheaderItem 2" xfId="953" xr:uid="{00000000-0005-0000-0000-0000A2030000}"/>
    <cellStyle name="SAPBEXheaderItem 3" xfId="954" xr:uid="{00000000-0005-0000-0000-0000A3030000}"/>
    <cellStyle name="SAPBEXheaderItem 4" xfId="955" xr:uid="{00000000-0005-0000-0000-0000A4030000}"/>
    <cellStyle name="SAPBEXheaderItem 5" xfId="956" xr:uid="{00000000-0005-0000-0000-0000A5030000}"/>
    <cellStyle name="SAPBEXheaderItem 6" xfId="957" xr:uid="{00000000-0005-0000-0000-0000A6030000}"/>
    <cellStyle name="SAPBEXheaderItem 7" xfId="958" xr:uid="{00000000-0005-0000-0000-0000A7030000}"/>
    <cellStyle name="SAPBEXheaderItem_Copy of xSAPtemp5457" xfId="959" xr:uid="{00000000-0005-0000-0000-0000A8030000}"/>
    <cellStyle name="SAPBEXheaderText" xfId="162" xr:uid="{00000000-0005-0000-0000-0000A9030000}"/>
    <cellStyle name="SAPBEXheaderText 2" xfId="960" xr:uid="{00000000-0005-0000-0000-0000AA030000}"/>
    <cellStyle name="SAPBEXheaderText 3" xfId="961" xr:uid="{00000000-0005-0000-0000-0000AB030000}"/>
    <cellStyle name="SAPBEXheaderText 4" xfId="962" xr:uid="{00000000-0005-0000-0000-0000AC030000}"/>
    <cellStyle name="SAPBEXheaderText 5" xfId="963" xr:uid="{00000000-0005-0000-0000-0000AD030000}"/>
    <cellStyle name="SAPBEXheaderText 6" xfId="964" xr:uid="{00000000-0005-0000-0000-0000AE030000}"/>
    <cellStyle name="SAPBEXheaderText 7" xfId="965" xr:uid="{00000000-0005-0000-0000-0000AF030000}"/>
    <cellStyle name="SAPBEXheaderText_Copy of xSAPtemp5457" xfId="966" xr:uid="{00000000-0005-0000-0000-0000B0030000}"/>
    <cellStyle name="SAPBEXHLevel0" xfId="163" xr:uid="{00000000-0005-0000-0000-0000B1030000}"/>
    <cellStyle name="SAPBEXHLevel0 2" xfId="967" xr:uid="{00000000-0005-0000-0000-0000B2030000}"/>
    <cellStyle name="SAPBEXHLevel0 3" xfId="968" xr:uid="{00000000-0005-0000-0000-0000B3030000}"/>
    <cellStyle name="SAPBEXHLevel0 4" xfId="969" xr:uid="{00000000-0005-0000-0000-0000B4030000}"/>
    <cellStyle name="SAPBEXHLevel0 5" xfId="970" xr:uid="{00000000-0005-0000-0000-0000B5030000}"/>
    <cellStyle name="SAPBEXHLevel0 6" xfId="971" xr:uid="{00000000-0005-0000-0000-0000B6030000}"/>
    <cellStyle name="SAPBEXHLevel0X" xfId="164" xr:uid="{00000000-0005-0000-0000-0000B7030000}"/>
    <cellStyle name="SAPBEXHLevel0X 2" xfId="972" xr:uid="{00000000-0005-0000-0000-0000B8030000}"/>
    <cellStyle name="SAPBEXHLevel0X 3" xfId="973" xr:uid="{00000000-0005-0000-0000-0000B9030000}"/>
    <cellStyle name="SAPBEXHLevel0X 4" xfId="974" xr:uid="{00000000-0005-0000-0000-0000BA030000}"/>
    <cellStyle name="SAPBEXHLevel0X 5" xfId="975" xr:uid="{00000000-0005-0000-0000-0000BB030000}"/>
    <cellStyle name="SAPBEXHLevel0X 6" xfId="976" xr:uid="{00000000-0005-0000-0000-0000BC030000}"/>
    <cellStyle name="SAPBEXHLevel1" xfId="165" xr:uid="{00000000-0005-0000-0000-0000BD030000}"/>
    <cellStyle name="SAPBEXHLevel1 2" xfId="977" xr:uid="{00000000-0005-0000-0000-0000BE030000}"/>
    <cellStyle name="SAPBEXHLevel1 3" xfId="978" xr:uid="{00000000-0005-0000-0000-0000BF030000}"/>
    <cellStyle name="SAPBEXHLevel1 4" xfId="979" xr:uid="{00000000-0005-0000-0000-0000C0030000}"/>
    <cellStyle name="SAPBEXHLevel1 5" xfId="980" xr:uid="{00000000-0005-0000-0000-0000C1030000}"/>
    <cellStyle name="SAPBEXHLevel1 6" xfId="981" xr:uid="{00000000-0005-0000-0000-0000C2030000}"/>
    <cellStyle name="SAPBEXHLevel1X" xfId="166" xr:uid="{00000000-0005-0000-0000-0000C3030000}"/>
    <cellStyle name="SAPBEXHLevel1X 2" xfId="982" xr:uid="{00000000-0005-0000-0000-0000C4030000}"/>
    <cellStyle name="SAPBEXHLevel1X 3" xfId="983" xr:uid="{00000000-0005-0000-0000-0000C5030000}"/>
    <cellStyle name="SAPBEXHLevel1X 4" xfId="984" xr:uid="{00000000-0005-0000-0000-0000C6030000}"/>
    <cellStyle name="SAPBEXHLevel1X 5" xfId="985" xr:uid="{00000000-0005-0000-0000-0000C7030000}"/>
    <cellStyle name="SAPBEXHLevel1X 6" xfId="986" xr:uid="{00000000-0005-0000-0000-0000C8030000}"/>
    <cellStyle name="SAPBEXHLevel2" xfId="167" xr:uid="{00000000-0005-0000-0000-0000C9030000}"/>
    <cellStyle name="SAPBEXHLevel2 2" xfId="987" xr:uid="{00000000-0005-0000-0000-0000CA030000}"/>
    <cellStyle name="SAPBEXHLevel2 3" xfId="988" xr:uid="{00000000-0005-0000-0000-0000CB030000}"/>
    <cellStyle name="SAPBEXHLevel2 4" xfId="989" xr:uid="{00000000-0005-0000-0000-0000CC030000}"/>
    <cellStyle name="SAPBEXHLevel2 5" xfId="990" xr:uid="{00000000-0005-0000-0000-0000CD030000}"/>
    <cellStyle name="SAPBEXHLevel2 6" xfId="991" xr:uid="{00000000-0005-0000-0000-0000CE030000}"/>
    <cellStyle name="SAPBEXHLevel2X" xfId="168" xr:uid="{00000000-0005-0000-0000-0000CF030000}"/>
    <cellStyle name="SAPBEXHLevel2X 2" xfId="992" xr:uid="{00000000-0005-0000-0000-0000D0030000}"/>
    <cellStyle name="SAPBEXHLevel2X 3" xfId="993" xr:uid="{00000000-0005-0000-0000-0000D1030000}"/>
    <cellStyle name="SAPBEXHLevel2X 4" xfId="994" xr:uid="{00000000-0005-0000-0000-0000D2030000}"/>
    <cellStyle name="SAPBEXHLevel2X 5" xfId="995" xr:uid="{00000000-0005-0000-0000-0000D3030000}"/>
    <cellStyle name="SAPBEXHLevel2X 6" xfId="996" xr:uid="{00000000-0005-0000-0000-0000D4030000}"/>
    <cellStyle name="SAPBEXHLevel3" xfId="169" xr:uid="{00000000-0005-0000-0000-0000D5030000}"/>
    <cellStyle name="SAPBEXHLevel3 2" xfId="997" xr:uid="{00000000-0005-0000-0000-0000D6030000}"/>
    <cellStyle name="SAPBEXHLevel3 3" xfId="998" xr:uid="{00000000-0005-0000-0000-0000D7030000}"/>
    <cellStyle name="SAPBEXHLevel3 4" xfId="999" xr:uid="{00000000-0005-0000-0000-0000D8030000}"/>
    <cellStyle name="SAPBEXHLevel3 5" xfId="1000" xr:uid="{00000000-0005-0000-0000-0000D9030000}"/>
    <cellStyle name="SAPBEXHLevel3 6" xfId="1001" xr:uid="{00000000-0005-0000-0000-0000DA030000}"/>
    <cellStyle name="SAPBEXHLevel3X" xfId="170" xr:uid="{00000000-0005-0000-0000-0000DB030000}"/>
    <cellStyle name="SAPBEXHLevel3X 2" xfId="1002" xr:uid="{00000000-0005-0000-0000-0000DC030000}"/>
    <cellStyle name="SAPBEXHLevel3X 3" xfId="1003" xr:uid="{00000000-0005-0000-0000-0000DD030000}"/>
    <cellStyle name="SAPBEXHLevel3X 4" xfId="1004" xr:uid="{00000000-0005-0000-0000-0000DE030000}"/>
    <cellStyle name="SAPBEXHLevel3X 5" xfId="1005" xr:uid="{00000000-0005-0000-0000-0000DF030000}"/>
    <cellStyle name="SAPBEXHLevel3X 6" xfId="1006" xr:uid="{00000000-0005-0000-0000-0000E0030000}"/>
    <cellStyle name="SAPBEXresData" xfId="171" xr:uid="{00000000-0005-0000-0000-0000E1030000}"/>
    <cellStyle name="SAPBEXresDataEmph" xfId="172" xr:uid="{00000000-0005-0000-0000-0000E2030000}"/>
    <cellStyle name="SAPBEXresItem" xfId="173" xr:uid="{00000000-0005-0000-0000-0000E3030000}"/>
    <cellStyle name="SAPBEXresItemX" xfId="174" xr:uid="{00000000-0005-0000-0000-0000E4030000}"/>
    <cellStyle name="SAPBEXstdData" xfId="175" xr:uid="{00000000-0005-0000-0000-0000E5030000}"/>
    <cellStyle name="SAPBEXstdData 2" xfId="1007" xr:uid="{00000000-0005-0000-0000-0000E6030000}"/>
    <cellStyle name="SAPBEXstdData 3" xfId="1008" xr:uid="{00000000-0005-0000-0000-0000E7030000}"/>
    <cellStyle name="SAPBEXstdData 4" xfId="1009" xr:uid="{00000000-0005-0000-0000-0000E8030000}"/>
    <cellStyle name="SAPBEXstdData 5" xfId="1010" xr:uid="{00000000-0005-0000-0000-0000E9030000}"/>
    <cellStyle name="SAPBEXstdData 6" xfId="1011" xr:uid="{00000000-0005-0000-0000-0000EA030000}"/>
    <cellStyle name="SAPBEXstdData_Copy of xSAPtemp5457" xfId="1012" xr:uid="{00000000-0005-0000-0000-0000EB030000}"/>
    <cellStyle name="SAPBEXstdDataEmph" xfId="176" xr:uid="{00000000-0005-0000-0000-0000EC030000}"/>
    <cellStyle name="SAPBEXstdItem" xfId="177" xr:uid="{00000000-0005-0000-0000-0000ED030000}"/>
    <cellStyle name="SAPBEXstdItem 2" xfId="1013" xr:uid="{00000000-0005-0000-0000-0000EE030000}"/>
    <cellStyle name="SAPBEXstdItem 3" xfId="1014" xr:uid="{00000000-0005-0000-0000-0000EF030000}"/>
    <cellStyle name="SAPBEXstdItem 4" xfId="1015" xr:uid="{00000000-0005-0000-0000-0000F0030000}"/>
    <cellStyle name="SAPBEXstdItem 5" xfId="1016" xr:uid="{00000000-0005-0000-0000-0000F1030000}"/>
    <cellStyle name="SAPBEXstdItem 6" xfId="1017" xr:uid="{00000000-0005-0000-0000-0000F2030000}"/>
    <cellStyle name="SAPBEXstdItem_Copy of xSAPtemp5457" xfId="1018" xr:uid="{00000000-0005-0000-0000-0000F3030000}"/>
    <cellStyle name="SAPBEXstdItemX" xfId="178" xr:uid="{00000000-0005-0000-0000-0000F4030000}"/>
    <cellStyle name="SAPBEXstdItemX 2" xfId="1019" xr:uid="{00000000-0005-0000-0000-0000F5030000}"/>
    <cellStyle name="SAPBEXstdItemX 3" xfId="1020" xr:uid="{00000000-0005-0000-0000-0000F6030000}"/>
    <cellStyle name="SAPBEXstdItemX 4" xfId="1021" xr:uid="{00000000-0005-0000-0000-0000F7030000}"/>
    <cellStyle name="SAPBEXstdItemX 5" xfId="1022" xr:uid="{00000000-0005-0000-0000-0000F8030000}"/>
    <cellStyle name="SAPBEXstdItemX 6" xfId="1023" xr:uid="{00000000-0005-0000-0000-0000F9030000}"/>
    <cellStyle name="SAPBEXstdItemX_Copy of xSAPtemp5457" xfId="1024" xr:uid="{00000000-0005-0000-0000-0000FA030000}"/>
    <cellStyle name="SAPBEXtitle" xfId="179" xr:uid="{00000000-0005-0000-0000-0000FB030000}"/>
    <cellStyle name="SAPBEXtitle 2" xfId="212" xr:uid="{00000000-0005-0000-0000-0000FC030000}"/>
    <cellStyle name="SAPBEXtitle 3" xfId="1025" xr:uid="{00000000-0005-0000-0000-0000FD030000}"/>
    <cellStyle name="SAPBEXtitle 4" xfId="1026" xr:uid="{00000000-0005-0000-0000-0000FE030000}"/>
    <cellStyle name="SAPBEXtitle 5" xfId="1027" xr:uid="{00000000-0005-0000-0000-0000FF030000}"/>
    <cellStyle name="SAPBEXtitle 6" xfId="1028" xr:uid="{00000000-0005-0000-0000-000000040000}"/>
    <cellStyle name="SAPBEXtitle 7" xfId="1029" xr:uid="{00000000-0005-0000-0000-000001040000}"/>
    <cellStyle name="SAPBEXtitle_Copy of xSAPtemp5457" xfId="1030" xr:uid="{00000000-0005-0000-0000-000002040000}"/>
    <cellStyle name="SAPBEXundefined" xfId="180" xr:uid="{00000000-0005-0000-0000-000003040000}"/>
    <cellStyle name="Shade" xfId="1031" xr:uid="{00000000-0005-0000-0000-000004040000}"/>
    <cellStyle name="Sheet Title" xfId="1032" xr:uid="{00000000-0005-0000-0000-000005040000}"/>
    <cellStyle name="Special" xfId="1033" xr:uid="{00000000-0005-0000-0000-000006040000}"/>
    <cellStyle name="Special 2" xfId="1034" xr:uid="{00000000-0005-0000-0000-000007040000}"/>
    <cellStyle name="Special 3" xfId="1035" xr:uid="{00000000-0005-0000-0000-000008040000}"/>
    <cellStyle name="STYL1 - Style1" xfId="1036" xr:uid="{00000000-0005-0000-0000-000009040000}"/>
    <cellStyle name="Style 1" xfId="1037" xr:uid="{00000000-0005-0000-0000-00000A040000}"/>
    <cellStyle name="Style 21" xfId="1038" xr:uid="{00000000-0005-0000-0000-00000B040000}"/>
    <cellStyle name="Style 22" xfId="1039" xr:uid="{00000000-0005-0000-0000-00000C040000}"/>
    <cellStyle name="Style 24" xfId="1040" xr:uid="{00000000-0005-0000-0000-00000D040000}"/>
    <cellStyle name="Style 27" xfId="1041" xr:uid="{00000000-0005-0000-0000-00000E040000}"/>
    <cellStyle name="Style 35" xfId="1042" xr:uid="{00000000-0005-0000-0000-00000F040000}"/>
    <cellStyle name="Style 35 2" xfId="1043" xr:uid="{00000000-0005-0000-0000-000010040000}"/>
    <cellStyle name="Style 36" xfId="1044" xr:uid="{00000000-0005-0000-0000-000011040000}"/>
    <cellStyle name="Style 36 2" xfId="1045" xr:uid="{00000000-0005-0000-0000-000012040000}"/>
    <cellStyle name="Table  - Style6" xfId="1046" xr:uid="{00000000-0005-0000-0000-000013040000}"/>
    <cellStyle name="Text" xfId="1047" xr:uid="{00000000-0005-0000-0000-000014040000}"/>
    <cellStyle name="Title  - Style1" xfId="1048" xr:uid="{00000000-0005-0000-0000-000015040000}"/>
    <cellStyle name="Title 2" xfId="1049" xr:uid="{00000000-0005-0000-0000-000016040000}"/>
    <cellStyle name="Title 3" xfId="1050" xr:uid="{00000000-0005-0000-0000-000017040000}"/>
    <cellStyle name="Title 4" xfId="1051" xr:uid="{00000000-0005-0000-0000-000018040000}"/>
    <cellStyle name="Title 5" xfId="1052" xr:uid="{00000000-0005-0000-0000-000019040000}"/>
    <cellStyle name="Title 6" xfId="1053" xr:uid="{00000000-0005-0000-0000-00001A040000}"/>
    <cellStyle name="Titles" xfId="213" xr:uid="{00000000-0005-0000-0000-00001B040000}"/>
    <cellStyle name="Titles 2" xfId="1054" xr:uid="{00000000-0005-0000-0000-00001C040000}"/>
    <cellStyle name="Total 2" xfId="1055" xr:uid="{00000000-0005-0000-0000-00001D040000}"/>
    <cellStyle name="Total 2 2" xfId="1056" xr:uid="{00000000-0005-0000-0000-00001E040000}"/>
    <cellStyle name="Total 3" xfId="1057" xr:uid="{00000000-0005-0000-0000-00001F040000}"/>
    <cellStyle name="Total 4" xfId="1058" xr:uid="{00000000-0005-0000-0000-000020040000}"/>
    <cellStyle name="Total 5" xfId="1059" xr:uid="{00000000-0005-0000-0000-000021040000}"/>
    <cellStyle name="Total2 - Style2" xfId="1060" xr:uid="{00000000-0005-0000-0000-000022040000}"/>
    <cellStyle name="TotCol - Style5" xfId="1061" xr:uid="{00000000-0005-0000-0000-000023040000}"/>
    <cellStyle name="TotRow - Style4" xfId="1062" xr:uid="{00000000-0005-0000-0000-000024040000}"/>
    <cellStyle name="TRANSMISSION RELIABILITY PORTION OF PROJECT" xfId="25" xr:uid="{00000000-0005-0000-0000-000025040000}"/>
    <cellStyle name="Tusental (0)_pldt" xfId="1063" xr:uid="{00000000-0005-0000-0000-000026040000}"/>
    <cellStyle name="Tusental_pldt" xfId="1064" xr:uid="{00000000-0005-0000-0000-000027040000}"/>
    <cellStyle name="Underl - Style4" xfId="1065" xr:uid="{00000000-0005-0000-0000-000028040000}"/>
    <cellStyle name="UNLocked" xfId="1066" xr:uid="{00000000-0005-0000-0000-000029040000}"/>
    <cellStyle name="Unprot" xfId="181" xr:uid="{00000000-0005-0000-0000-00002A040000}"/>
    <cellStyle name="Unprot 2" xfId="1067" xr:uid="{00000000-0005-0000-0000-00002B040000}"/>
    <cellStyle name="Unprot 3" xfId="1068" xr:uid="{00000000-0005-0000-0000-00002C040000}"/>
    <cellStyle name="Unprot 4" xfId="1069" xr:uid="{00000000-0005-0000-0000-00002D040000}"/>
    <cellStyle name="Unprot$" xfId="182" xr:uid="{00000000-0005-0000-0000-00002E040000}"/>
    <cellStyle name="Unprot$ 2" xfId="1070" xr:uid="{00000000-0005-0000-0000-00002F040000}"/>
    <cellStyle name="Unprot$ 3" xfId="1071" xr:uid="{00000000-0005-0000-0000-000030040000}"/>
    <cellStyle name="Unprot$ 4" xfId="1072" xr:uid="{00000000-0005-0000-0000-000031040000}"/>
    <cellStyle name="Unprot_Book4 (11) (2)" xfId="1073" xr:uid="{00000000-0005-0000-0000-000032040000}"/>
    <cellStyle name="Unprotect" xfId="183" xr:uid="{00000000-0005-0000-0000-000033040000}"/>
    <cellStyle name="Valuta (0)_pldt" xfId="1074" xr:uid="{00000000-0005-0000-0000-000034040000}"/>
    <cellStyle name="Valuta_pldt" xfId="1075" xr:uid="{00000000-0005-0000-0000-000035040000}"/>
    <cellStyle name="Warning Text 2" xfId="1076" xr:uid="{00000000-0005-0000-0000-000036040000}"/>
    <cellStyle name="Warning Text 3" xfId="1077" xr:uid="{00000000-0005-0000-0000-000037040000}"/>
    <cellStyle name="Warning Text 4" xfId="1078" xr:uid="{00000000-0005-0000-0000-000038040000}"/>
    <cellStyle name="Warning Text 5" xfId="1079" xr:uid="{00000000-0005-0000-0000-000039040000}"/>
    <cellStyle name="Warning Text 6" xfId="1080" xr:uid="{00000000-0005-0000-0000-00003A04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y0902\EAST%20Blocking%20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2"/>
  <sheetViews>
    <sheetView topLeftCell="A37" zoomScale="85" zoomScaleNormal="85" workbookViewId="0">
      <selection activeCell="C21" sqref="C21"/>
    </sheetView>
  </sheetViews>
  <sheetFormatPr defaultColWidth="8.4140625" defaultRowHeight="15.5"/>
  <cols>
    <col min="1" max="1" width="8.4140625" style="496"/>
    <col min="2" max="2" width="50.1640625" style="496" bestFit="1" customWidth="1"/>
    <col min="3" max="3" width="17.4140625" style="496" bestFit="1" customWidth="1"/>
    <col min="4" max="4" width="1.6640625" style="496" customWidth="1"/>
    <col min="5" max="5" width="20.58203125" style="496" bestFit="1" customWidth="1"/>
    <col min="6" max="6" width="15.1640625" style="496" bestFit="1" customWidth="1"/>
    <col min="7" max="7" width="15.33203125" style="496" bestFit="1" customWidth="1"/>
    <col min="8" max="8" width="8.4140625" style="496"/>
    <col min="9" max="9" width="11.25" style="496" bestFit="1" customWidth="1"/>
    <col min="10" max="16384" width="8.4140625" style="496"/>
  </cols>
  <sheetData>
    <row r="2" spans="2:9">
      <c r="B2" s="497"/>
      <c r="C2" s="498"/>
      <c r="D2" s="498"/>
      <c r="E2" s="499" t="s">
        <v>504</v>
      </c>
    </row>
    <row r="3" spans="2:9">
      <c r="B3" s="500" t="s">
        <v>505</v>
      </c>
      <c r="E3" s="501" t="s">
        <v>506</v>
      </c>
    </row>
    <row r="4" spans="2:9">
      <c r="B4" s="502"/>
      <c r="E4" s="501"/>
    </row>
    <row r="5" spans="2:9">
      <c r="B5" s="503" t="s">
        <v>507</v>
      </c>
      <c r="C5" s="493">
        <v>27.051526121700185</v>
      </c>
      <c r="E5" s="501" t="s">
        <v>519</v>
      </c>
      <c r="G5" s="512"/>
      <c r="H5" s="513"/>
      <c r="I5" s="514"/>
    </row>
    <row r="6" spans="2:9">
      <c r="B6" s="503" t="s">
        <v>508</v>
      </c>
      <c r="C6" s="494">
        <v>25.250587207496672</v>
      </c>
      <c r="E6" s="501" t="s">
        <v>520</v>
      </c>
      <c r="G6" s="512"/>
      <c r="H6" s="513"/>
      <c r="I6" s="514"/>
    </row>
    <row r="7" spans="2:9">
      <c r="B7" s="503" t="s">
        <v>509</v>
      </c>
      <c r="C7" s="495">
        <f>+C5-C6</f>
        <v>1.8009389142035133</v>
      </c>
      <c r="E7" s="501"/>
      <c r="G7" s="512"/>
      <c r="H7" s="513"/>
      <c r="I7" s="514"/>
    </row>
    <row r="8" spans="2:9">
      <c r="B8" s="503"/>
      <c r="C8" s="515"/>
      <c r="E8" s="501"/>
      <c r="H8" s="513"/>
      <c r="I8" s="514"/>
    </row>
    <row r="9" spans="2:9">
      <c r="B9" s="503" t="s">
        <v>510</v>
      </c>
      <c r="C9" s="516">
        <v>24669334.395935241</v>
      </c>
      <c r="E9" s="501" t="s">
        <v>521</v>
      </c>
      <c r="G9" s="517"/>
      <c r="H9" s="513"/>
      <c r="I9" s="514"/>
    </row>
    <row r="10" spans="2:9">
      <c r="B10" s="503"/>
      <c r="C10" s="516"/>
      <c r="E10" s="501"/>
      <c r="G10" s="517"/>
      <c r="H10" s="513"/>
      <c r="I10" s="514"/>
    </row>
    <row r="11" spans="2:9">
      <c r="B11" s="503" t="s">
        <v>511</v>
      </c>
      <c r="C11" s="518">
        <v>43926403.777274586</v>
      </c>
      <c r="E11" s="501" t="s">
        <v>522</v>
      </c>
      <c r="G11" s="517"/>
      <c r="H11" s="513"/>
      <c r="I11" s="514"/>
    </row>
    <row r="12" spans="2:9">
      <c r="B12" s="503" t="s">
        <v>512</v>
      </c>
      <c r="C12" s="516">
        <v>-2927662.9760000003</v>
      </c>
      <c r="E12" s="501" t="s">
        <v>523</v>
      </c>
      <c r="G12" s="517"/>
      <c r="H12" s="513"/>
      <c r="I12" s="514"/>
    </row>
    <row r="13" spans="2:9">
      <c r="B13" s="503" t="s">
        <v>513</v>
      </c>
      <c r="C13" s="516">
        <v>-8733909.090650728</v>
      </c>
      <c r="E13" s="501" t="s">
        <v>524</v>
      </c>
      <c r="G13" s="517"/>
      <c r="H13" s="513"/>
      <c r="I13" s="514"/>
    </row>
    <row r="14" spans="2:9">
      <c r="B14" s="503" t="s">
        <v>514</v>
      </c>
      <c r="C14" s="504">
        <v>1641003.787533999</v>
      </c>
      <c r="E14" s="501" t="s">
        <v>525</v>
      </c>
      <c r="G14" s="517"/>
      <c r="H14" s="513"/>
      <c r="I14" s="514"/>
    </row>
    <row r="15" spans="2:9">
      <c r="B15" s="503" t="s">
        <v>515</v>
      </c>
      <c r="C15" s="516">
        <v>33905835.498157866</v>
      </c>
      <c r="E15" s="501" t="s">
        <v>526</v>
      </c>
      <c r="G15" s="517"/>
      <c r="H15" s="513"/>
      <c r="I15" s="514"/>
    </row>
    <row r="16" spans="2:9">
      <c r="B16" s="503"/>
      <c r="C16" s="519"/>
      <c r="E16" s="501"/>
      <c r="G16" s="517"/>
      <c r="H16" s="513"/>
      <c r="I16" s="514"/>
    </row>
    <row r="17" spans="2:9">
      <c r="B17" s="503" t="s">
        <v>516</v>
      </c>
      <c r="C17" s="516">
        <v>1211884.5717519724</v>
      </c>
      <c r="E17" s="501" t="s">
        <v>527</v>
      </c>
      <c r="G17" s="517"/>
      <c r="H17" s="513"/>
      <c r="I17" s="514"/>
    </row>
    <row r="18" spans="2:9">
      <c r="B18" s="503" t="s">
        <v>531</v>
      </c>
      <c r="C18" s="516">
        <v>385059.95357699692</v>
      </c>
      <c r="E18" s="501" t="s">
        <v>528</v>
      </c>
      <c r="G18" s="517"/>
      <c r="H18" s="513"/>
      <c r="I18" s="514"/>
    </row>
    <row r="19" spans="2:9">
      <c r="B19" s="503" t="s">
        <v>533</v>
      </c>
      <c r="C19" s="516">
        <v>1283328.7452647313</v>
      </c>
      <c r="E19" s="501" t="s">
        <v>532</v>
      </c>
      <c r="G19" s="517"/>
      <c r="H19" s="513"/>
      <c r="I19" s="514"/>
    </row>
    <row r="20" spans="2:9">
      <c r="B20" s="503"/>
      <c r="C20" s="518"/>
      <c r="E20" s="501"/>
      <c r="G20" s="517"/>
      <c r="H20" s="513"/>
      <c r="I20" s="514"/>
    </row>
    <row r="21" spans="2:9" ht="16" thickBot="1">
      <c r="B21" s="505" t="s">
        <v>517</v>
      </c>
      <c r="C21" s="506">
        <f>SUM(C15:C20)</f>
        <v>36786108.768751569</v>
      </c>
      <c r="E21" s="501" t="s">
        <v>529</v>
      </c>
      <c r="F21" s="516"/>
      <c r="G21" s="517"/>
      <c r="H21" s="513"/>
      <c r="I21" s="514"/>
    </row>
    <row r="22" spans="2:9" ht="16" thickTop="1">
      <c r="B22" s="502"/>
      <c r="E22" s="507"/>
    </row>
    <row r="23" spans="2:9">
      <c r="B23" s="502" t="s">
        <v>518</v>
      </c>
      <c r="E23" s="507"/>
    </row>
    <row r="24" spans="2:9">
      <c r="B24" s="508"/>
      <c r="C24" s="509"/>
      <c r="D24" s="509"/>
      <c r="E24" s="510"/>
      <c r="H24" s="518"/>
    </row>
    <row r="26" spans="2:9">
      <c r="B26" s="497"/>
      <c r="C26" s="498"/>
      <c r="D26" s="520"/>
      <c r="F26" s="518"/>
    </row>
    <row r="27" spans="2:9">
      <c r="B27" s="503" t="s">
        <v>534</v>
      </c>
      <c r="C27" s="521">
        <v>715978036.2872802</v>
      </c>
      <c r="D27" s="507"/>
      <c r="E27" s="522"/>
      <c r="F27" s="517"/>
      <c r="G27" s="515"/>
    </row>
    <row r="28" spans="2:9">
      <c r="B28" s="503" t="s">
        <v>535</v>
      </c>
      <c r="C28" s="504">
        <v>628000000</v>
      </c>
      <c r="D28" s="507"/>
      <c r="E28" s="522"/>
      <c r="F28" s="517"/>
    </row>
    <row r="29" spans="2:9">
      <c r="B29" s="505" t="s">
        <v>536</v>
      </c>
      <c r="C29" s="523">
        <f>C27-C28</f>
        <v>87978036.287280202</v>
      </c>
      <c r="D29" s="507"/>
      <c r="E29" s="524"/>
    </row>
    <row r="30" spans="2:9">
      <c r="B30" s="503"/>
      <c r="D30" s="507"/>
      <c r="E30" s="525"/>
    </row>
    <row r="31" spans="2:9">
      <c r="B31" s="503" t="s">
        <v>537</v>
      </c>
      <c r="C31" s="521">
        <v>-48634892.470681354</v>
      </c>
      <c r="D31" s="507"/>
      <c r="E31" s="525"/>
    </row>
    <row r="32" spans="2:9">
      <c r="B32" s="503" t="s">
        <v>538</v>
      </c>
      <c r="C32" s="504">
        <v>-41068156.514123976</v>
      </c>
      <c r="D32" s="507"/>
      <c r="E32" s="525"/>
    </row>
    <row r="33" spans="2:6">
      <c r="B33" s="505" t="s">
        <v>539</v>
      </c>
      <c r="C33" s="523">
        <f>C31-C32</f>
        <v>-7566735.9565573782</v>
      </c>
      <c r="D33" s="507"/>
      <c r="E33" s="524"/>
      <c r="F33" s="517"/>
    </row>
    <row r="34" spans="2:6">
      <c r="B34" s="503"/>
      <c r="D34" s="507"/>
    </row>
    <row r="35" spans="2:6">
      <c r="B35" s="503" t="s">
        <v>540</v>
      </c>
      <c r="C35" s="516">
        <v>24669334.395935241</v>
      </c>
      <c r="D35" s="507"/>
    </row>
    <row r="36" spans="2:6">
      <c r="B36" s="503" t="s">
        <v>541</v>
      </c>
      <c r="C36" s="504">
        <v>23244284.921485759</v>
      </c>
      <c r="D36" s="507"/>
    </row>
    <row r="37" spans="2:6">
      <c r="B37" s="503" t="s">
        <v>542</v>
      </c>
      <c r="C37" s="526">
        <f>C35-C36</f>
        <v>1425049.4744494818</v>
      </c>
      <c r="D37" s="507"/>
    </row>
    <row r="38" spans="2:6">
      <c r="B38" s="505" t="s">
        <v>543</v>
      </c>
      <c r="C38" s="523">
        <v>-36484896.5534482</v>
      </c>
      <c r="D38" s="507"/>
      <c r="F38" s="517"/>
    </row>
    <row r="39" spans="2:6">
      <c r="B39" s="503"/>
      <c r="D39" s="507"/>
    </row>
    <row r="40" spans="2:6">
      <c r="B40" s="505" t="s">
        <v>544</v>
      </c>
      <c r="C40" s="523">
        <f>+C29+C33+C38</f>
        <v>43926403.777274624</v>
      </c>
      <c r="D40" s="507"/>
    </row>
    <row r="41" spans="2:6">
      <c r="B41" s="503"/>
      <c r="D41" s="507"/>
    </row>
    <row r="42" spans="2:6">
      <c r="B42" s="503" t="s">
        <v>545</v>
      </c>
      <c r="C42" s="521">
        <f>C11</f>
        <v>43926403.777274586</v>
      </c>
      <c r="D42" s="507"/>
    </row>
    <row r="43" spans="2:6">
      <c r="B43" s="503" t="s">
        <v>546</v>
      </c>
      <c r="C43" s="516">
        <f>C12</f>
        <v>-2927662.9760000003</v>
      </c>
      <c r="D43" s="507"/>
    </row>
    <row r="44" spans="2:6">
      <c r="B44" s="503" t="s">
        <v>547</v>
      </c>
      <c r="C44" s="516">
        <f>C13</f>
        <v>-8733909.090650728</v>
      </c>
      <c r="D44" s="507"/>
    </row>
    <row r="45" spans="2:6">
      <c r="B45" s="503" t="s">
        <v>548</v>
      </c>
      <c r="C45" s="516">
        <f>C14</f>
        <v>1641003.787533999</v>
      </c>
      <c r="D45" s="507"/>
    </row>
    <row r="46" spans="2:6">
      <c r="B46" s="503"/>
      <c r="D46" s="507"/>
    </row>
    <row r="47" spans="2:6">
      <c r="B47" s="503" t="s">
        <v>516</v>
      </c>
      <c r="C47" s="516">
        <f>C17</f>
        <v>1211884.5717519724</v>
      </c>
      <c r="D47" s="507"/>
    </row>
    <row r="48" spans="2:6">
      <c r="B48" s="503" t="s">
        <v>531</v>
      </c>
      <c r="C48" s="516">
        <f>C18</f>
        <v>385059.95357699692</v>
      </c>
      <c r="D48" s="507"/>
    </row>
    <row r="49" spans="2:4">
      <c r="B49" s="503" t="s">
        <v>533</v>
      </c>
      <c r="C49" s="516">
        <f>C19</f>
        <v>1283328.7452647313</v>
      </c>
      <c r="D49" s="507"/>
    </row>
    <row r="50" spans="2:4">
      <c r="B50" s="503"/>
      <c r="C50" s="521"/>
      <c r="D50" s="507"/>
    </row>
    <row r="51" spans="2:4" ht="16" thickBot="1">
      <c r="B51" s="505" t="s">
        <v>517</v>
      </c>
      <c r="C51" s="527">
        <f>SUM(C42:C50)</f>
        <v>36786108.768751554</v>
      </c>
      <c r="D51" s="507"/>
    </row>
    <row r="52" spans="2:4" ht="16" thickTop="1">
      <c r="B52" s="508"/>
      <c r="C52" s="509"/>
      <c r="D52" s="510"/>
    </row>
  </sheetData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F52"/>
  <sheetViews>
    <sheetView tabSelected="1" view="pageBreakPreview" topLeftCell="A7" zoomScale="70" zoomScaleNormal="75" zoomScaleSheetLayoutView="70" workbookViewId="0">
      <selection activeCell="AE18" sqref="AE18"/>
    </sheetView>
  </sheetViews>
  <sheetFormatPr defaultColWidth="9" defaultRowHeight="15.5"/>
  <cols>
    <col min="1" max="1" width="4.58203125" style="283" customWidth="1"/>
    <col min="2" max="2" width="1.58203125" style="283" customWidth="1"/>
    <col min="3" max="3" width="39.4140625" style="283" customWidth="1"/>
    <col min="4" max="4" width="0.58203125" style="290" customWidth="1"/>
    <col min="5" max="5" width="7.08203125" style="283" bestFit="1" customWidth="1"/>
    <col min="6" max="6" width="0.58203125" style="290" customWidth="1"/>
    <col min="7" max="7" width="10.58203125" style="290" bestFit="1" customWidth="1"/>
    <col min="8" max="8" width="0.58203125" style="290" customWidth="1"/>
    <col min="9" max="9" width="12" style="290" bestFit="1" customWidth="1"/>
    <col min="10" max="10" width="2.08203125" style="290" customWidth="1"/>
    <col min="11" max="11" width="11.5" style="290" bestFit="1" customWidth="1"/>
    <col min="12" max="12" width="1.9140625" style="290" customWidth="1"/>
    <col min="13" max="13" width="8.58203125" style="290" bestFit="1" customWidth="1"/>
    <col min="14" max="14" width="1.9140625" style="290" customWidth="1"/>
    <col min="15" max="15" width="11.5" style="290" bestFit="1" customWidth="1"/>
    <col min="16" max="16" width="2.9140625" style="290" customWidth="1"/>
    <col min="17" max="17" width="11.5" style="290" bestFit="1" customWidth="1"/>
    <col min="18" max="18" width="1.9140625" style="290" customWidth="1"/>
    <col min="19" max="19" width="8.58203125" style="290" bestFit="1" customWidth="1"/>
    <col min="20" max="20" width="1.58203125" style="290" customWidth="1"/>
    <col min="21" max="21" width="11.5" style="290" bestFit="1" customWidth="1"/>
    <col min="22" max="22" width="2.9140625" style="290" customWidth="1"/>
    <col min="23" max="23" width="6.58203125" style="290" bestFit="1" customWidth="1"/>
    <col min="24" max="24" width="1" style="290" customWidth="1"/>
    <col min="25" max="25" width="5.4140625" style="291" bestFit="1" customWidth="1"/>
    <col min="26" max="26" width="2.5" style="290" customWidth="1"/>
    <col min="27" max="27" width="9.4140625" style="290" bestFit="1" customWidth="1"/>
    <col min="28" max="28" width="1" style="290" customWidth="1"/>
    <col min="29" max="29" width="6" style="291" bestFit="1" customWidth="1"/>
    <col min="30" max="30" width="9" style="283"/>
    <col min="31" max="31" width="13.08203125" style="283" bestFit="1" customWidth="1"/>
    <col min="32" max="16384" width="9" style="283"/>
  </cols>
  <sheetData>
    <row r="1" spans="1:31">
      <c r="A1" s="279" t="s">
        <v>394</v>
      </c>
      <c r="B1" s="279"/>
      <c r="C1" s="279"/>
      <c r="D1" s="280"/>
      <c r="E1" s="279"/>
      <c r="F1" s="280"/>
      <c r="G1" s="280"/>
      <c r="H1" s="280"/>
      <c r="I1" s="280"/>
      <c r="J1" s="280"/>
      <c r="K1" s="281"/>
      <c r="L1" s="280"/>
      <c r="M1" s="281"/>
      <c r="N1" s="280"/>
      <c r="O1" s="281"/>
      <c r="P1" s="280"/>
      <c r="Q1" s="281"/>
      <c r="R1" s="280"/>
      <c r="S1" s="281"/>
      <c r="T1" s="280"/>
      <c r="U1" s="281"/>
      <c r="V1" s="280"/>
      <c r="W1" s="281"/>
      <c r="X1" s="280"/>
      <c r="Y1" s="282"/>
      <c r="Z1" s="280"/>
      <c r="AA1" s="281"/>
      <c r="AB1" s="280"/>
      <c r="AC1" s="322"/>
    </row>
    <row r="2" spans="1:31" s="55" customFormat="1">
      <c r="A2" s="279" t="s">
        <v>239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5"/>
      <c r="Z2" s="284"/>
      <c r="AA2" s="284"/>
      <c r="AB2" s="284"/>
      <c r="AC2" s="323"/>
    </row>
    <row r="3" spans="1:31" s="55" customFormat="1">
      <c r="A3" s="88" t="s">
        <v>294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5"/>
      <c r="Z3" s="284"/>
      <c r="AA3" s="284"/>
      <c r="AB3" s="284"/>
      <c r="AC3" s="323"/>
    </row>
    <row r="4" spans="1:31" s="55" customFormat="1">
      <c r="A4" s="279" t="s">
        <v>240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5"/>
      <c r="Z4" s="284"/>
      <c r="AA4" s="284"/>
      <c r="AB4" s="284"/>
      <c r="AC4" s="323"/>
    </row>
    <row r="5" spans="1:31" s="55" customFormat="1">
      <c r="A5" s="279" t="s">
        <v>420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5"/>
      <c r="Z5" s="284"/>
      <c r="AA5" s="284"/>
      <c r="AB5" s="284"/>
      <c r="AC5" s="285"/>
    </row>
    <row r="6" spans="1:31">
      <c r="A6" s="279" t="s">
        <v>421</v>
      </c>
      <c r="B6" s="284"/>
      <c r="C6" s="284"/>
      <c r="D6" s="284"/>
      <c r="E6" s="284"/>
      <c r="F6" s="284"/>
      <c r="G6" s="284"/>
      <c r="H6" s="284"/>
      <c r="I6" s="284"/>
      <c r="J6" s="281"/>
      <c r="K6" s="286"/>
      <c r="L6" s="281"/>
      <c r="M6" s="286"/>
      <c r="N6" s="281"/>
      <c r="O6" s="286"/>
      <c r="P6" s="281"/>
      <c r="Q6" s="286"/>
      <c r="R6" s="281"/>
      <c r="S6" s="286"/>
      <c r="T6" s="281"/>
      <c r="U6" s="286"/>
      <c r="V6" s="281"/>
      <c r="W6" s="286"/>
      <c r="X6" s="286"/>
      <c r="Y6" s="287"/>
      <c r="Z6" s="281"/>
      <c r="AA6" s="286"/>
      <c r="AB6" s="286"/>
      <c r="AC6" s="287"/>
    </row>
    <row r="7" spans="1:31" ht="10.5" customHeight="1">
      <c r="A7" s="279"/>
      <c r="B7" s="279"/>
      <c r="C7" s="279"/>
      <c r="D7" s="280"/>
      <c r="E7" s="279"/>
      <c r="F7" s="280"/>
      <c r="G7" s="280"/>
      <c r="H7" s="280"/>
      <c r="I7" s="280"/>
      <c r="J7" s="280"/>
      <c r="K7" s="281"/>
      <c r="L7" s="280"/>
      <c r="M7" s="281"/>
      <c r="N7" s="280"/>
      <c r="O7" s="281"/>
      <c r="P7" s="280"/>
      <c r="Q7" s="281"/>
      <c r="R7" s="280"/>
      <c r="S7" s="281"/>
      <c r="T7" s="280"/>
      <c r="U7" s="281"/>
      <c r="V7" s="280"/>
      <c r="W7" s="281"/>
      <c r="X7" s="280"/>
      <c r="Y7" s="282"/>
      <c r="Z7" s="280"/>
      <c r="AA7" s="281"/>
      <c r="AB7" s="280"/>
      <c r="AC7" s="282"/>
    </row>
    <row r="8" spans="1:31">
      <c r="D8" s="288"/>
      <c r="F8" s="288"/>
      <c r="G8" s="289"/>
      <c r="H8" s="288"/>
      <c r="J8" s="288"/>
      <c r="L8" s="288"/>
      <c r="N8" s="288"/>
      <c r="P8" s="288"/>
      <c r="R8" s="288"/>
      <c r="T8" s="288"/>
      <c r="V8" s="288"/>
      <c r="Z8" s="288"/>
    </row>
    <row r="9" spans="1:31">
      <c r="D9" s="289"/>
      <c r="E9" s="292"/>
      <c r="F9" s="289"/>
      <c r="G9" s="289" t="s">
        <v>395</v>
      </c>
      <c r="H9" s="289"/>
      <c r="I9" s="289"/>
      <c r="J9" s="289"/>
      <c r="K9" s="83"/>
      <c r="L9" s="84"/>
      <c r="M9" s="85"/>
      <c r="N9" s="84"/>
      <c r="O9" s="85"/>
      <c r="P9" s="289"/>
      <c r="Q9" s="83"/>
      <c r="R9" s="84"/>
      <c r="S9" s="85"/>
      <c r="T9" s="84"/>
      <c r="U9" s="85"/>
      <c r="V9" s="84"/>
      <c r="W9" s="293" t="s">
        <v>243</v>
      </c>
      <c r="X9" s="293"/>
      <c r="Y9" s="294"/>
      <c r="Z9" s="293"/>
      <c r="AA9" s="293"/>
      <c r="AB9" s="293"/>
      <c r="AC9" s="294"/>
    </row>
    <row r="10" spans="1:31" s="295" customFormat="1" ht="15">
      <c r="A10" s="295" t="s">
        <v>241</v>
      </c>
      <c r="D10" s="289"/>
      <c r="E10" s="292" t="s">
        <v>242</v>
      </c>
      <c r="F10" s="289"/>
      <c r="G10" s="296" t="s">
        <v>84</v>
      </c>
      <c r="H10" s="289"/>
      <c r="I10" s="289" t="s">
        <v>396</v>
      </c>
      <c r="J10" s="296"/>
      <c r="K10" s="293" t="s">
        <v>397</v>
      </c>
      <c r="L10" s="293"/>
      <c r="M10" s="293"/>
      <c r="N10" s="293"/>
      <c r="O10" s="293"/>
      <c r="P10" s="296"/>
      <c r="Q10" s="293" t="s">
        <v>398</v>
      </c>
      <c r="R10" s="293"/>
      <c r="S10" s="293"/>
      <c r="T10" s="293"/>
      <c r="U10" s="293"/>
      <c r="V10" s="83"/>
      <c r="W10" s="293" t="s">
        <v>399</v>
      </c>
      <c r="X10" s="293"/>
      <c r="Y10" s="294"/>
      <c r="Z10" s="83"/>
      <c r="AA10" s="293" t="s">
        <v>400</v>
      </c>
      <c r="AB10" s="293"/>
      <c r="AC10" s="294"/>
    </row>
    <row r="11" spans="1:31" s="295" customFormat="1" ht="15">
      <c r="A11" s="295" t="s">
        <v>244</v>
      </c>
      <c r="C11" s="292" t="s">
        <v>245</v>
      </c>
      <c r="E11" s="297" t="s">
        <v>244</v>
      </c>
      <c r="G11" s="298" t="s">
        <v>246</v>
      </c>
      <c r="I11" s="298" t="s">
        <v>246</v>
      </c>
      <c r="K11" s="86" t="s">
        <v>399</v>
      </c>
      <c r="L11" s="87"/>
      <c r="M11" s="86" t="s">
        <v>401</v>
      </c>
      <c r="N11" s="87"/>
      <c r="O11" s="86" t="s">
        <v>400</v>
      </c>
      <c r="Q11" s="86" t="s">
        <v>399</v>
      </c>
      <c r="R11" s="87"/>
      <c r="S11" s="86" t="s">
        <v>401</v>
      </c>
      <c r="T11" s="87"/>
      <c r="U11" s="86" t="s">
        <v>400</v>
      </c>
      <c r="V11" s="87"/>
      <c r="W11" s="86" t="s">
        <v>247</v>
      </c>
      <c r="X11" s="87"/>
      <c r="Y11" s="299" t="s">
        <v>402</v>
      </c>
      <c r="Z11" s="87"/>
      <c r="AA11" s="86" t="s">
        <v>247</v>
      </c>
      <c r="AB11" s="87"/>
      <c r="AC11" s="299" t="s">
        <v>402</v>
      </c>
    </row>
    <row r="12" spans="1:31" s="295" customFormat="1" ht="15">
      <c r="C12" s="56">
        <v>-1</v>
      </c>
      <c r="D12" s="57"/>
      <c r="E12" s="56">
        <f>MIN($A12:D12)-1</f>
        <v>-2</v>
      </c>
      <c r="F12" s="57"/>
      <c r="G12" s="56">
        <f>MIN($A12:F12)-1</f>
        <v>-3</v>
      </c>
      <c r="H12" s="57"/>
      <c r="I12" s="56">
        <f>MIN($A12:H12)-1</f>
        <v>-4</v>
      </c>
      <c r="J12" s="57"/>
      <c r="K12" s="56">
        <f>MIN($A12:J12)-1</f>
        <v>-5</v>
      </c>
      <c r="L12" s="57"/>
      <c r="M12" s="56">
        <f>MIN($A12:L12)-1</f>
        <v>-6</v>
      </c>
      <c r="N12" s="57"/>
      <c r="O12" s="56">
        <f>MIN($A12:N12)-1</f>
        <v>-7</v>
      </c>
      <c r="P12" s="57"/>
      <c r="Q12" s="56">
        <f>MIN($A12:P12)-1</f>
        <v>-8</v>
      </c>
      <c r="R12" s="57"/>
      <c r="S12" s="56">
        <f>MIN($A12:R12)-1</f>
        <v>-9</v>
      </c>
      <c r="T12" s="57"/>
      <c r="U12" s="56">
        <f>MIN($A12:T12)-1</f>
        <v>-10</v>
      </c>
      <c r="V12" s="57"/>
      <c r="W12" s="56">
        <f>MIN($A12:V12)-1</f>
        <v>-11</v>
      </c>
      <c r="X12" s="57"/>
      <c r="Y12" s="56">
        <f>MIN($A12:X12)-1</f>
        <v>-12</v>
      </c>
      <c r="Z12" s="57"/>
      <c r="AA12" s="56">
        <f>MIN($A12:Z12)-1</f>
        <v>-13</v>
      </c>
      <c r="AB12" s="57"/>
      <c r="AC12" s="56">
        <f>MIN($A12:AB12)-1</f>
        <v>-14</v>
      </c>
    </row>
    <row r="13" spans="1:31" s="295" customFormat="1" ht="15">
      <c r="D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1"/>
      <c r="Z13" s="300"/>
      <c r="AA13" s="300"/>
      <c r="AB13" s="300"/>
      <c r="AC13" s="301"/>
    </row>
    <row r="14" spans="1:31">
      <c r="C14" s="295" t="s">
        <v>248</v>
      </c>
    </row>
    <row r="15" spans="1:31">
      <c r="A15" s="283">
        <v>1</v>
      </c>
      <c r="C15" s="283" t="s">
        <v>248</v>
      </c>
      <c r="E15" s="302" t="s">
        <v>249</v>
      </c>
      <c r="G15" s="58">
        <v>740189</v>
      </c>
      <c r="I15" s="58">
        <v>6200666.1794248829</v>
      </c>
      <c r="J15" s="60"/>
      <c r="K15" s="59">
        <f>SUM('Exhibit-RMP(RMM-2)'!G29,'Exhibit-RMP(RMM-2)'!G49)/1000</f>
        <v>684504.94400000002</v>
      </c>
      <c r="L15" s="60"/>
      <c r="M15" s="59">
        <f>SUM('Exhibit-RMP(RMM-2)'!M29,'Exhibit-RMP(RMM-2)'!M49)/1000</f>
        <v>5031.9204632800001</v>
      </c>
      <c r="N15" s="60"/>
      <c r="O15" s="59">
        <f>K15+M15</f>
        <v>689536.86446328007</v>
      </c>
      <c r="P15" s="60"/>
      <c r="Q15" s="59">
        <f>K15</f>
        <v>684504.94400000002</v>
      </c>
      <c r="R15" s="60"/>
      <c r="S15" s="59">
        <f>SUM('Exhibit-RMP(RMM-2)'!Q29,'Exhibit-RMP(RMM-2)'!Q49)/1000</f>
        <v>10692.830984470002</v>
      </c>
      <c r="T15" s="60"/>
      <c r="U15" s="59">
        <f>Q15+S15</f>
        <v>695197.77498446999</v>
      </c>
      <c r="V15" s="60"/>
      <c r="W15" s="59">
        <f>Q15-K15</f>
        <v>0</v>
      </c>
      <c r="X15" s="60"/>
      <c r="Y15" s="303">
        <f>W15/K15</f>
        <v>0</v>
      </c>
      <c r="Z15" s="60"/>
      <c r="AA15" s="59">
        <f>U15-O15</f>
        <v>5660.910521189915</v>
      </c>
      <c r="AB15" s="60"/>
      <c r="AC15" s="303">
        <f>AA15/O15</f>
        <v>8.2097286061655894E-3</v>
      </c>
    </row>
    <row r="16" spans="1:31">
      <c r="A16" s="283">
        <f>MAX(A$14:A15)+1</f>
        <v>2</v>
      </c>
      <c r="C16" s="283" t="s">
        <v>250</v>
      </c>
      <c r="E16" s="283">
        <v>2</v>
      </c>
      <c r="G16" s="58">
        <v>447</v>
      </c>
      <c r="I16" s="58">
        <v>3185.6706103628849</v>
      </c>
      <c r="J16" s="60"/>
      <c r="K16" s="59">
        <f>'Exhibit-RMP(RMM-2)'!G71/1000</f>
        <v>351.48899999999998</v>
      </c>
      <c r="L16" s="60"/>
      <c r="M16" s="59">
        <f>'Exhibit-RMP(RMM-2)'!M71/1000</f>
        <v>2.5796160000000006</v>
      </c>
      <c r="N16" s="60"/>
      <c r="O16" s="59">
        <f t="shared" ref="O16:O17" si="0">K16+M16</f>
        <v>354.06861599999996</v>
      </c>
      <c r="P16" s="60"/>
      <c r="Q16" s="59">
        <f t="shared" ref="Q16:Q17" si="1">K16</f>
        <v>351.48899999999998</v>
      </c>
      <c r="R16" s="60"/>
      <c r="S16" s="59">
        <f>'Exhibit-RMP(RMM-2)'!Q71/1000</f>
        <v>5.4816840000000004</v>
      </c>
      <c r="T16" s="60"/>
      <c r="U16" s="59">
        <f t="shared" ref="U16:U17" si="2">Q16+S16</f>
        <v>356.97068399999995</v>
      </c>
      <c r="V16" s="60"/>
      <c r="W16" s="59">
        <f t="shared" ref="W16:W17" si="3">Q16-K16</f>
        <v>0</v>
      </c>
      <c r="X16" s="60"/>
      <c r="Y16" s="303">
        <f t="shared" ref="Y16:Y18" si="4">W16/K16</f>
        <v>0</v>
      </c>
      <c r="Z16" s="60"/>
      <c r="AA16" s="59">
        <f t="shared" ref="AA16:AA17" si="5">U16-O16</f>
        <v>2.9020679999999857</v>
      </c>
      <c r="AB16" s="60"/>
      <c r="AC16" s="303">
        <f t="shared" ref="AC16:AC17" si="6">AA16/O16</f>
        <v>8.196343501961174E-3</v>
      </c>
      <c r="AD16" s="145" t="s">
        <v>452</v>
      </c>
      <c r="AE16" s="145"/>
    </row>
    <row r="17" spans="1:31">
      <c r="A17" s="283">
        <f>MAX(A$14:A16)+1</f>
        <v>3</v>
      </c>
      <c r="C17" s="304" t="s">
        <v>251</v>
      </c>
      <c r="E17" s="305" t="s">
        <v>252</v>
      </c>
      <c r="G17" s="321"/>
      <c r="I17" s="306"/>
      <c r="J17" s="60"/>
      <c r="K17" s="61">
        <f>'Exhibit-RMP(RMM-2)'!G504/1000</f>
        <v>33.04027</v>
      </c>
      <c r="L17" s="60"/>
      <c r="M17" s="61"/>
      <c r="N17" s="60"/>
      <c r="O17" s="61">
        <f t="shared" si="0"/>
        <v>33.04027</v>
      </c>
      <c r="P17" s="60"/>
      <c r="Q17" s="61">
        <f t="shared" si="1"/>
        <v>33.04027</v>
      </c>
      <c r="R17" s="60"/>
      <c r="S17" s="61"/>
      <c r="T17" s="60"/>
      <c r="U17" s="61">
        <f t="shared" si="2"/>
        <v>33.04027</v>
      </c>
      <c r="V17" s="60"/>
      <c r="W17" s="61">
        <f t="shared" si="3"/>
        <v>0</v>
      </c>
      <c r="X17" s="60"/>
      <c r="Y17" s="307">
        <f t="shared" si="4"/>
        <v>0</v>
      </c>
      <c r="Z17" s="60"/>
      <c r="AA17" s="61">
        <f t="shared" si="5"/>
        <v>0</v>
      </c>
      <c r="AB17" s="60"/>
      <c r="AC17" s="307">
        <f t="shared" si="6"/>
        <v>0</v>
      </c>
      <c r="AD17" s="445" t="s">
        <v>377</v>
      </c>
      <c r="AE17" s="445" t="s">
        <v>243</v>
      </c>
    </row>
    <row r="18" spans="1:31">
      <c r="A18" s="283">
        <f>MAX(A$14:A17)+1</f>
        <v>4</v>
      </c>
      <c r="C18" s="295" t="s">
        <v>253</v>
      </c>
      <c r="G18" s="58">
        <v>740636</v>
      </c>
      <c r="I18" s="58">
        <v>6203851.8500352455</v>
      </c>
      <c r="J18" s="60"/>
      <c r="K18" s="59">
        <f>SUM(K15:K17)</f>
        <v>684889.47326999996</v>
      </c>
      <c r="L18" s="60"/>
      <c r="M18" s="59">
        <f>SUM(M15:M17)</f>
        <v>5034.5000792800001</v>
      </c>
      <c r="N18" s="60"/>
      <c r="O18" s="59">
        <f>SUM(O15:O17)</f>
        <v>689923.97334928007</v>
      </c>
      <c r="P18" s="60"/>
      <c r="Q18" s="59">
        <f>SUM(Q15:Q17)</f>
        <v>684889.47326999996</v>
      </c>
      <c r="R18" s="60"/>
      <c r="S18" s="59">
        <f>SUM(S15:S17)</f>
        <v>10698.312668470002</v>
      </c>
      <c r="T18" s="60"/>
      <c r="U18" s="59">
        <f>SUM(U15:U17)</f>
        <v>695587.78593847004</v>
      </c>
      <c r="V18" s="60"/>
      <c r="W18" s="59">
        <f>SUM(W15:W17)</f>
        <v>0</v>
      </c>
      <c r="X18" s="60"/>
      <c r="Y18" s="303">
        <f t="shared" si="4"/>
        <v>0</v>
      </c>
      <c r="Z18" s="60"/>
      <c r="AA18" s="59">
        <f>SUM(AA15:AA17)</f>
        <v>5663.8125891899153</v>
      </c>
      <c r="AB18" s="60"/>
      <c r="AC18" s="303">
        <f>AA18/O18</f>
        <v>8.2093285752842804E-3</v>
      </c>
      <c r="AD18" s="58">
        <f>I18/G18/12*1000</f>
        <v>698.03203485869415</v>
      </c>
      <c r="AE18" s="324">
        <f>AA18/(G18*12)*1000</f>
        <v>0.63726902612415948</v>
      </c>
    </row>
    <row r="19" spans="1:31" ht="24.9" customHeight="1">
      <c r="C19" s="295" t="s">
        <v>254</v>
      </c>
      <c r="G19" s="58"/>
      <c r="I19" s="58"/>
      <c r="J19" s="60"/>
      <c r="K19" s="59"/>
      <c r="L19" s="60"/>
      <c r="M19" s="59"/>
      <c r="N19" s="60"/>
      <c r="O19" s="59"/>
      <c r="P19" s="60"/>
      <c r="Q19" s="59"/>
      <c r="R19" s="60"/>
      <c r="S19" s="59"/>
      <c r="T19" s="60"/>
      <c r="U19" s="59"/>
      <c r="V19" s="60"/>
      <c r="W19" s="59"/>
      <c r="X19" s="60"/>
      <c r="Y19" s="303"/>
      <c r="Z19" s="60"/>
      <c r="AA19" s="59"/>
      <c r="AB19" s="60"/>
      <c r="AC19" s="303"/>
    </row>
    <row r="20" spans="1:31">
      <c r="A20" s="283">
        <f>MAX(A$14:A19)+1</f>
        <v>5</v>
      </c>
      <c r="C20" s="283" t="s">
        <v>255</v>
      </c>
      <c r="E20" s="308">
        <v>6</v>
      </c>
      <c r="G20" s="58">
        <v>13072</v>
      </c>
      <c r="I20" s="58">
        <v>5783806.2612344306</v>
      </c>
      <c r="J20" s="60"/>
      <c r="K20" s="59">
        <f>'Exhibit-RMP(RMM-2)'!G86/1000</f>
        <v>494681.46600000001</v>
      </c>
      <c r="L20" s="60"/>
      <c r="M20" s="59">
        <f>'Exhibit-RMP(RMM-2)'!M86/1000</f>
        <v>4448.8766188399995</v>
      </c>
      <c r="N20" s="60"/>
      <c r="O20" s="59">
        <f t="shared" ref="O20:O22" si="7">K20+M20</f>
        <v>499130.34261883999</v>
      </c>
      <c r="P20" s="60"/>
      <c r="Q20" s="59">
        <f t="shared" ref="Q20:Q22" si="8">K20</f>
        <v>494681.46600000001</v>
      </c>
      <c r="R20" s="60"/>
      <c r="S20" s="59">
        <f>'Exhibit-RMP(RMM-2)'!Q86/1000</f>
        <v>9443.3701814999986</v>
      </c>
      <c r="T20" s="60"/>
      <c r="U20" s="59">
        <f t="shared" ref="U20:U22" si="9">Q20+S20</f>
        <v>504124.8361815</v>
      </c>
      <c r="V20" s="60"/>
      <c r="W20" s="59">
        <f t="shared" ref="W20:W22" si="10">Q20-K20</f>
        <v>0</v>
      </c>
      <c r="X20" s="60"/>
      <c r="Y20" s="303">
        <f t="shared" ref="Y20:Y38" si="11">W20/K20</f>
        <v>0</v>
      </c>
      <c r="Z20" s="60"/>
      <c r="AA20" s="59">
        <f t="shared" ref="AA20:AA22" si="12">U20-O20</f>
        <v>4994.4935626600054</v>
      </c>
      <c r="AB20" s="60"/>
      <c r="AC20" s="303">
        <f t="shared" ref="AC20:AC38" si="13">AA20/O20</f>
        <v>1.0006391389581462E-2</v>
      </c>
    </row>
    <row r="21" spans="1:31">
      <c r="A21" s="283">
        <f>MAX(A$14:A20)+1</f>
        <v>6</v>
      </c>
      <c r="C21" s="283" t="s">
        <v>256</v>
      </c>
      <c r="E21" s="309" t="s">
        <v>257</v>
      </c>
      <c r="G21" s="58">
        <v>2276</v>
      </c>
      <c r="I21" s="58">
        <v>292031.09985016566</v>
      </c>
      <c r="J21" s="60"/>
      <c r="K21" s="62">
        <f>'Exhibit-RMP(RMM-2)'!G113/1000</f>
        <v>34227.404000000002</v>
      </c>
      <c r="L21" s="60"/>
      <c r="M21" s="59">
        <f>'Exhibit-RMP(RMM-2)'!M113/1000</f>
        <v>307.83909108399996</v>
      </c>
      <c r="N21" s="60"/>
      <c r="O21" s="59">
        <f t="shared" si="7"/>
        <v>34535.243091084005</v>
      </c>
      <c r="P21" s="60"/>
      <c r="Q21" s="59">
        <f t="shared" si="8"/>
        <v>34227.404000000002</v>
      </c>
      <c r="R21" s="60"/>
      <c r="S21" s="59">
        <f>'Exhibit-RMP(RMM-2)'!Q113/1000</f>
        <v>653.919063048</v>
      </c>
      <c r="T21" s="60"/>
      <c r="U21" s="59">
        <f t="shared" si="9"/>
        <v>34881.323063048003</v>
      </c>
      <c r="V21" s="60"/>
      <c r="W21" s="59">
        <f t="shared" si="10"/>
        <v>0</v>
      </c>
      <c r="X21" s="60"/>
      <c r="Y21" s="303">
        <f t="shared" si="11"/>
        <v>0</v>
      </c>
      <c r="Z21" s="60"/>
      <c r="AA21" s="59">
        <f t="shared" si="12"/>
        <v>346.0799719639981</v>
      </c>
      <c r="AB21" s="60"/>
      <c r="AC21" s="303">
        <f t="shared" si="13"/>
        <v>1.0021066626090896E-2</v>
      </c>
    </row>
    <row r="22" spans="1:31">
      <c r="A22" s="283">
        <f>MAX(A$14:A21)+1</f>
        <v>7</v>
      </c>
      <c r="C22" s="283" t="s">
        <v>258</v>
      </c>
      <c r="E22" s="309" t="s">
        <v>259</v>
      </c>
      <c r="G22" s="310">
        <v>37</v>
      </c>
      <c r="I22" s="310">
        <v>3907.4969999999998</v>
      </c>
      <c r="J22" s="60"/>
      <c r="K22" s="61">
        <f>'Exhibit-RMP(RMM-2)'!G101/1000</f>
        <v>345.71800000000002</v>
      </c>
      <c r="L22" s="60"/>
      <c r="M22" s="61">
        <f>'Exhibit-RMP(RMM-2)'!M101/1000</f>
        <v>2.9647564000000002</v>
      </c>
      <c r="N22" s="60"/>
      <c r="O22" s="61">
        <f t="shared" si="7"/>
        <v>348.68275640000002</v>
      </c>
      <c r="P22" s="60"/>
      <c r="Q22" s="61">
        <f t="shared" si="8"/>
        <v>345.71800000000002</v>
      </c>
      <c r="R22" s="60"/>
      <c r="S22" s="61">
        <f>'Exhibit-RMP(RMM-2)'!Q101/1000</f>
        <v>6.2931149999999993</v>
      </c>
      <c r="T22" s="60"/>
      <c r="U22" s="61">
        <f t="shared" si="9"/>
        <v>352.01111500000002</v>
      </c>
      <c r="V22" s="60"/>
      <c r="W22" s="61">
        <f t="shared" si="10"/>
        <v>0</v>
      </c>
      <c r="X22" s="60"/>
      <c r="Y22" s="307">
        <f t="shared" si="11"/>
        <v>0</v>
      </c>
      <c r="Z22" s="60"/>
      <c r="AA22" s="61">
        <f t="shared" si="12"/>
        <v>3.3283586000000014</v>
      </c>
      <c r="AB22" s="60"/>
      <c r="AC22" s="307">
        <f t="shared" si="13"/>
        <v>9.5455210758452098E-3</v>
      </c>
    </row>
    <row r="23" spans="1:31">
      <c r="A23" s="283">
        <f>MAX(A$14:A22)+1</f>
        <v>8</v>
      </c>
      <c r="C23" s="311" t="s">
        <v>260</v>
      </c>
      <c r="G23" s="58">
        <v>15385</v>
      </c>
      <c r="I23" s="58">
        <v>6079744.8580845967</v>
      </c>
      <c r="J23" s="60"/>
      <c r="K23" s="59">
        <f>SUM(K20:K22)</f>
        <v>529254.58799999999</v>
      </c>
      <c r="L23" s="60"/>
      <c r="M23" s="59">
        <f>SUM(M20:M22)</f>
        <v>4759.6804663239991</v>
      </c>
      <c r="N23" s="60"/>
      <c r="O23" s="59">
        <f>SUM(O20:O22)</f>
        <v>534014.26846632396</v>
      </c>
      <c r="P23" s="60"/>
      <c r="Q23" s="59">
        <f>SUM(Q20:Q22)</f>
        <v>529254.58799999999</v>
      </c>
      <c r="R23" s="60"/>
      <c r="S23" s="59">
        <f>SUM(S20:S22)</f>
        <v>10103.582359548</v>
      </c>
      <c r="T23" s="60"/>
      <c r="U23" s="59">
        <f>SUM(U20:U22)</f>
        <v>539358.17035954795</v>
      </c>
      <c r="V23" s="60"/>
      <c r="W23" s="59">
        <f>SUM(W20:W22)</f>
        <v>0</v>
      </c>
      <c r="X23" s="60"/>
      <c r="Y23" s="303">
        <f t="shared" si="11"/>
        <v>0</v>
      </c>
      <c r="Z23" s="60"/>
      <c r="AA23" s="59">
        <f>SUM(AA20:AA22)</f>
        <v>5343.9018932240033</v>
      </c>
      <c r="AB23" s="60"/>
      <c r="AC23" s="303">
        <f t="shared" si="13"/>
        <v>1.0007039528309909E-2</v>
      </c>
    </row>
    <row r="24" spans="1:31" ht="21.9" customHeight="1">
      <c r="A24" s="283">
        <f>MAX(A$14:A23)+1</f>
        <v>9</v>
      </c>
      <c r="C24" s="304" t="s">
        <v>261</v>
      </c>
      <c r="E24" s="309">
        <v>8</v>
      </c>
      <c r="F24" s="58"/>
      <c r="G24" s="58">
        <v>274</v>
      </c>
      <c r="I24" s="58">
        <v>2187047.3255884075</v>
      </c>
      <c r="J24" s="60"/>
      <c r="K24" s="62">
        <f>'Exhibit-RMP(RMM-2)'!G165/1000</f>
        <v>167313.40900000001</v>
      </c>
      <c r="L24" s="60"/>
      <c r="M24" s="59">
        <f>'Exhibit-RMP(RMM-2)'!M165/1000</f>
        <v>1674.9199149999999</v>
      </c>
      <c r="N24" s="60"/>
      <c r="O24" s="59">
        <f t="shared" ref="O24:O26" si="14">K24+M24</f>
        <v>168988.32891500002</v>
      </c>
      <c r="P24" s="60"/>
      <c r="Q24" s="59">
        <f t="shared" ref="Q24:Q26" si="15">K24</f>
        <v>167313.40900000001</v>
      </c>
      <c r="R24" s="60"/>
      <c r="S24" s="59">
        <f>'Exhibit-RMP(RMM-2)'!Q165/1000</f>
        <v>3568.3076449999994</v>
      </c>
      <c r="T24" s="60"/>
      <c r="U24" s="59">
        <f t="shared" ref="U24:U26" si="16">Q24+S24</f>
        <v>170881.71664500001</v>
      </c>
      <c r="V24" s="60"/>
      <c r="W24" s="59">
        <f t="shared" ref="W24:W26" si="17">Q24-K24</f>
        <v>0</v>
      </c>
      <c r="X24" s="60"/>
      <c r="Y24" s="303">
        <f t="shared" si="11"/>
        <v>0</v>
      </c>
      <c r="Z24" s="60"/>
      <c r="AA24" s="59">
        <f t="shared" ref="AA24:AA26" si="18">U24-O24</f>
        <v>1893.3877299999876</v>
      </c>
      <c r="AB24" s="60"/>
      <c r="AC24" s="303">
        <f t="shared" si="13"/>
        <v>1.1204251454266696E-2</v>
      </c>
    </row>
    <row r="25" spans="1:31" ht="21.9" customHeight="1">
      <c r="A25" s="283">
        <f>MAX(A$14:A24)+1</f>
        <v>10</v>
      </c>
      <c r="C25" s="283" t="s">
        <v>262</v>
      </c>
      <c r="E25" s="283">
        <v>9</v>
      </c>
      <c r="G25" s="58">
        <v>149</v>
      </c>
      <c r="I25" s="58">
        <v>5027435.5407653069</v>
      </c>
      <c r="J25" s="60"/>
      <c r="K25" s="62">
        <f>'Exhibit-RMP(RMM-2)'!G176/1000</f>
        <v>284876.45199999999</v>
      </c>
      <c r="L25" s="60"/>
      <c r="M25" s="59">
        <f>'Exhibit-RMP(RMM-2)'!M176/1000</f>
        <v>3673.9617226999999</v>
      </c>
      <c r="N25" s="60"/>
      <c r="O25" s="59">
        <f t="shared" si="14"/>
        <v>288550.41372269997</v>
      </c>
      <c r="P25" s="60"/>
      <c r="Q25" s="59">
        <f t="shared" si="15"/>
        <v>284876.45199999999</v>
      </c>
      <c r="R25" s="60"/>
      <c r="S25" s="59">
        <f>'Exhibit-RMP(RMM-2)'!Q176/1000</f>
        <v>7797.2568934999999</v>
      </c>
      <c r="T25" s="60"/>
      <c r="U25" s="59">
        <f t="shared" si="16"/>
        <v>292673.70889349998</v>
      </c>
      <c r="V25" s="60"/>
      <c r="W25" s="59">
        <f t="shared" si="17"/>
        <v>0</v>
      </c>
      <c r="X25" s="60"/>
      <c r="Y25" s="303">
        <f t="shared" si="11"/>
        <v>0</v>
      </c>
      <c r="Z25" s="60"/>
      <c r="AA25" s="59">
        <f t="shared" si="18"/>
        <v>4123.2951708000037</v>
      </c>
      <c r="AB25" s="60"/>
      <c r="AC25" s="303">
        <f t="shared" si="13"/>
        <v>1.4289687259857941E-2</v>
      </c>
    </row>
    <row r="26" spans="1:31">
      <c r="A26" s="283">
        <f>MAX(A$14:A25)+1</f>
        <v>11</v>
      </c>
      <c r="C26" s="283" t="s">
        <v>263</v>
      </c>
      <c r="E26" s="309" t="s">
        <v>264</v>
      </c>
      <c r="G26" s="310">
        <v>9</v>
      </c>
      <c r="I26" s="310">
        <v>42590.781425473026</v>
      </c>
      <c r="J26" s="60"/>
      <c r="K26" s="61">
        <f>'Exhibit-RMP(RMM-2)'!G184/1000</f>
        <v>3292.5839999999998</v>
      </c>
      <c r="L26" s="60"/>
      <c r="M26" s="61">
        <f>'Exhibit-RMP(RMM-2)'!M184/1000</f>
        <v>42.236810000000006</v>
      </c>
      <c r="N26" s="60"/>
      <c r="O26" s="61">
        <f t="shared" si="14"/>
        <v>3334.8208099999997</v>
      </c>
      <c r="P26" s="60"/>
      <c r="Q26" s="61">
        <f t="shared" si="15"/>
        <v>3292.5839999999998</v>
      </c>
      <c r="R26" s="60"/>
      <c r="S26" s="61">
        <f>'Exhibit-RMP(RMM-2)'!Q184/1000</f>
        <v>89.684654999999992</v>
      </c>
      <c r="T26" s="60"/>
      <c r="U26" s="61">
        <f t="shared" si="16"/>
        <v>3382.2686549999999</v>
      </c>
      <c r="V26" s="60"/>
      <c r="W26" s="61">
        <f t="shared" si="17"/>
        <v>0</v>
      </c>
      <c r="X26" s="60"/>
      <c r="Y26" s="307">
        <f t="shared" si="11"/>
        <v>0</v>
      </c>
      <c r="Z26" s="60"/>
      <c r="AA26" s="61">
        <f t="shared" si="18"/>
        <v>47.447845000000143</v>
      </c>
      <c r="AB26" s="60"/>
      <c r="AC26" s="307">
        <f t="shared" si="13"/>
        <v>1.4228004352653702E-2</v>
      </c>
    </row>
    <row r="27" spans="1:31">
      <c r="A27" s="283">
        <f>MAX(A$14:A26)+1</f>
        <v>12</v>
      </c>
      <c r="C27" s="311" t="s">
        <v>265</v>
      </c>
      <c r="G27" s="58">
        <v>158</v>
      </c>
      <c r="I27" s="58">
        <v>5070026.3221907802</v>
      </c>
      <c r="J27" s="60"/>
      <c r="K27" s="59">
        <f>SUM(K25:K26)</f>
        <v>288169.03599999996</v>
      </c>
      <c r="L27" s="60"/>
      <c r="M27" s="59">
        <f>SUM(M25:M26)</f>
        <v>3716.1985326999998</v>
      </c>
      <c r="N27" s="60"/>
      <c r="O27" s="59">
        <f>SUM(O25:O26)</f>
        <v>291885.23453269998</v>
      </c>
      <c r="P27" s="60"/>
      <c r="Q27" s="59">
        <f>SUM(Q25:Q26)</f>
        <v>288169.03599999996</v>
      </c>
      <c r="R27" s="60"/>
      <c r="S27" s="59">
        <f>SUM(S25:S26)</f>
        <v>7886.9415485</v>
      </c>
      <c r="T27" s="60"/>
      <c r="U27" s="59">
        <f>SUM(U25:U26)</f>
        <v>296055.9775485</v>
      </c>
      <c r="V27" s="60"/>
      <c r="W27" s="59">
        <f>SUM(W25:W26)</f>
        <v>0</v>
      </c>
      <c r="X27" s="60"/>
      <c r="Y27" s="303">
        <f t="shared" si="11"/>
        <v>0</v>
      </c>
      <c r="Z27" s="60"/>
      <c r="AA27" s="59">
        <f>SUM(AA25:AA26)</f>
        <v>4170.7430158000043</v>
      </c>
      <c r="AB27" s="60"/>
      <c r="AC27" s="303">
        <f t="shared" si="13"/>
        <v>1.428898252587955E-2</v>
      </c>
    </row>
    <row r="28" spans="1:31" ht="21.9" customHeight="1">
      <c r="A28" s="283">
        <f>MAX(A$14:A27)+1</f>
        <v>13</v>
      </c>
      <c r="C28" s="283" t="s">
        <v>266</v>
      </c>
      <c r="E28" s="309">
        <v>10</v>
      </c>
      <c r="G28" s="58">
        <v>2784.3333333333335</v>
      </c>
      <c r="I28" s="58">
        <v>173133.39199999999</v>
      </c>
      <c r="J28" s="60"/>
      <c r="K28" s="62">
        <f>'Exhibit-RMP(RMM-2)'!G200/1000</f>
        <v>13209.986000000001</v>
      </c>
      <c r="L28" s="60"/>
      <c r="M28" s="59">
        <f>'Exhibit-RMP(RMM-2)'!M200/1000</f>
        <v>131.23301640000003</v>
      </c>
      <c r="N28" s="60"/>
      <c r="O28" s="59">
        <f t="shared" ref="O28:O29" si="19">K28+M28</f>
        <v>13341.2190164</v>
      </c>
      <c r="P28" s="60"/>
      <c r="Q28" s="59">
        <f t="shared" ref="Q28:Q29" si="20">K28</f>
        <v>13209.986000000001</v>
      </c>
      <c r="R28" s="60"/>
      <c r="S28" s="59">
        <f>'Exhibit-RMP(RMM-2)'!Q200/1000</f>
        <v>280.47840759999997</v>
      </c>
      <c r="T28" s="60"/>
      <c r="U28" s="59">
        <f t="shared" ref="U28:U29" si="21">Q28+S28</f>
        <v>13490.4644076</v>
      </c>
      <c r="V28" s="60"/>
      <c r="W28" s="59">
        <f t="shared" ref="W28:W29" si="22">Q28-K28</f>
        <v>0</v>
      </c>
      <c r="X28" s="60"/>
      <c r="Y28" s="303">
        <f t="shared" si="11"/>
        <v>0</v>
      </c>
      <c r="Z28" s="60"/>
      <c r="AA28" s="59">
        <f t="shared" ref="AA28:AA29" si="23">U28-O28</f>
        <v>149.24539120000009</v>
      </c>
      <c r="AB28" s="60"/>
      <c r="AC28" s="303">
        <f t="shared" si="13"/>
        <v>1.1186788180040876E-2</v>
      </c>
    </row>
    <row r="29" spans="1:31">
      <c r="A29" s="283">
        <f>MAX(A$14:A28)+1</f>
        <v>14</v>
      </c>
      <c r="C29" s="283" t="s">
        <v>267</v>
      </c>
      <c r="E29" s="309" t="s">
        <v>268</v>
      </c>
      <c r="G29" s="310">
        <v>261</v>
      </c>
      <c r="I29" s="310">
        <v>16756.608</v>
      </c>
      <c r="J29" s="60"/>
      <c r="K29" s="61">
        <f>'Exhibit-RMP(RMM-2)'!G216/1000</f>
        <v>1285.6210000000001</v>
      </c>
      <c r="L29" s="60"/>
      <c r="M29" s="61">
        <f>'Exhibit-RMP(RMM-2)'!M216/1000</f>
        <v>12.7848024</v>
      </c>
      <c r="N29" s="60"/>
      <c r="O29" s="61">
        <f t="shared" si="19"/>
        <v>1298.4058024000001</v>
      </c>
      <c r="P29" s="60"/>
      <c r="Q29" s="61">
        <f t="shared" si="20"/>
        <v>1285.6210000000001</v>
      </c>
      <c r="R29" s="60"/>
      <c r="S29" s="61">
        <f>'Exhibit-RMP(RMM-2)'!Q216/1000</f>
        <v>27.324381600000002</v>
      </c>
      <c r="T29" s="60"/>
      <c r="U29" s="61">
        <f t="shared" si="21"/>
        <v>1312.9453816</v>
      </c>
      <c r="V29" s="60"/>
      <c r="W29" s="61">
        <f t="shared" si="22"/>
        <v>0</v>
      </c>
      <c r="X29" s="60"/>
      <c r="Y29" s="307">
        <f t="shared" si="11"/>
        <v>0</v>
      </c>
      <c r="Z29" s="60"/>
      <c r="AA29" s="61">
        <f t="shared" si="23"/>
        <v>14.539579199999935</v>
      </c>
      <c r="AB29" s="60"/>
      <c r="AC29" s="307">
        <f t="shared" si="13"/>
        <v>1.1198023894474806E-2</v>
      </c>
    </row>
    <row r="30" spans="1:31">
      <c r="A30" s="283">
        <f>MAX(A$14:A29)+1</f>
        <v>15</v>
      </c>
      <c r="C30" s="311" t="s">
        <v>269</v>
      </c>
      <c r="G30" s="58">
        <v>3045.3333333333335</v>
      </c>
      <c r="I30" s="58">
        <v>189890</v>
      </c>
      <c r="J30" s="60"/>
      <c r="K30" s="59">
        <f>SUM(K28:K29)</f>
        <v>14495.607</v>
      </c>
      <c r="L30" s="60"/>
      <c r="M30" s="59">
        <f>SUM(M28:M29)</f>
        <v>144.01781880000001</v>
      </c>
      <c r="N30" s="60"/>
      <c r="O30" s="59">
        <f>SUM(O28:O29)</f>
        <v>14639.624818800001</v>
      </c>
      <c r="P30" s="60"/>
      <c r="Q30" s="59">
        <f>SUM(Q28:Q29)</f>
        <v>14495.607</v>
      </c>
      <c r="R30" s="60"/>
      <c r="S30" s="59">
        <f>SUM(S28:S29)</f>
        <v>307.80278919999995</v>
      </c>
      <c r="T30" s="60"/>
      <c r="U30" s="59">
        <f>SUM(U28:U29)</f>
        <v>14803.409789200001</v>
      </c>
      <c r="V30" s="60"/>
      <c r="W30" s="59">
        <f>SUM(W28:W29)</f>
        <v>0</v>
      </c>
      <c r="X30" s="60"/>
      <c r="Y30" s="303">
        <f t="shared" si="11"/>
        <v>0</v>
      </c>
      <c r="Z30" s="60"/>
      <c r="AA30" s="59">
        <f>SUM(AA28:AA29)</f>
        <v>163.78497040000002</v>
      </c>
      <c r="AB30" s="60"/>
      <c r="AC30" s="303">
        <f t="shared" si="13"/>
        <v>1.1187784688967552E-2</v>
      </c>
    </row>
    <row r="31" spans="1:31" ht="21.9" customHeight="1">
      <c r="A31" s="283">
        <f>MAX(A$14:A30)+1</f>
        <v>16</v>
      </c>
      <c r="C31" s="283" t="s">
        <v>270</v>
      </c>
      <c r="E31" s="283">
        <v>21</v>
      </c>
      <c r="G31" s="58">
        <v>5</v>
      </c>
      <c r="I31" s="58">
        <v>4048.7003377015881</v>
      </c>
      <c r="J31" s="60"/>
      <c r="K31" s="62">
        <f>'Exhibit-RMP(RMM-2)'!G383/1000</f>
        <v>475.92599999999999</v>
      </c>
      <c r="L31" s="60"/>
      <c r="M31" s="59">
        <f>'Exhibit-RMP(RMM-2)'!M383/1000</f>
        <v>6.097588</v>
      </c>
      <c r="N31" s="60"/>
      <c r="O31" s="59">
        <f t="shared" ref="O31:O37" si="24">K31+M31</f>
        <v>482.02358799999996</v>
      </c>
      <c r="P31" s="60"/>
      <c r="Q31" s="59">
        <f t="shared" ref="Q31:Q37" si="25">K31</f>
        <v>475.92599999999999</v>
      </c>
      <c r="R31" s="60"/>
      <c r="S31" s="59">
        <f>'Exhibit-RMP(RMM-2)'!Q383/1000</f>
        <v>12.979151600000002</v>
      </c>
      <c r="T31" s="60"/>
      <c r="U31" s="59">
        <f t="shared" ref="U31:U37" si="26">Q31+S31</f>
        <v>488.90515160000001</v>
      </c>
      <c r="V31" s="60"/>
      <c r="W31" s="59">
        <f t="shared" ref="W31:W37" si="27">Q31-K31</f>
        <v>0</v>
      </c>
      <c r="X31" s="60"/>
      <c r="Y31" s="303">
        <f t="shared" si="11"/>
        <v>0</v>
      </c>
      <c r="Z31" s="60"/>
      <c r="AA31" s="59">
        <f t="shared" ref="AA31:AA37" si="28">U31-O31</f>
        <v>6.8815636000000495</v>
      </c>
      <c r="AB31" s="60"/>
      <c r="AC31" s="303">
        <f t="shared" si="13"/>
        <v>1.4276404249329081E-2</v>
      </c>
    </row>
    <row r="32" spans="1:31">
      <c r="A32" s="283">
        <f>MAX(A$14:A31)+1</f>
        <v>17</v>
      </c>
      <c r="C32" s="283" t="s">
        <v>271</v>
      </c>
      <c r="E32" s="308">
        <v>23</v>
      </c>
      <c r="G32" s="58">
        <v>82668</v>
      </c>
      <c r="I32" s="58">
        <v>1390888.2107534346</v>
      </c>
      <c r="J32" s="60"/>
      <c r="K32" s="62">
        <f>'Exhibit-RMP(RMM-2)'!G396/1000</f>
        <v>139102.851</v>
      </c>
      <c r="L32" s="60"/>
      <c r="M32" s="59">
        <f>'Exhibit-RMP(RMM-2)'!M396/1000</f>
        <v>1109.234815242</v>
      </c>
      <c r="N32" s="60"/>
      <c r="O32" s="59">
        <f t="shared" si="24"/>
        <v>140212.085815242</v>
      </c>
      <c r="P32" s="60"/>
      <c r="Q32" s="59">
        <f t="shared" si="25"/>
        <v>139102.851</v>
      </c>
      <c r="R32" s="60"/>
      <c r="S32" s="59">
        <f>'Exhibit-RMP(RMM-2)'!Q396/1000</f>
        <v>2360.3485022010004</v>
      </c>
      <c r="T32" s="60"/>
      <c r="U32" s="59">
        <f t="shared" si="26"/>
        <v>141463.19950220099</v>
      </c>
      <c r="V32" s="60"/>
      <c r="W32" s="59">
        <f t="shared" si="27"/>
        <v>0</v>
      </c>
      <c r="X32" s="60"/>
      <c r="Y32" s="303">
        <f t="shared" si="11"/>
        <v>0</v>
      </c>
      <c r="Z32" s="60"/>
      <c r="AA32" s="59">
        <f t="shared" si="28"/>
        <v>1251.1136869589973</v>
      </c>
      <c r="AB32" s="60"/>
      <c r="AC32" s="303">
        <f t="shared" si="13"/>
        <v>8.923008881043212E-3</v>
      </c>
    </row>
    <row r="33" spans="1:32">
      <c r="A33" s="283">
        <f>MAX(A$14:A32)+1</f>
        <v>18</v>
      </c>
      <c r="C33" s="283" t="s">
        <v>272</v>
      </c>
      <c r="E33" s="283">
        <v>31</v>
      </c>
      <c r="G33" s="58">
        <v>4</v>
      </c>
      <c r="I33" s="58">
        <v>56282.44502511515</v>
      </c>
      <c r="J33" s="60"/>
      <c r="K33" s="62">
        <f>'Exhibit-RMP(RMM-2)'!G457/1000</f>
        <v>4575.5919999999996</v>
      </c>
      <c r="L33" s="60"/>
      <c r="M33" s="59">
        <f>'Exhibit-RMP(RMM-2)'!M457/1000</f>
        <v>44.134114499999995</v>
      </c>
      <c r="N33" s="60"/>
      <c r="O33" s="59">
        <f t="shared" si="24"/>
        <v>4619.7261144999993</v>
      </c>
      <c r="P33" s="60"/>
      <c r="Q33" s="59">
        <f t="shared" si="25"/>
        <v>4575.5919999999996</v>
      </c>
      <c r="R33" s="60"/>
      <c r="S33" s="59">
        <f>'Exhibit-RMP(RMM-2)'!Q457/1000</f>
        <v>93.718207499999991</v>
      </c>
      <c r="T33" s="60"/>
      <c r="U33" s="59">
        <f t="shared" si="26"/>
        <v>4669.3102074999997</v>
      </c>
      <c r="V33" s="60"/>
      <c r="W33" s="59">
        <f t="shared" si="27"/>
        <v>0</v>
      </c>
      <c r="X33" s="60"/>
      <c r="Y33" s="303">
        <f t="shared" si="11"/>
        <v>0</v>
      </c>
      <c r="Z33" s="60"/>
      <c r="AA33" s="59">
        <f t="shared" si="28"/>
        <v>49.584093000000394</v>
      </c>
      <c r="AB33" s="60"/>
      <c r="AC33" s="303">
        <f t="shared" si="13"/>
        <v>1.0733123949571405E-2</v>
      </c>
    </row>
    <row r="34" spans="1:32">
      <c r="A34" s="283">
        <f>MAX(A$14:A33)+1</f>
        <v>19</v>
      </c>
      <c r="C34" s="304" t="s">
        <v>273</v>
      </c>
      <c r="E34" s="309" t="s">
        <v>252</v>
      </c>
      <c r="G34" s="58">
        <v>1</v>
      </c>
      <c r="I34" s="58">
        <v>535721.17000000004</v>
      </c>
      <c r="J34" s="60"/>
      <c r="K34" s="62">
        <f>'Exhibit-RMP(RMM-2)'!G465/1000</f>
        <v>27958.751</v>
      </c>
      <c r="L34" s="60"/>
      <c r="M34" s="59">
        <f>'Exhibit-RMP(RMM-2)'!M465/1000</f>
        <v>248.88905688847933</v>
      </c>
      <c r="N34" s="60"/>
      <c r="O34" s="59">
        <f t="shared" si="24"/>
        <v>28207.640056888478</v>
      </c>
      <c r="P34" s="60"/>
      <c r="Q34" s="59">
        <f t="shared" si="25"/>
        <v>27958.751</v>
      </c>
      <c r="R34" s="60"/>
      <c r="S34" s="59">
        <f>'Exhibit-RMP(RMM-2)'!Q465/1000</f>
        <v>531.83661629853998</v>
      </c>
      <c r="T34" s="60"/>
      <c r="U34" s="59">
        <f t="shared" si="26"/>
        <v>28490.587616298541</v>
      </c>
      <c r="V34" s="60"/>
      <c r="W34" s="59">
        <f t="shared" si="27"/>
        <v>0</v>
      </c>
      <c r="X34" s="60"/>
      <c r="Y34" s="303">
        <f t="shared" si="11"/>
        <v>0</v>
      </c>
      <c r="Z34" s="60"/>
      <c r="AA34" s="59">
        <f t="shared" si="28"/>
        <v>282.94755941006224</v>
      </c>
      <c r="AB34" s="60"/>
      <c r="AC34" s="303">
        <f t="shared" si="13"/>
        <v>1.0030883790328455E-2</v>
      </c>
    </row>
    <row r="35" spans="1:32">
      <c r="A35" s="283">
        <f>MAX(A$14:A34)+1</f>
        <v>20</v>
      </c>
      <c r="C35" s="304" t="s">
        <v>274</v>
      </c>
      <c r="E35" s="309" t="s">
        <v>252</v>
      </c>
      <c r="G35" s="58">
        <v>1</v>
      </c>
      <c r="I35" s="58">
        <v>795798.67578575748</v>
      </c>
      <c r="J35" s="60"/>
      <c r="K35" s="62">
        <f>'Exhibit-RMP(RMM-2)'!G470/1000</f>
        <v>35062.89</v>
      </c>
      <c r="L35" s="60"/>
      <c r="M35" s="59">
        <f>'Exhibit-RMP(RMM-2)'!M470/1000</f>
        <v>511.91819400000003</v>
      </c>
      <c r="N35" s="60"/>
      <c r="O35" s="59">
        <f t="shared" si="24"/>
        <v>35574.808193999997</v>
      </c>
      <c r="P35" s="60"/>
      <c r="Q35" s="59">
        <f t="shared" si="25"/>
        <v>35062.89</v>
      </c>
      <c r="R35" s="60"/>
      <c r="S35" s="59">
        <f>'Exhibit-RMP(RMM-2)'!Q470/1000</f>
        <v>1090.4558789999999</v>
      </c>
      <c r="T35" s="60"/>
      <c r="U35" s="59">
        <f t="shared" si="26"/>
        <v>36153.345879</v>
      </c>
      <c r="V35" s="60"/>
      <c r="W35" s="59">
        <f t="shared" si="27"/>
        <v>0</v>
      </c>
      <c r="X35" s="60"/>
      <c r="Y35" s="303">
        <f t="shared" si="11"/>
        <v>0</v>
      </c>
      <c r="Z35" s="60"/>
      <c r="AA35" s="59">
        <f t="shared" si="28"/>
        <v>578.53768500000297</v>
      </c>
      <c r="AB35" s="60"/>
      <c r="AC35" s="303">
        <f t="shared" si="13"/>
        <v>1.6262566528681337E-2</v>
      </c>
    </row>
    <row r="36" spans="1:32">
      <c r="A36" s="283">
        <f>MAX(A$14:A35)+1</f>
        <v>21</v>
      </c>
      <c r="C36" s="304" t="s">
        <v>275</v>
      </c>
      <c r="E36" s="309" t="s">
        <v>252</v>
      </c>
      <c r="G36" s="58">
        <v>1</v>
      </c>
      <c r="I36" s="58">
        <v>621809.33325000003</v>
      </c>
      <c r="J36" s="60"/>
      <c r="K36" s="62">
        <f>'Exhibit-RMP(RMM-2)'!G492/1000</f>
        <v>30035.48</v>
      </c>
      <c r="L36" s="60"/>
      <c r="M36" s="59">
        <f>'Exhibit-RMP(RMM-2)'!M492/1000</f>
        <v>0</v>
      </c>
      <c r="N36" s="60"/>
      <c r="O36" s="59">
        <f t="shared" si="24"/>
        <v>30035.48</v>
      </c>
      <c r="P36" s="60"/>
      <c r="Q36" s="59">
        <f t="shared" si="25"/>
        <v>30035.48</v>
      </c>
      <c r="R36" s="60"/>
      <c r="S36" s="59">
        <f>'Exhibit-RMP(RMM-2)'!Q492/1000</f>
        <v>0</v>
      </c>
      <c r="T36" s="60"/>
      <c r="U36" s="59">
        <f t="shared" si="26"/>
        <v>30035.48</v>
      </c>
      <c r="V36" s="60"/>
      <c r="W36" s="59">
        <f t="shared" si="27"/>
        <v>0</v>
      </c>
      <c r="X36" s="60"/>
      <c r="Y36" s="303">
        <f t="shared" si="11"/>
        <v>0</v>
      </c>
      <c r="Z36" s="60"/>
      <c r="AA36" s="59">
        <f t="shared" si="28"/>
        <v>0</v>
      </c>
      <c r="AB36" s="60"/>
      <c r="AC36" s="303">
        <f t="shared" si="13"/>
        <v>0</v>
      </c>
    </row>
    <row r="37" spans="1:32">
      <c r="A37" s="283">
        <f>MAX(A$14:A36)+1</f>
        <v>22</v>
      </c>
      <c r="C37" s="304" t="s">
        <v>251</v>
      </c>
      <c r="E37" s="305" t="s">
        <v>252</v>
      </c>
      <c r="G37" s="321"/>
      <c r="I37" s="306"/>
      <c r="J37" s="60"/>
      <c r="K37" s="61">
        <f>SUM('Exhibit-RMP(RMM-2)'!G505:G507)/1000</f>
        <v>2927.6937100000005</v>
      </c>
      <c r="L37" s="60"/>
      <c r="M37" s="61"/>
      <c r="N37" s="60"/>
      <c r="O37" s="61">
        <f t="shared" si="24"/>
        <v>2927.6937100000005</v>
      </c>
      <c r="P37" s="60"/>
      <c r="Q37" s="61">
        <f t="shared" si="25"/>
        <v>2927.6937100000005</v>
      </c>
      <c r="R37" s="60"/>
      <c r="S37" s="61"/>
      <c r="T37" s="60"/>
      <c r="U37" s="61">
        <f t="shared" si="26"/>
        <v>2927.6937100000005</v>
      </c>
      <c r="V37" s="60"/>
      <c r="W37" s="61">
        <f t="shared" si="27"/>
        <v>0</v>
      </c>
      <c r="X37" s="60"/>
      <c r="Y37" s="307">
        <f t="shared" si="11"/>
        <v>0</v>
      </c>
      <c r="Z37" s="60"/>
      <c r="AA37" s="61">
        <f t="shared" si="28"/>
        <v>0</v>
      </c>
      <c r="AB37" s="60"/>
      <c r="AC37" s="307">
        <f t="shared" si="13"/>
        <v>0</v>
      </c>
    </row>
    <row r="38" spans="1:32">
      <c r="A38" s="283">
        <f>MAX(A$14:A37)+1</f>
        <v>23</v>
      </c>
      <c r="C38" s="295" t="s">
        <v>276</v>
      </c>
      <c r="G38" s="58">
        <v>101542.33333333333</v>
      </c>
      <c r="I38" s="58">
        <v>16931257.041015793</v>
      </c>
      <c r="J38" s="60"/>
      <c r="K38" s="59">
        <f>SUM(K20:K22,K24:K26,K28:K29,K31:K37)</f>
        <v>1239371.8237099999</v>
      </c>
      <c r="L38" s="60"/>
      <c r="M38" s="59">
        <f>SUM(M20:M22,M24:M26,M28:M29,M31:M37)</f>
        <v>12215.090501454479</v>
      </c>
      <c r="N38" s="60"/>
      <c r="O38" s="59">
        <f>SUM(O20:O22,O24:O26,O28:O29,O31:O37)</f>
        <v>1251586.9142114546</v>
      </c>
      <c r="P38" s="60"/>
      <c r="Q38" s="59">
        <f>SUM(Q20:Q22,Q24:Q26,Q28:Q29,Q31:Q37)</f>
        <v>1239371.8237099999</v>
      </c>
      <c r="R38" s="60"/>
      <c r="S38" s="59">
        <f>SUM(S20:S22,S24:S26,S28:S29,S31:S37)</f>
        <v>25955.972698847538</v>
      </c>
      <c r="T38" s="60"/>
      <c r="U38" s="59">
        <f>SUM(U20:U22,U24:U26,U28:U29,U31:U37)</f>
        <v>1265327.7964088474</v>
      </c>
      <c r="V38" s="60"/>
      <c r="W38" s="59">
        <f>SUM(W20:W22,W24:W26,W28:W29,W31:W37)</f>
        <v>0</v>
      </c>
      <c r="X38" s="60"/>
      <c r="Y38" s="303">
        <f t="shared" si="11"/>
        <v>0</v>
      </c>
      <c r="Z38" s="60"/>
      <c r="AA38" s="59">
        <f>SUM(AA20:AA22,AA24:AA26,AA28:AA29,AA31:AA37)</f>
        <v>13740.882197393057</v>
      </c>
      <c r="AB38" s="60"/>
      <c r="AC38" s="303">
        <f t="shared" si="13"/>
        <v>1.097876786771162E-2</v>
      </c>
    </row>
    <row r="39" spans="1:32" ht="24.9" customHeight="1">
      <c r="C39" s="295" t="s">
        <v>277</v>
      </c>
      <c r="G39" s="58"/>
      <c r="I39" s="58"/>
      <c r="J39" s="60"/>
      <c r="K39" s="59"/>
      <c r="L39" s="60"/>
      <c r="M39" s="59"/>
      <c r="N39" s="60"/>
      <c r="O39" s="59"/>
      <c r="P39" s="60"/>
      <c r="Q39" s="59"/>
      <c r="R39" s="60"/>
      <c r="S39" s="59"/>
      <c r="T39" s="60"/>
      <c r="U39" s="59"/>
      <c r="V39" s="60"/>
      <c r="W39" s="59"/>
      <c r="X39" s="60"/>
      <c r="Y39" s="303"/>
      <c r="Z39" s="60"/>
      <c r="AA39" s="59"/>
      <c r="AB39" s="60"/>
      <c r="AC39" s="303"/>
    </row>
    <row r="40" spans="1:32">
      <c r="A40" s="283">
        <f>MAX(A$14:A39)+1</f>
        <v>24</v>
      </c>
      <c r="C40" s="283" t="s">
        <v>278</v>
      </c>
      <c r="E40" s="283">
        <v>7</v>
      </c>
      <c r="G40" s="58">
        <v>8046</v>
      </c>
      <c r="I40" s="58">
        <v>12440.930563737753</v>
      </c>
      <c r="J40" s="60"/>
      <c r="K40" s="62">
        <f>'Exhibit-RMP(RMM-2)'!G153/1000</f>
        <v>2999.06</v>
      </c>
      <c r="L40" s="60"/>
      <c r="M40" s="59">
        <f>'Exhibit-RMP(RMM-2)'!M153/1000</f>
        <v>14.995300000000004</v>
      </c>
      <c r="N40" s="60"/>
      <c r="O40" s="59">
        <f t="shared" ref="O40:O44" si="29">K40+M40</f>
        <v>3014.0553</v>
      </c>
      <c r="P40" s="60"/>
      <c r="Q40" s="59">
        <f t="shared" ref="Q40:Q44" si="30">K40</f>
        <v>2999.06</v>
      </c>
      <c r="R40" s="60"/>
      <c r="S40" s="59">
        <f>'Exhibit-RMP(RMM-2)'!Q153/1000</f>
        <v>31.790036000000001</v>
      </c>
      <c r="T40" s="60"/>
      <c r="U40" s="59">
        <f t="shared" ref="U40:U44" si="31">Q40+S40</f>
        <v>3030.8500359999998</v>
      </c>
      <c r="V40" s="60"/>
      <c r="W40" s="59">
        <f t="shared" ref="W40:W44" si="32">Q40-K40</f>
        <v>0</v>
      </c>
      <c r="X40" s="60"/>
      <c r="Y40" s="303">
        <f t="shared" ref="Y40:Y49" si="33">W40/K40</f>
        <v>0</v>
      </c>
      <c r="Z40" s="60"/>
      <c r="AA40" s="59">
        <f t="shared" ref="AA40:AA44" si="34">U40-O40</f>
        <v>16.79473599999983</v>
      </c>
      <c r="AB40" s="60"/>
      <c r="AC40" s="303">
        <f t="shared" ref="AC40:AC49" si="35">AA40/O40</f>
        <v>5.572139303482531E-3</v>
      </c>
    </row>
    <row r="41" spans="1:32">
      <c r="A41" s="283">
        <f>MAX(A$14:A40)+1</f>
        <v>25</v>
      </c>
      <c r="C41" s="283" t="s">
        <v>279</v>
      </c>
      <c r="E41" s="312">
        <v>11</v>
      </c>
      <c r="G41" s="58">
        <v>809.41666666666663</v>
      </c>
      <c r="I41" s="58">
        <v>16496.197391013095</v>
      </c>
      <c r="J41" s="60"/>
      <c r="K41" s="62">
        <f>'Exhibit-RMP(RMM-2)'!G268/1000</f>
        <v>4979.3900000000003</v>
      </c>
      <c r="L41" s="60"/>
      <c r="M41" s="59">
        <f>'Exhibit-RMP(RMM-2)'!M268/1000</f>
        <v>24.896950000000004</v>
      </c>
      <c r="N41" s="60"/>
      <c r="O41" s="59">
        <f t="shared" si="29"/>
        <v>5004.2869500000006</v>
      </c>
      <c r="P41" s="60"/>
      <c r="Q41" s="59">
        <f t="shared" si="30"/>
        <v>4979.3900000000003</v>
      </c>
      <c r="R41" s="60"/>
      <c r="S41" s="59">
        <f>'Exhibit-RMP(RMM-2)'!Q268/1000</f>
        <v>52.781534000000008</v>
      </c>
      <c r="T41" s="60"/>
      <c r="U41" s="59">
        <f t="shared" si="31"/>
        <v>5032.1715340000001</v>
      </c>
      <c r="V41" s="60"/>
      <c r="W41" s="59">
        <f t="shared" si="32"/>
        <v>0</v>
      </c>
      <c r="X41" s="60"/>
      <c r="Y41" s="303">
        <f t="shared" si="33"/>
        <v>0</v>
      </c>
      <c r="Z41" s="60"/>
      <c r="AA41" s="59">
        <f t="shared" si="34"/>
        <v>27.88458399999945</v>
      </c>
      <c r="AB41" s="60"/>
      <c r="AC41" s="303">
        <f t="shared" si="35"/>
        <v>5.5721393034824764E-3</v>
      </c>
    </row>
    <row r="42" spans="1:32">
      <c r="A42" s="283">
        <f>MAX(A$14:A41)+1</f>
        <v>26</v>
      </c>
      <c r="C42" s="283" t="s">
        <v>280</v>
      </c>
      <c r="E42" s="312">
        <v>12</v>
      </c>
      <c r="G42" s="58">
        <v>839</v>
      </c>
      <c r="I42" s="313">
        <v>56516.774129293255</v>
      </c>
      <c r="J42" s="60"/>
      <c r="K42" s="62">
        <f>'Exhibit-RMP(RMM-2)'!G351/1000</f>
        <v>4144.8670000000002</v>
      </c>
      <c r="L42" s="60"/>
      <c r="M42" s="59">
        <f>'Exhibit-RMP(RMM-2)'!M351/1000</f>
        <v>20.724335</v>
      </c>
      <c r="N42" s="60"/>
      <c r="O42" s="59">
        <f t="shared" si="29"/>
        <v>4165.5913350000001</v>
      </c>
      <c r="P42" s="60"/>
      <c r="Q42" s="59">
        <f t="shared" si="30"/>
        <v>4144.8670000000002</v>
      </c>
      <c r="R42" s="60"/>
      <c r="S42" s="59">
        <f>'Exhibit-RMP(RMM-2)'!Q351/1000</f>
        <v>43.9355902</v>
      </c>
      <c r="T42" s="60"/>
      <c r="U42" s="59">
        <f t="shared" si="31"/>
        <v>4188.8025901999999</v>
      </c>
      <c r="V42" s="60"/>
      <c r="W42" s="59">
        <f t="shared" si="32"/>
        <v>0</v>
      </c>
      <c r="X42" s="60"/>
      <c r="Y42" s="303">
        <f t="shared" si="33"/>
        <v>0</v>
      </c>
      <c r="Z42" s="60"/>
      <c r="AA42" s="59">
        <f t="shared" si="34"/>
        <v>23.211255199999869</v>
      </c>
      <c r="AB42" s="60"/>
      <c r="AC42" s="303">
        <f t="shared" si="35"/>
        <v>5.5721393034825553E-3</v>
      </c>
    </row>
    <row r="43" spans="1:32" s="314" customFormat="1">
      <c r="A43" s="314">
        <f>MAX(A$14:A42)+1</f>
        <v>27</v>
      </c>
      <c r="C43" s="314" t="s">
        <v>281</v>
      </c>
      <c r="D43" s="315"/>
      <c r="E43" s="314">
        <v>15</v>
      </c>
      <c r="F43" s="315"/>
      <c r="G43" s="316">
        <v>2466</v>
      </c>
      <c r="H43" s="315"/>
      <c r="I43" s="316">
        <v>6177.9471587633907</v>
      </c>
      <c r="J43" s="63"/>
      <c r="K43" s="62">
        <f>'Exhibit-RMP(RMM-2)'!G360/1000</f>
        <v>1234.6020000000001</v>
      </c>
      <c r="L43" s="63"/>
      <c r="M43" s="62">
        <f>'Exhibit-RMP(RMM-2)'!M360/1000</f>
        <v>12.557073000000001</v>
      </c>
      <c r="N43" s="63"/>
      <c r="O43" s="62">
        <f t="shared" si="29"/>
        <v>1247.159073</v>
      </c>
      <c r="P43" s="63"/>
      <c r="Q43" s="62">
        <f t="shared" si="30"/>
        <v>1234.6020000000001</v>
      </c>
      <c r="R43" s="63"/>
      <c r="S43" s="62">
        <f>'Exhibit-RMP(RMM-2)'!Q360/1000</f>
        <v>26.613498000000003</v>
      </c>
      <c r="T43" s="63"/>
      <c r="U43" s="62">
        <f t="shared" si="31"/>
        <v>1261.215498</v>
      </c>
      <c r="V43" s="63"/>
      <c r="W43" s="62">
        <f t="shared" si="32"/>
        <v>0</v>
      </c>
      <c r="X43" s="63"/>
      <c r="Y43" s="317">
        <f t="shared" si="33"/>
        <v>0</v>
      </c>
      <c r="Z43" s="63"/>
      <c r="AA43" s="62">
        <f t="shared" si="34"/>
        <v>14.05642499999999</v>
      </c>
      <c r="AB43" s="63"/>
      <c r="AC43" s="317">
        <f t="shared" si="35"/>
        <v>1.1270755514922185E-2</v>
      </c>
    </row>
    <row r="44" spans="1:32">
      <c r="A44" s="283">
        <f>MAX(A$14:A43)+1</f>
        <v>28</v>
      </c>
      <c r="C44" s="283" t="s">
        <v>282</v>
      </c>
      <c r="E44" s="283">
        <v>15</v>
      </c>
      <c r="G44" s="310">
        <v>515</v>
      </c>
      <c r="I44" s="310">
        <v>17536.444611929484</v>
      </c>
      <c r="J44" s="60"/>
      <c r="K44" s="61">
        <f>'Exhibit-RMP(RMM-2)'!G366/1000</f>
        <v>682.02800000000002</v>
      </c>
      <c r="L44" s="60"/>
      <c r="M44" s="61">
        <f>'Exhibit-RMP(RMM-2)'!M366/1000</f>
        <v>4.6732500000000003</v>
      </c>
      <c r="N44" s="60"/>
      <c r="O44" s="61">
        <f t="shared" si="29"/>
        <v>686.70125000000007</v>
      </c>
      <c r="P44" s="60"/>
      <c r="Q44" s="61">
        <f t="shared" si="30"/>
        <v>682.02800000000002</v>
      </c>
      <c r="R44" s="60"/>
      <c r="S44" s="61">
        <f>'Exhibit-RMP(RMM-2)'!Q366/1000</f>
        <v>9.969599999999998</v>
      </c>
      <c r="T44" s="60"/>
      <c r="U44" s="61">
        <f t="shared" si="31"/>
        <v>691.99760000000003</v>
      </c>
      <c r="V44" s="60"/>
      <c r="W44" s="61">
        <f t="shared" si="32"/>
        <v>0</v>
      </c>
      <c r="X44" s="60"/>
      <c r="Y44" s="307">
        <f t="shared" si="33"/>
        <v>0</v>
      </c>
      <c r="Z44" s="60"/>
      <c r="AA44" s="61">
        <f t="shared" si="34"/>
        <v>5.2963499999999613</v>
      </c>
      <c r="AB44" s="60"/>
      <c r="AC44" s="307">
        <f t="shared" si="35"/>
        <v>7.7127426227926055E-3</v>
      </c>
    </row>
    <row r="45" spans="1:32">
      <c r="A45" s="283">
        <f>MAX(A$14:A44)+1</f>
        <v>29</v>
      </c>
      <c r="C45" s="311" t="s">
        <v>283</v>
      </c>
      <c r="D45" s="64"/>
      <c r="F45" s="64"/>
      <c r="G45" s="58">
        <v>12675.416666666666</v>
      </c>
      <c r="H45" s="64"/>
      <c r="I45" s="58">
        <v>109168.29385473697</v>
      </c>
      <c r="J45" s="59"/>
      <c r="K45" s="59">
        <f>SUM(K40:K44)</f>
        <v>14039.947000000002</v>
      </c>
      <c r="L45" s="59"/>
      <c r="M45" s="59">
        <f>SUM(M40:M44)</f>
        <v>77.846907999999999</v>
      </c>
      <c r="N45" s="59"/>
      <c r="O45" s="59">
        <f>SUM(O40:O44)</f>
        <v>14117.793908000001</v>
      </c>
      <c r="P45" s="59"/>
      <c r="Q45" s="59">
        <f>SUM(Q40:Q44)</f>
        <v>14039.947000000002</v>
      </c>
      <c r="R45" s="59"/>
      <c r="S45" s="59">
        <f>SUM(S40:S44)</f>
        <v>165.09025819999999</v>
      </c>
      <c r="T45" s="59"/>
      <c r="U45" s="59">
        <f>SUM(U40:U44)</f>
        <v>14205.0372582</v>
      </c>
      <c r="V45" s="59"/>
      <c r="W45" s="59">
        <f>SUM(W40:W44)</f>
        <v>0</v>
      </c>
      <c r="X45" s="59"/>
      <c r="Y45" s="303">
        <f t="shared" si="33"/>
        <v>0</v>
      </c>
      <c r="Z45" s="59"/>
      <c r="AA45" s="59">
        <f>SUM(AA40:AA44)</f>
        <v>87.243350199999099</v>
      </c>
      <c r="AB45" s="59"/>
      <c r="AC45" s="303">
        <f t="shared" si="35"/>
        <v>6.1796730260073925E-3</v>
      </c>
    </row>
    <row r="46" spans="1:32" ht="21.9" customHeight="1">
      <c r="A46" s="283">
        <f>MAX(A$14:A45)+1</f>
        <v>30</v>
      </c>
      <c r="C46" s="304" t="s">
        <v>284</v>
      </c>
      <c r="E46" s="309" t="s">
        <v>252</v>
      </c>
      <c r="G46" s="58">
        <v>5</v>
      </c>
      <c r="I46" s="58">
        <v>7.7366128294616923</v>
      </c>
      <c r="J46" s="60"/>
      <c r="K46" s="62">
        <f>'Exhibit-RMP(RMM-2)'!G501/1000</f>
        <v>0.58299999999999996</v>
      </c>
      <c r="L46" s="60"/>
      <c r="M46" s="59">
        <f>'Exhibit-RMP(RMM-2)'!M501/1000</f>
        <v>0</v>
      </c>
      <c r="N46" s="60"/>
      <c r="O46" s="59">
        <f t="shared" ref="O46:O47" si="36">K46+M46</f>
        <v>0.58299999999999996</v>
      </c>
      <c r="P46" s="60"/>
      <c r="Q46" s="59">
        <f t="shared" ref="Q46:Q47" si="37">K46</f>
        <v>0.58299999999999996</v>
      </c>
      <c r="R46" s="60"/>
      <c r="S46" s="59">
        <f>'Exhibit-RMP(RMM-2)'!Q501/1000</f>
        <v>0</v>
      </c>
      <c r="T46" s="60"/>
      <c r="U46" s="59">
        <f t="shared" ref="U46:U47" si="38">Q46+S46</f>
        <v>0.58299999999999996</v>
      </c>
      <c r="V46" s="60"/>
      <c r="W46" s="59">
        <f t="shared" ref="W46" si="39">Q46-K46</f>
        <v>0</v>
      </c>
      <c r="X46" s="60"/>
      <c r="Y46" s="303">
        <f t="shared" si="33"/>
        <v>0</v>
      </c>
      <c r="Z46" s="60"/>
      <c r="AA46" s="59">
        <f t="shared" ref="AA46:AA47" si="40">U46-O46</f>
        <v>0</v>
      </c>
      <c r="AB46" s="60"/>
      <c r="AC46" s="303">
        <f t="shared" si="35"/>
        <v>0</v>
      </c>
    </row>
    <row r="47" spans="1:32">
      <c r="A47" s="283">
        <f>MAX(A$14:A46)+1</f>
        <v>31</v>
      </c>
      <c r="C47" s="304" t="s">
        <v>251</v>
      </c>
      <c r="D47" s="65"/>
      <c r="E47" s="305" t="s">
        <v>252</v>
      </c>
      <c r="F47" s="65"/>
      <c r="G47" s="318"/>
      <c r="H47" s="65"/>
      <c r="I47" s="318"/>
      <c r="J47" s="60"/>
      <c r="K47" s="61">
        <f>'Exhibit-RMP(RMM-2)'!G508/1000</f>
        <v>4.6616400000000002</v>
      </c>
      <c r="L47" s="60"/>
      <c r="M47" s="61"/>
      <c r="N47" s="60"/>
      <c r="O47" s="61">
        <f t="shared" si="36"/>
        <v>4.6616400000000002</v>
      </c>
      <c r="P47" s="60"/>
      <c r="Q47" s="61">
        <f t="shared" si="37"/>
        <v>4.6616400000000002</v>
      </c>
      <c r="R47" s="60"/>
      <c r="S47" s="61"/>
      <c r="T47" s="60"/>
      <c r="U47" s="61">
        <f t="shared" si="38"/>
        <v>4.6616400000000002</v>
      </c>
      <c r="V47" s="60"/>
      <c r="W47" s="61"/>
      <c r="X47" s="60"/>
      <c r="Y47" s="307">
        <f t="shared" si="33"/>
        <v>0</v>
      </c>
      <c r="Z47" s="60"/>
      <c r="AA47" s="61">
        <f t="shared" si="40"/>
        <v>0</v>
      </c>
      <c r="AB47" s="60"/>
      <c r="AC47" s="307">
        <f t="shared" si="35"/>
        <v>0</v>
      </c>
      <c r="AD47" s="457"/>
      <c r="AE47" s="457"/>
    </row>
    <row r="48" spans="1:32" ht="21.9" customHeight="1">
      <c r="A48" s="283">
        <f>MAX(A$14:A47)+1</f>
        <v>32</v>
      </c>
      <c r="C48" s="295" t="s">
        <v>285</v>
      </c>
      <c r="E48" s="314"/>
      <c r="G48" s="310">
        <v>12680.416666666666</v>
      </c>
      <c r="I48" s="310">
        <v>109176.03046756644</v>
      </c>
      <c r="J48" s="60"/>
      <c r="K48" s="61">
        <f>SUM(K45:K47)</f>
        <v>14045.191640000003</v>
      </c>
      <c r="L48" s="60"/>
      <c r="M48" s="61">
        <f>SUM(M45:M47)</f>
        <v>77.846907999999999</v>
      </c>
      <c r="N48" s="60"/>
      <c r="O48" s="61">
        <f>SUM(O45:O47)</f>
        <v>14123.038548000002</v>
      </c>
      <c r="P48" s="60"/>
      <c r="Q48" s="61">
        <f>SUM(Q45:Q47)</f>
        <v>14045.191640000003</v>
      </c>
      <c r="R48" s="60"/>
      <c r="S48" s="61">
        <f>SUM(S45:S47)</f>
        <v>165.09025819999999</v>
      </c>
      <c r="T48" s="60"/>
      <c r="U48" s="61">
        <f>SUM(U45:U47)</f>
        <v>14210.281898200001</v>
      </c>
      <c r="V48" s="60"/>
      <c r="W48" s="61">
        <f>SUM(W45:W47)</f>
        <v>0</v>
      </c>
      <c r="X48" s="60"/>
      <c r="Y48" s="307">
        <f t="shared" si="33"/>
        <v>0</v>
      </c>
      <c r="Z48" s="60"/>
      <c r="AA48" s="61">
        <f>SUM(AA45:AA47)</f>
        <v>87.243350199999099</v>
      </c>
      <c r="AB48" s="60"/>
      <c r="AC48" s="307">
        <f t="shared" si="35"/>
        <v>6.1773781827108194E-3</v>
      </c>
      <c r="AD48" s="458"/>
      <c r="AE48" s="458"/>
      <c r="AF48" s="314"/>
    </row>
    <row r="49" spans="1:32" ht="24.9" customHeight="1" thickBot="1">
      <c r="A49" s="283">
        <f>MAX(A$14:A48)+1</f>
        <v>33</v>
      </c>
      <c r="C49" s="295" t="s">
        <v>286</v>
      </c>
      <c r="E49" s="314"/>
      <c r="G49" s="319">
        <v>854858.75</v>
      </c>
      <c r="I49" s="319">
        <v>23244284.921518605</v>
      </c>
      <c r="J49" s="60"/>
      <c r="K49" s="66">
        <f>K48+K38+K18</f>
        <v>1938306.48862</v>
      </c>
      <c r="L49" s="60"/>
      <c r="M49" s="66">
        <f>M48+M38+M18</f>
        <v>17327.437488734478</v>
      </c>
      <c r="N49" s="60"/>
      <c r="O49" s="66">
        <f>O48+O38+O18</f>
        <v>1955633.9261087347</v>
      </c>
      <c r="P49" s="60"/>
      <c r="Q49" s="66">
        <f>Q48+Q38+Q18</f>
        <v>1938306.48862</v>
      </c>
      <c r="R49" s="60"/>
      <c r="S49" s="66">
        <f>S48+S38+S18</f>
        <v>36819.375625517539</v>
      </c>
      <c r="T49" s="60"/>
      <c r="U49" s="66">
        <f>U48+U38+U18</f>
        <v>1975125.8642455176</v>
      </c>
      <c r="V49" s="60"/>
      <c r="W49" s="66">
        <f>W48+W38+W18</f>
        <v>0</v>
      </c>
      <c r="X49" s="60"/>
      <c r="Y49" s="320">
        <f t="shared" si="33"/>
        <v>0</v>
      </c>
      <c r="Z49" s="60"/>
      <c r="AA49" s="66">
        <f>AA48+AA38+AA18</f>
        <v>19491.93813678297</v>
      </c>
      <c r="AB49" s="60"/>
      <c r="AC49" s="320">
        <f t="shared" si="35"/>
        <v>9.9670689266305994E-3</v>
      </c>
      <c r="AD49" s="459"/>
      <c r="AE49" s="62"/>
      <c r="AF49" s="317"/>
    </row>
    <row r="50" spans="1:32" ht="16" thickTop="1">
      <c r="E50" s="314"/>
      <c r="AE50" s="314"/>
      <c r="AF50" s="314"/>
    </row>
    <row r="51" spans="1:32">
      <c r="C51" s="304"/>
    </row>
    <row r="52" spans="1:32">
      <c r="C52" s="304"/>
    </row>
  </sheetData>
  <printOptions horizontalCentered="1"/>
  <pageMargins left="0.5" right="0.5" top="1" bottom="0.5" header="0.5" footer="0.2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64"/>
  <sheetViews>
    <sheetView view="pageBreakPreview" topLeftCell="A37" zoomScale="90" zoomScaleNormal="70" zoomScaleSheetLayoutView="90" workbookViewId="0">
      <selection activeCell="O49" sqref="O49"/>
    </sheetView>
  </sheetViews>
  <sheetFormatPr defaultColWidth="9" defaultRowHeight="15.5"/>
  <cols>
    <col min="1" max="1" width="4.58203125" style="144" customWidth="1"/>
    <col min="2" max="2" width="1.58203125" style="144" customWidth="1"/>
    <col min="3" max="3" width="35.58203125" style="144" customWidth="1"/>
    <col min="4" max="4" width="1.5" style="146" customWidth="1"/>
    <col min="5" max="5" width="7.5" style="144" bestFit="1" customWidth="1"/>
    <col min="6" max="6" width="2.08203125" style="146" customWidth="1"/>
    <col min="7" max="7" width="15.08203125" style="146" customWidth="1"/>
    <col min="8" max="8" width="1.58203125" style="146" customWidth="1"/>
    <col min="9" max="9" width="18.58203125" style="189" bestFit="1" customWidth="1"/>
    <col min="10" max="10" width="2.58203125" style="144" customWidth="1"/>
    <col min="11" max="11" width="11.4140625" style="146" bestFit="1" customWidth="1"/>
    <col min="12" max="12" width="2.4140625" style="146" customWidth="1"/>
    <col min="13" max="13" width="6.5" style="146" bestFit="1" customWidth="1"/>
    <col min="14" max="14" width="9" style="144"/>
    <col min="15" max="15" width="11.58203125" style="144" bestFit="1" customWidth="1"/>
    <col min="16" max="16384" width="9" style="144"/>
  </cols>
  <sheetData>
    <row r="1" spans="1:13">
      <c r="A1" s="88" t="s">
        <v>314</v>
      </c>
      <c r="B1" s="88"/>
      <c r="C1" s="88"/>
      <c r="D1" s="142"/>
      <c r="E1" s="88"/>
      <c r="F1" s="142"/>
      <c r="G1" s="143"/>
      <c r="H1" s="142"/>
      <c r="I1" s="184"/>
      <c r="J1" s="145"/>
      <c r="K1" s="143"/>
      <c r="L1" s="143"/>
      <c r="M1" s="142"/>
    </row>
    <row r="2" spans="1:13" s="55" customFormat="1">
      <c r="A2" s="88" t="s">
        <v>239</v>
      </c>
      <c r="B2" s="88"/>
      <c r="C2" s="88"/>
      <c r="D2" s="142"/>
      <c r="E2" s="88"/>
      <c r="F2" s="142"/>
      <c r="G2" s="143"/>
      <c r="H2" s="142"/>
      <c r="I2" s="184"/>
      <c r="J2" s="145"/>
      <c r="K2" s="143"/>
      <c r="L2" s="143"/>
      <c r="M2" s="142"/>
    </row>
    <row r="3" spans="1:13" s="55" customFormat="1">
      <c r="A3" s="88" t="s">
        <v>294</v>
      </c>
      <c r="B3" s="88"/>
      <c r="C3" s="88"/>
      <c r="D3" s="142"/>
      <c r="E3" s="88"/>
      <c r="F3" s="142"/>
      <c r="G3" s="143"/>
      <c r="H3" s="142"/>
      <c r="I3" s="184"/>
      <c r="J3" s="145"/>
      <c r="K3" s="143"/>
      <c r="L3" s="143"/>
      <c r="M3" s="142"/>
    </row>
    <row r="4" spans="1:13" s="55" customFormat="1">
      <c r="A4" s="88" t="s">
        <v>240</v>
      </c>
      <c r="B4" s="88"/>
      <c r="C4" s="88"/>
      <c r="D4" s="142"/>
      <c r="E4" s="88"/>
      <c r="F4" s="142"/>
      <c r="G4" s="143"/>
      <c r="H4" s="142"/>
      <c r="I4" s="184"/>
      <c r="J4" s="145"/>
      <c r="K4" s="143"/>
      <c r="L4" s="143"/>
      <c r="M4" s="142"/>
    </row>
    <row r="5" spans="1:13" s="55" customFormat="1">
      <c r="A5" s="88" t="s">
        <v>420</v>
      </c>
      <c r="B5" s="88"/>
      <c r="C5" s="88"/>
      <c r="D5" s="142"/>
      <c r="E5" s="88"/>
      <c r="F5" s="142"/>
      <c r="G5" s="143"/>
      <c r="H5" s="142"/>
      <c r="I5" s="184"/>
      <c r="J5" s="145"/>
      <c r="K5" s="143"/>
      <c r="L5" s="143"/>
      <c r="M5" s="142"/>
    </row>
    <row r="6" spans="1:13">
      <c r="A6" s="88" t="s">
        <v>421</v>
      </c>
      <c r="B6" s="88"/>
      <c r="C6" s="88"/>
      <c r="D6" s="142"/>
      <c r="E6" s="88"/>
      <c r="F6" s="142"/>
      <c r="G6" s="143"/>
      <c r="H6" s="142"/>
      <c r="I6" s="184"/>
      <c r="J6" s="145"/>
      <c r="K6" s="143"/>
      <c r="L6" s="143"/>
      <c r="M6" s="142"/>
    </row>
    <row r="7" spans="1:13">
      <c r="A7" s="88"/>
      <c r="B7" s="88"/>
      <c r="C7" s="88"/>
      <c r="D7" s="142"/>
      <c r="E7" s="88"/>
      <c r="F7" s="142"/>
      <c r="G7" s="143"/>
      <c r="H7" s="142"/>
      <c r="I7" s="185"/>
      <c r="K7" s="180"/>
      <c r="L7" s="180"/>
      <c r="M7" s="85"/>
    </row>
    <row r="8" spans="1:13">
      <c r="A8" s="88"/>
      <c r="B8" s="88"/>
      <c r="C8" s="88"/>
      <c r="D8" s="142"/>
      <c r="E8" s="88"/>
      <c r="F8" s="142"/>
      <c r="G8" s="142"/>
      <c r="H8" s="179"/>
      <c r="I8" s="186"/>
      <c r="K8" s="85"/>
      <c r="L8" s="85"/>
      <c r="M8" s="85"/>
    </row>
    <row r="9" spans="1:13">
      <c r="D9" s="84"/>
      <c r="E9" s="147"/>
      <c r="F9" s="84"/>
      <c r="G9" s="83" t="s">
        <v>311</v>
      </c>
      <c r="H9" s="84"/>
      <c r="I9" s="182" t="s">
        <v>442</v>
      </c>
      <c r="K9" s="293" t="s">
        <v>443</v>
      </c>
      <c r="L9" s="293"/>
      <c r="M9" s="293"/>
    </row>
    <row r="10" spans="1:13" s="87" customFormat="1" ht="18">
      <c r="A10" s="87" t="s">
        <v>241</v>
      </c>
      <c r="D10" s="84"/>
      <c r="E10" s="147" t="s">
        <v>242</v>
      </c>
      <c r="F10" s="84"/>
      <c r="G10" s="84" t="s">
        <v>295</v>
      </c>
      <c r="H10" s="83"/>
      <c r="I10" s="426" t="s">
        <v>448</v>
      </c>
      <c r="K10" s="427" t="s">
        <v>481</v>
      </c>
      <c r="L10" s="425"/>
      <c r="M10" s="425"/>
    </row>
    <row r="11" spans="1:13" s="87" customFormat="1">
      <c r="A11" s="440" t="s">
        <v>244</v>
      </c>
      <c r="C11" s="148" t="s">
        <v>245</v>
      </c>
      <c r="E11" s="148" t="s">
        <v>244</v>
      </c>
      <c r="G11" s="86" t="s">
        <v>247</v>
      </c>
      <c r="I11" s="187" t="s">
        <v>247</v>
      </c>
      <c r="K11" s="187" t="s">
        <v>247</v>
      </c>
      <c r="L11" s="421"/>
      <c r="M11" s="67" t="s">
        <v>287</v>
      </c>
    </row>
    <row r="12" spans="1:13" s="87" customFormat="1" ht="15">
      <c r="C12" s="56">
        <v>-1</v>
      </c>
      <c r="D12" s="57"/>
      <c r="E12" s="56">
        <f>MIN($A12:D12)-1</f>
        <v>-2</v>
      </c>
      <c r="F12" s="57"/>
      <c r="G12" s="56">
        <v>-3</v>
      </c>
      <c r="H12" s="57"/>
      <c r="I12" s="56">
        <v>-4</v>
      </c>
      <c r="K12" s="56">
        <v>-5</v>
      </c>
      <c r="M12" s="56">
        <v>-6</v>
      </c>
    </row>
    <row r="13" spans="1:13" s="87" customFormat="1" ht="15">
      <c r="D13" s="149"/>
      <c r="F13" s="149"/>
      <c r="G13" s="149"/>
      <c r="H13" s="149"/>
      <c r="I13" s="188"/>
      <c r="K13" s="84"/>
      <c r="L13" s="84"/>
      <c r="M13" s="149"/>
    </row>
    <row r="14" spans="1:13" ht="18.75" customHeight="1">
      <c r="C14" s="87" t="s">
        <v>248</v>
      </c>
    </row>
    <row r="15" spans="1:13">
      <c r="A15" s="144">
        <v>1</v>
      </c>
      <c r="C15" s="144" t="s">
        <v>248</v>
      </c>
      <c r="E15" s="150" t="s">
        <v>249</v>
      </c>
      <c r="G15" s="59">
        <f>('Exhibit-RMP(RMM-2)'!G29+'Exhibit-RMP(RMM-2)'!G49)/1000</f>
        <v>684504.94400000002</v>
      </c>
      <c r="H15" s="60"/>
      <c r="I15" s="190"/>
      <c r="J15" s="434"/>
      <c r="K15" s="59">
        <f>K18*$G15/SUM($G15:$G16)</f>
        <v>10679.698696721609</v>
      </c>
      <c r="L15" s="324"/>
      <c r="M15" s="68">
        <f>K15/$G15</f>
        <v>1.5602076786054022E-2</v>
      </c>
    </row>
    <row r="16" spans="1:13">
      <c r="A16" s="144">
        <f>MAX(A$14:A15)+1</f>
        <v>2</v>
      </c>
      <c r="C16" s="144" t="s">
        <v>250</v>
      </c>
      <c r="E16" s="151">
        <v>2</v>
      </c>
      <c r="G16" s="59">
        <f>'Exhibit-RMP(RMM-2)'!G71/1000</f>
        <v>351.48899999999998</v>
      </c>
      <c r="H16" s="60"/>
      <c r="I16" s="190"/>
      <c r="J16" s="434"/>
      <c r="K16" s="59">
        <f>K18-K15</f>
        <v>5.4839583674529422</v>
      </c>
      <c r="L16" s="59"/>
      <c r="M16" s="192">
        <f>K16/$G16</f>
        <v>1.5602076786052885E-2</v>
      </c>
    </row>
    <row r="17" spans="1:15">
      <c r="A17" s="144">
        <f>MAX(A$14:A16)+1</f>
        <v>3</v>
      </c>
      <c r="C17" s="152" t="s">
        <v>251</v>
      </c>
      <c r="E17" s="153" t="s">
        <v>252</v>
      </c>
      <c r="G17" s="61">
        <f>'Exhibit-RMP(RMM-2)'!G504/1000</f>
        <v>33.04027</v>
      </c>
      <c r="H17" s="60"/>
      <c r="I17" s="191"/>
      <c r="J17" s="434"/>
      <c r="K17" s="61"/>
      <c r="L17" s="61"/>
      <c r="M17" s="193"/>
    </row>
    <row r="18" spans="1:15">
      <c r="A18" s="144">
        <f>MAX(A$14:A17)+1</f>
        <v>4</v>
      </c>
      <c r="C18" s="87" t="s">
        <v>253</v>
      </c>
      <c r="G18" s="59">
        <f>SUM(G15:G17)</f>
        <v>684889.47326999996</v>
      </c>
      <c r="H18" s="60"/>
      <c r="I18" s="190">
        <f>'Allocator-2014'!F33/1000</f>
        <v>170320.71556135381</v>
      </c>
      <c r="J18" s="434"/>
      <c r="K18" s="59">
        <f>I18/($I$49-$I$34)*($K$52-$G$34*$K$53)*$K$54</f>
        <v>10685.182655089062</v>
      </c>
      <c r="L18" s="59"/>
      <c r="M18" s="192">
        <f>K18/$G18</f>
        <v>1.5601324114492127E-2</v>
      </c>
      <c r="O18" s="430">
        <f>I18/$I$49</f>
        <v>0.28920276165275521</v>
      </c>
    </row>
    <row r="19" spans="1:15" ht="24.75" customHeight="1">
      <c r="C19" s="87" t="s">
        <v>254</v>
      </c>
      <c r="G19" s="59"/>
      <c r="H19" s="60"/>
      <c r="I19" s="190"/>
      <c r="J19" s="434"/>
      <c r="K19" s="59"/>
      <c r="L19" s="154"/>
      <c r="M19" s="192"/>
      <c r="O19" s="430"/>
    </row>
    <row r="20" spans="1:15">
      <c r="A20" s="144">
        <f>MAX(A$14:A19)+1</f>
        <v>5</v>
      </c>
      <c r="C20" s="144" t="s">
        <v>255</v>
      </c>
      <c r="E20" s="155">
        <v>6</v>
      </c>
      <c r="G20" s="59">
        <f>'Exhibit-RMP(RMM-2)'!G86/1000</f>
        <v>494681.46600000001</v>
      </c>
      <c r="H20" s="60"/>
      <c r="I20" s="190"/>
      <c r="J20" s="434"/>
      <c r="K20" s="59">
        <f>K$23*$G20/$G$23</f>
        <v>9442.0461280422223</v>
      </c>
      <c r="L20" s="324"/>
      <c r="M20" s="192">
        <f t="shared" ref="M20:M36" si="0">K20/$G20</f>
        <v>1.9087123284384829E-2</v>
      </c>
      <c r="O20" s="430"/>
    </row>
    <row r="21" spans="1:15">
      <c r="A21" s="144">
        <f>MAX(A$14:A20)+1</f>
        <v>6</v>
      </c>
      <c r="C21" s="144" t="s">
        <v>256</v>
      </c>
      <c r="E21" s="151" t="s">
        <v>257</v>
      </c>
      <c r="G21" s="59">
        <f>'Exhibit-RMP(RMM-2)'!G113/1000</f>
        <v>34227.404000000002</v>
      </c>
      <c r="H21" s="60"/>
      <c r="I21" s="190"/>
      <c r="J21" s="434"/>
      <c r="K21" s="59">
        <f>K$23*$G21/$G$23</f>
        <v>653.30267985244643</v>
      </c>
      <c r="L21" s="59"/>
      <c r="M21" s="192">
        <f t="shared" si="0"/>
        <v>1.9087123284384829E-2</v>
      </c>
      <c r="O21" s="430"/>
    </row>
    <row r="22" spans="1:15">
      <c r="A22" s="144">
        <f>MAX(A$14:A21)+1</f>
        <v>7</v>
      </c>
      <c r="C22" s="144" t="s">
        <v>258</v>
      </c>
      <c r="E22" s="151" t="s">
        <v>259</v>
      </c>
      <c r="G22" s="61">
        <f>'Exhibit-RMP(RMM-2)'!G101/1000</f>
        <v>345.71800000000002</v>
      </c>
      <c r="H22" s="60"/>
      <c r="I22" s="191"/>
      <c r="J22" s="434"/>
      <c r="K22" s="61">
        <f>K23-K20-K21</f>
        <v>6.5987620876309165</v>
      </c>
      <c r="L22" s="61"/>
      <c r="M22" s="193">
        <f t="shared" si="0"/>
        <v>1.9087123284384718E-2</v>
      </c>
      <c r="O22" s="430"/>
    </row>
    <row r="23" spans="1:15">
      <c r="A23" s="144">
        <f>MAX(A$14:A22)+1</f>
        <v>8</v>
      </c>
      <c r="C23" s="156" t="s">
        <v>260</v>
      </c>
      <c r="G23" s="59">
        <f>SUM(G20:G22)</f>
        <v>529254.58799999999</v>
      </c>
      <c r="H23" s="60"/>
      <c r="I23" s="190">
        <f>'Allocator-2014'!G33/1000</f>
        <v>161024.00812616933</v>
      </c>
      <c r="J23" s="434"/>
      <c r="K23" s="59">
        <f>I23/($I$49-$I$34)*($K$52-$G$34*$K$53)*$K$54</f>
        <v>10101.9475699823</v>
      </c>
      <c r="L23" s="59"/>
      <c r="M23" s="192">
        <f t="shared" si="0"/>
        <v>1.9087123284384829E-2</v>
      </c>
      <c r="O23" s="430">
        <f>I23/$I$49</f>
        <v>0.27341705140798739</v>
      </c>
    </row>
    <row r="24" spans="1:15" ht="23.15" customHeight="1">
      <c r="A24" s="144">
        <f>MAX(A$14:A23)+1</f>
        <v>9</v>
      </c>
      <c r="C24" s="152" t="s">
        <v>261</v>
      </c>
      <c r="E24" s="144">
        <v>8</v>
      </c>
      <c r="F24" s="58"/>
      <c r="G24" s="59">
        <f>'Exhibit-RMP(RMM-2)'!G165/1000</f>
        <v>167313.40900000001</v>
      </c>
      <c r="H24" s="60"/>
      <c r="I24" s="190">
        <f>'Allocator-2014'!H33/1000</f>
        <v>56650.65884333758</v>
      </c>
      <c r="J24" s="434"/>
      <c r="K24" s="59">
        <f>I24/($I$49-$I$34)*($K$52-$G$34*$K$53)*$K$54</f>
        <v>3554.0165227531943</v>
      </c>
      <c r="L24" s="59"/>
      <c r="M24" s="192">
        <f t="shared" si="0"/>
        <v>2.1241671806192138E-2</v>
      </c>
      <c r="O24" s="430">
        <f>I24/$I$49</f>
        <v>9.6192215567809478E-2</v>
      </c>
    </row>
    <row r="25" spans="1:15" ht="23.15" customHeight="1">
      <c r="A25" s="144">
        <f>MAX(A$14:A24)+1</f>
        <v>10</v>
      </c>
      <c r="C25" s="144" t="s">
        <v>262</v>
      </c>
      <c r="E25" s="144">
        <v>9</v>
      </c>
      <c r="G25" s="59">
        <f>'Exhibit-RMP(RMM-2)'!G176/1000</f>
        <v>284876.45199999999</v>
      </c>
      <c r="H25" s="60"/>
      <c r="I25" s="190"/>
      <c r="J25" s="434"/>
      <c r="K25" s="59">
        <f>K27*$G25/$G$27</f>
        <v>7763.7717553680604</v>
      </c>
      <c r="L25" s="59"/>
      <c r="M25" s="192">
        <f t="shared" si="0"/>
        <v>2.725311867956029E-2</v>
      </c>
      <c r="O25" s="430"/>
    </row>
    <row r="26" spans="1:15">
      <c r="A26" s="144">
        <f>MAX(A$14:A25)+1</f>
        <v>11</v>
      </c>
      <c r="C26" s="144" t="s">
        <v>263</v>
      </c>
      <c r="E26" s="151" t="s">
        <v>264</v>
      </c>
      <c r="G26" s="61">
        <f>'Exhibit-RMP(RMM-2)'!G184/1000</f>
        <v>3292.5839999999998</v>
      </c>
      <c r="H26" s="60"/>
      <c r="I26" s="191"/>
      <c r="J26" s="434"/>
      <c r="K26" s="61">
        <f>K27-K25</f>
        <v>89.73318251442106</v>
      </c>
      <c r="L26" s="61"/>
      <c r="M26" s="193">
        <f t="shared" si="0"/>
        <v>2.7253118679560207E-2</v>
      </c>
      <c r="O26" s="430"/>
    </row>
    <row r="27" spans="1:15">
      <c r="A27" s="144">
        <f>MAX(A$14:A26)+1</f>
        <v>12</v>
      </c>
      <c r="C27" s="156" t="s">
        <v>265</v>
      </c>
      <c r="G27" s="59">
        <f>SUM(G25:G26)</f>
        <v>288169.03599999996</v>
      </c>
      <c r="H27" s="60"/>
      <c r="I27" s="190">
        <f>'Allocator-2014'!J33/1000</f>
        <v>125184.06318938315</v>
      </c>
      <c r="J27" s="434"/>
      <c r="K27" s="59">
        <f>I27/($I$49-$I$34)*($K$52-$G$34*$K$53)*$K$54</f>
        <v>7853.5049378824815</v>
      </c>
      <c r="L27" s="59"/>
      <c r="M27" s="192">
        <f t="shared" si="0"/>
        <v>2.7253118679560293E-2</v>
      </c>
      <c r="O27" s="430">
        <f>I27/$I$49</f>
        <v>0.21256120648601423</v>
      </c>
    </row>
    <row r="28" spans="1:15" ht="23.15" customHeight="1">
      <c r="A28" s="144">
        <f>MAX(A$14:A27)+1</f>
        <v>13</v>
      </c>
      <c r="C28" s="144" t="s">
        <v>266</v>
      </c>
      <c r="E28" s="151">
        <v>10</v>
      </c>
      <c r="G28" s="59">
        <f>'Exhibit-RMP(RMM-2)'!G200/1000</f>
        <v>13209.986000000001</v>
      </c>
      <c r="H28" s="60"/>
      <c r="I28" s="190"/>
      <c r="J28" s="434"/>
      <c r="K28" s="59">
        <f>K30*$G28/$G$30</f>
        <v>279.99044548293131</v>
      </c>
      <c r="L28" s="59"/>
      <c r="M28" s="192">
        <f t="shared" si="0"/>
        <v>2.1195362771991681E-2</v>
      </c>
      <c r="O28" s="430"/>
    </row>
    <row r="29" spans="1:15">
      <c r="A29" s="144">
        <f>MAX(A$14:A28)+1</f>
        <v>14</v>
      </c>
      <c r="C29" s="144" t="s">
        <v>267</v>
      </c>
      <c r="E29" s="151" t="s">
        <v>268</v>
      </c>
      <c r="G29" s="61">
        <f>'Exhibit-RMP(RMM-2)'!G216/1000</f>
        <v>1285.6210000000001</v>
      </c>
      <c r="H29" s="60"/>
      <c r="I29" s="191"/>
      <c r="J29" s="434"/>
      <c r="K29" s="61">
        <f>K30-K28</f>
        <v>27.249203482290682</v>
      </c>
      <c r="L29" s="61"/>
      <c r="M29" s="193">
        <f t="shared" si="0"/>
        <v>2.1195362771991653E-2</v>
      </c>
      <c r="O29" s="430"/>
    </row>
    <row r="30" spans="1:15">
      <c r="A30" s="144">
        <f>MAX(A$14:A29)+1</f>
        <v>15</v>
      </c>
      <c r="C30" s="156" t="s">
        <v>269</v>
      </c>
      <c r="G30" s="59">
        <f>SUM(G28:G29)</f>
        <v>14495.607</v>
      </c>
      <c r="H30" s="60"/>
      <c r="I30" s="190">
        <f>'Allocator-2014'!K33/1000</f>
        <v>4897.3684914644637</v>
      </c>
      <c r="J30" s="434"/>
      <c r="K30" s="59">
        <f>I30/($I$49-$I$34)*($K$52-$G$34*$K$53)*$K$54</f>
        <v>307.23964896522199</v>
      </c>
      <c r="L30" s="59"/>
      <c r="M30" s="192">
        <f t="shared" si="0"/>
        <v>2.1195362771991678E-2</v>
      </c>
      <c r="O30" s="430">
        <f>I30/$I$49</f>
        <v>8.3156795572087178E-3</v>
      </c>
    </row>
    <row r="31" spans="1:15" ht="23.15" customHeight="1">
      <c r="A31" s="144">
        <f>MAX(A$14:A30)+1</f>
        <v>16</v>
      </c>
      <c r="C31" s="144" t="s">
        <v>270</v>
      </c>
      <c r="E31" s="144">
        <v>21</v>
      </c>
      <c r="G31" s="59">
        <f>'Exhibit-RMP(RMM-2)'!G383/1000</f>
        <v>475.92599999999999</v>
      </c>
      <c r="H31" s="60"/>
      <c r="I31" s="190"/>
      <c r="J31" s="434"/>
      <c r="K31" s="59">
        <f>G31*$M$25</f>
        <v>12.970467760688409</v>
      </c>
      <c r="L31" s="59"/>
      <c r="M31" s="192">
        <f t="shared" si="0"/>
        <v>2.725311867956029E-2</v>
      </c>
      <c r="O31" s="430"/>
    </row>
    <row r="32" spans="1:15">
      <c r="A32" s="144">
        <f>MAX(A$14:A31)+1</f>
        <v>17</v>
      </c>
      <c r="C32" s="144" t="s">
        <v>271</v>
      </c>
      <c r="E32" s="155">
        <v>23</v>
      </c>
      <c r="G32" s="59">
        <f>'Exhibit-RMP(RMM-2)'!G396/1000</f>
        <v>139102.851</v>
      </c>
      <c r="H32" s="60"/>
      <c r="I32" s="190">
        <f>'Allocator-2014'!N33/1000</f>
        <v>37646.168832798976</v>
      </c>
      <c r="J32" s="434"/>
      <c r="K32" s="59">
        <f>I32/($I$49-$I$34)*($K$52-$G$34*$K$53)*$K$54</f>
        <v>2361.7572819430484</v>
      </c>
      <c r="L32" s="59"/>
      <c r="M32" s="192">
        <f t="shared" si="0"/>
        <v>1.697849659417152E-2</v>
      </c>
      <c r="O32" s="430">
        <f>I32/$I$49</f>
        <v>6.3922793866900099E-2</v>
      </c>
    </row>
    <row r="33" spans="1:16">
      <c r="A33" s="144">
        <f>MAX(A$14:A32)+1</f>
        <v>18</v>
      </c>
      <c r="C33" s="144" t="s">
        <v>272</v>
      </c>
      <c r="E33" s="144">
        <v>31</v>
      </c>
      <c r="G33" s="59">
        <f>'Exhibit-RMP(RMM-2)'!G457/1000</f>
        <v>4575.5919999999996</v>
      </c>
      <c r="H33" s="60"/>
      <c r="I33" s="190"/>
      <c r="J33" s="434"/>
      <c r="K33" s="59">
        <f>G33*$M$25</f>
        <v>124.69915180524661</v>
      </c>
      <c r="L33" s="59"/>
      <c r="M33" s="192">
        <f t="shared" si="0"/>
        <v>2.725311867956029E-2</v>
      </c>
      <c r="O33" s="430"/>
    </row>
    <row r="34" spans="1:16">
      <c r="A34" s="144">
        <f>MAX(A$14:A33)+1</f>
        <v>19</v>
      </c>
      <c r="C34" s="152" t="s">
        <v>273</v>
      </c>
      <c r="E34" s="151" t="s">
        <v>252</v>
      </c>
      <c r="G34" s="59">
        <f>'Exhibit-RMP(RMM-2)'!G465/1000</f>
        <v>27958.751</v>
      </c>
      <c r="H34" s="60"/>
      <c r="I34" s="190">
        <f>'Allocator-2014'!O33/1000</f>
        <v>13217.424165390406</v>
      </c>
      <c r="J34" s="434"/>
      <c r="K34" s="59">
        <f>G34*K53</f>
        <v>530.61456553070195</v>
      </c>
      <c r="L34" s="59"/>
      <c r="M34" s="192">
        <f t="shared" si="0"/>
        <v>1.8978478885938142E-2</v>
      </c>
      <c r="O34" s="430">
        <f>I34/$I$49</f>
        <v>2.2443045509574568E-2</v>
      </c>
    </row>
    <row r="35" spans="1:16">
      <c r="A35" s="144">
        <f>MAX(A$14:A34)+1</f>
        <v>20</v>
      </c>
      <c r="C35" s="152" t="s">
        <v>274</v>
      </c>
      <c r="E35" s="151" t="s">
        <v>252</v>
      </c>
      <c r="G35" s="59">
        <f>'Exhibit-RMP(RMM-2)'!G470/1000</f>
        <v>35062.89</v>
      </c>
      <c r="H35" s="60"/>
      <c r="I35" s="190">
        <f>'Allocator-2014'!P33/1000</f>
        <v>17353.819534399088</v>
      </c>
      <c r="J35" s="434"/>
      <c r="K35" s="59">
        <f>I35/($I$49-$I$34)*($K$52-$G$34*$K$53)*$K$54</f>
        <v>1088.70333756736</v>
      </c>
      <c r="L35" s="59"/>
      <c r="M35" s="192">
        <f t="shared" si="0"/>
        <v>3.1050017199590794E-2</v>
      </c>
      <c r="O35" s="430">
        <f>I35/$I$49</f>
        <v>2.9466600806781245E-2</v>
      </c>
    </row>
    <row r="36" spans="1:16">
      <c r="A36" s="144">
        <f>MAX(A$14:A35)+1</f>
        <v>21</v>
      </c>
      <c r="C36" s="152" t="s">
        <v>275</v>
      </c>
      <c r="E36" s="151" t="s">
        <v>252</v>
      </c>
      <c r="G36" s="59">
        <f>'Exhibit-RMP(RMM-2)'!G492/1000</f>
        <v>30035.48</v>
      </c>
      <c r="H36" s="60"/>
      <c r="I36" s="190"/>
      <c r="J36" s="434"/>
      <c r="K36" s="59">
        <v>0</v>
      </c>
      <c r="L36" s="59"/>
      <c r="M36" s="192">
        <f t="shared" si="0"/>
        <v>0</v>
      </c>
      <c r="O36" s="430"/>
    </row>
    <row r="37" spans="1:16">
      <c r="A37" s="144">
        <f>MAX(A$14:A36)+1</f>
        <v>22</v>
      </c>
      <c r="C37" s="152" t="s">
        <v>251</v>
      </c>
      <c r="E37" s="153" t="s">
        <v>252</v>
      </c>
      <c r="G37" s="61">
        <f>('Exhibit-RMP(RMM-2)'!G505+'Exhibit-RMP(RMM-2)'!G506+'Exhibit-RMP(RMM-2)'!G507+'Exhibit-RMP(RMM-2)'!G509)/1000</f>
        <v>2927.6937100000005</v>
      </c>
      <c r="H37" s="60"/>
      <c r="I37" s="191"/>
      <c r="J37" s="434"/>
      <c r="K37" s="61"/>
      <c r="L37" s="61"/>
      <c r="M37" s="193"/>
      <c r="O37" s="430"/>
    </row>
    <row r="38" spans="1:16">
      <c r="A38" s="144">
        <f>MAX(A$14:A37)+1</f>
        <v>23</v>
      </c>
      <c r="C38" s="87" t="s">
        <v>276</v>
      </c>
      <c r="G38" s="59">
        <f>SUM(G20:G22,G24:G26,G28:G29,G31:G37)</f>
        <v>1239371.8237099999</v>
      </c>
      <c r="H38" s="60"/>
      <c r="I38" s="59">
        <f>SUM(I20:I37)</f>
        <v>415973.51118294301</v>
      </c>
      <c r="J38" s="434"/>
      <c r="K38" s="59">
        <f>SUM(K20:K22,K24:K26,K28:K29,K31:K37)</f>
        <v>25935.453484190242</v>
      </c>
      <c r="L38" s="59"/>
      <c r="M38" s="192">
        <f>K38/$G38</f>
        <v>2.092628942180863E-2</v>
      </c>
      <c r="O38" s="430">
        <f>I38/$I$49</f>
        <v>0.70631859320227575</v>
      </c>
    </row>
    <row r="39" spans="1:16" ht="28.5" customHeight="1">
      <c r="C39" s="87" t="s">
        <v>277</v>
      </c>
      <c r="G39" s="59"/>
      <c r="H39" s="60"/>
      <c r="I39" s="190"/>
      <c r="J39" s="434"/>
      <c r="K39" s="59"/>
      <c r="L39" s="59"/>
      <c r="M39" s="192"/>
      <c r="O39" s="430">
        <f>SUM(I40:I42)/$I$49</f>
        <v>3.4880389816249408E-3</v>
      </c>
    </row>
    <row r="40" spans="1:16">
      <c r="A40" s="144">
        <f>MAX(A$14:A39)+1</f>
        <v>24</v>
      </c>
      <c r="C40" s="144" t="s">
        <v>278</v>
      </c>
      <c r="E40" s="144">
        <v>7</v>
      </c>
      <c r="G40" s="59">
        <f>'Exhibit-RMP(RMM-2)'!G153/1000</f>
        <v>2999.06</v>
      </c>
      <c r="H40" s="60"/>
      <c r="I40" s="190">
        <f>G40/SUM($G$40:$G$42)*'Allocator-2014'!$I$33/1000</f>
        <v>508.1712140829631</v>
      </c>
      <c r="J40" s="434"/>
      <c r="K40" s="59">
        <f>I40/($I$49-$I$34)*($K$52-$G$34*$K$53)*$K$54</f>
        <v>31.880456964019981</v>
      </c>
      <c r="L40" s="59"/>
      <c r="M40" s="192">
        <f t="shared" ref="M40:M45" si="1">K40/$G40</f>
        <v>1.0630149768267384E-2</v>
      </c>
      <c r="O40" s="430">
        <f t="shared" ref="O40:O45" si="2">I40/$I$49</f>
        <v>8.6286931111609919E-4</v>
      </c>
      <c r="P40" s="59"/>
    </row>
    <row r="41" spans="1:16">
      <c r="A41" s="144">
        <f>MAX(A$14:A40)+1</f>
        <v>25</v>
      </c>
      <c r="C41" s="144" t="s">
        <v>279</v>
      </c>
      <c r="E41" s="144">
        <v>11</v>
      </c>
      <c r="G41" s="59">
        <f>'Exhibit-RMP(RMM-2)'!G268/1000</f>
        <v>4979.3900000000003</v>
      </c>
      <c r="H41" s="60"/>
      <c r="I41" s="190">
        <f>G41/SUM($G$40:$G$42)*'Allocator-2014'!$I$33/1000</f>
        <v>843.72525447725832</v>
      </c>
      <c r="J41" s="434"/>
      <c r="K41" s="59">
        <f>I41/($I$49-$I$34)*($K$52-$G$34*$K$53)*$K$54</f>
        <v>52.931661454612936</v>
      </c>
      <c r="L41" s="59"/>
      <c r="M41" s="192">
        <f t="shared" si="1"/>
        <v>1.0630149768267384E-2</v>
      </c>
      <c r="O41" s="430">
        <f t="shared" si="2"/>
        <v>1.4326364991291919E-3</v>
      </c>
    </row>
    <row r="42" spans="1:16">
      <c r="A42" s="144">
        <f>MAX(A$14:A41)+1</f>
        <v>26</v>
      </c>
      <c r="C42" s="144" t="s">
        <v>280</v>
      </c>
      <c r="E42" s="144">
        <v>12</v>
      </c>
      <c r="G42" s="59">
        <f>'Exhibit-RMP(RMM-2)'!G351/1000</f>
        <v>4144.8670000000002</v>
      </c>
      <c r="H42" s="60"/>
      <c r="I42" s="190">
        <f>G42/SUM($G$40:$G$42)*'Allocator-2014'!$I$33/1000</f>
        <v>702.32075903863517</v>
      </c>
      <c r="J42" s="434"/>
      <c r="K42" s="59">
        <f>I42/($I$49-$I$34)*($K$52-$G$34*$K$53)*$K$54</f>
        <v>44.060556979549126</v>
      </c>
      <c r="L42" s="59"/>
      <c r="M42" s="192">
        <f t="shared" si="1"/>
        <v>1.0630149768267384E-2</v>
      </c>
      <c r="O42" s="430">
        <f t="shared" si="2"/>
        <v>1.1925331713796498E-3</v>
      </c>
    </row>
    <row r="43" spans="1:16">
      <c r="A43" s="157">
        <f>MAX(A$14:A42)+1</f>
        <v>27</v>
      </c>
      <c r="B43" s="157"/>
      <c r="C43" s="157" t="s">
        <v>281</v>
      </c>
      <c r="D43" s="158"/>
      <c r="E43" s="157">
        <v>15</v>
      </c>
      <c r="F43" s="158"/>
      <c r="G43" s="62">
        <f>'Exhibit-RMP(RMM-2)'!G360/1000</f>
        <v>1234.6020000000001</v>
      </c>
      <c r="H43" s="63"/>
      <c r="I43" s="190">
        <f>'Allocator-2014'!M33/1000</f>
        <v>424.60365694151704</v>
      </c>
      <c r="J43" s="434"/>
      <c r="K43" s="62">
        <f>I43/($I$49-$I$34)*($K$52-$G$34*$K$53)*$K$54</f>
        <v>26.637791037253798</v>
      </c>
      <c r="L43" s="62"/>
      <c r="M43" s="194">
        <f t="shared" si="1"/>
        <v>2.1576014810646506E-2</v>
      </c>
      <c r="O43" s="430">
        <f t="shared" si="2"/>
        <v>7.2097248881690726E-4</v>
      </c>
    </row>
    <row r="44" spans="1:16">
      <c r="A44" s="144">
        <f>MAX(A$14:A43)+1</f>
        <v>28</v>
      </c>
      <c r="C44" s="144" t="s">
        <v>282</v>
      </c>
      <c r="E44" s="144">
        <v>15</v>
      </c>
      <c r="G44" s="61">
        <f>'Exhibit-RMP(RMM-2)'!G366/1000</f>
        <v>682.02800000000002</v>
      </c>
      <c r="H44" s="60"/>
      <c r="I44" s="191">
        <f>'Allocator-2014'!L33/1000</f>
        <v>158.79585700516043</v>
      </c>
      <c r="J44" s="434"/>
      <c r="K44" s="61">
        <f>I44/($I$49-$I$34)*($K$52-$G$34*$K$53)*$K$54</f>
        <v>9.9621630368287537</v>
      </c>
      <c r="L44" s="61"/>
      <c r="M44" s="193">
        <f t="shared" si="1"/>
        <v>1.4606677492461825E-2</v>
      </c>
      <c r="O44" s="430">
        <f t="shared" si="2"/>
        <v>2.696336745271914E-4</v>
      </c>
    </row>
    <row r="45" spans="1:16">
      <c r="A45" s="144">
        <f>MAX(A$14:A44)+1</f>
        <v>29</v>
      </c>
      <c r="C45" s="156" t="s">
        <v>283</v>
      </c>
      <c r="D45" s="64"/>
      <c r="F45" s="64"/>
      <c r="G45" s="59">
        <f>SUM(G40:G44)</f>
        <v>14039.947000000002</v>
      </c>
      <c r="H45" s="59"/>
      <c r="I45" s="190">
        <f>SUM(I40:I44)</f>
        <v>2637.6167415455338</v>
      </c>
      <c r="J45" s="434"/>
      <c r="K45" s="59">
        <f>SUM(K40:K44)</f>
        <v>165.4726294722646</v>
      </c>
      <c r="L45" s="59"/>
      <c r="M45" s="192">
        <f t="shared" si="1"/>
        <v>1.178584431068469E-2</v>
      </c>
      <c r="O45" s="430">
        <f t="shared" si="2"/>
        <v>4.4786451449690392E-3</v>
      </c>
    </row>
    <row r="46" spans="1:16" ht="23.15" customHeight="1">
      <c r="A46" s="144">
        <f>MAX(A$14:A45)+1</f>
        <v>30</v>
      </c>
      <c r="C46" s="152" t="s">
        <v>284</v>
      </c>
      <c r="E46" s="151" t="s">
        <v>252</v>
      </c>
      <c r="G46" s="59">
        <f>'Exhibit-RMP(RMM-2)'!G501/1000</f>
        <v>0.58299999999999996</v>
      </c>
      <c r="H46" s="60"/>
      <c r="I46" s="190">
        <v>0</v>
      </c>
      <c r="J46" s="434"/>
      <c r="K46" s="59"/>
      <c r="L46" s="59"/>
      <c r="M46" s="192"/>
      <c r="O46" s="430"/>
    </row>
    <row r="47" spans="1:16">
      <c r="A47" s="144">
        <f>MAX(A$14:A46)+1</f>
        <v>31</v>
      </c>
      <c r="C47" s="152" t="s">
        <v>251</v>
      </c>
      <c r="D47" s="65"/>
      <c r="E47" s="153" t="s">
        <v>252</v>
      </c>
      <c r="F47" s="65"/>
      <c r="G47" s="61">
        <f>'Exhibit-RMP(RMM-2)'!G508/1000</f>
        <v>4.6616400000000002</v>
      </c>
      <c r="H47" s="60"/>
      <c r="I47" s="191">
        <v>0</v>
      </c>
      <c r="J47" s="434"/>
      <c r="K47" s="61"/>
      <c r="L47" s="61"/>
      <c r="M47" s="193"/>
      <c r="O47" s="430"/>
    </row>
    <row r="48" spans="1:16">
      <c r="A48" s="144">
        <f>MAX(A$14:A47)+1</f>
        <v>32</v>
      </c>
      <c r="C48" s="87" t="s">
        <v>285</v>
      </c>
      <c r="E48" s="157"/>
      <c r="G48" s="61">
        <f>SUM(G45:G47)</f>
        <v>14045.191640000003</v>
      </c>
      <c r="H48" s="60"/>
      <c r="I48" s="61">
        <f>SUM(I45:I47)</f>
        <v>2637.6167415455338</v>
      </c>
      <c r="J48" s="434"/>
      <c r="K48" s="61">
        <f>SUM(K45:K47)</f>
        <v>165.4726294722646</v>
      </c>
      <c r="L48" s="61"/>
      <c r="M48" s="193">
        <f>K48/$G48</f>
        <v>1.178144333759084E-2</v>
      </c>
      <c r="O48" s="430">
        <f>I48/$I$49</f>
        <v>4.4786451449690392E-3</v>
      </c>
    </row>
    <row r="49" spans="1:15" ht="27.75" customHeight="1" thickBot="1">
      <c r="A49" s="144">
        <f>MAX(A$14:A48)+1</f>
        <v>33</v>
      </c>
      <c r="C49" s="87" t="s">
        <v>286</v>
      </c>
      <c r="E49" s="157"/>
      <c r="G49" s="66">
        <f>G18+G38+G48</f>
        <v>1938306.48862</v>
      </c>
      <c r="H49" s="60"/>
      <c r="I49" s="181">
        <f>I18+I38+I48</f>
        <v>588931.84348584234</v>
      </c>
      <c r="J49" s="435"/>
      <c r="K49" s="181">
        <f>K18+K38+K48</f>
        <v>36786.108768751568</v>
      </c>
      <c r="L49" s="181"/>
      <c r="M49" s="195">
        <f>K49/$G49</f>
        <v>1.8978478885938142E-2</v>
      </c>
      <c r="O49" s="430">
        <f>I49/$I$49</f>
        <v>1</v>
      </c>
    </row>
    <row r="50" spans="1:15" ht="9.75" customHeight="1" thickTop="1">
      <c r="C50" s="87"/>
      <c r="E50" s="157"/>
      <c r="G50" s="62"/>
      <c r="H50" s="60"/>
      <c r="I50" s="338"/>
      <c r="J50" s="183"/>
      <c r="K50" s="338"/>
      <c r="L50" s="338"/>
      <c r="M50" s="194"/>
    </row>
    <row r="51" spans="1:15">
      <c r="A51" s="428" t="s">
        <v>445</v>
      </c>
      <c r="B51" s="428"/>
      <c r="C51" s="428"/>
    </row>
    <row r="52" spans="1:15" ht="16">
      <c r="C52" s="429" t="s">
        <v>449</v>
      </c>
      <c r="H52" s="210"/>
      <c r="I52" s="431" t="s">
        <v>444</v>
      </c>
      <c r="J52" s="433"/>
      <c r="K52" s="490">
        <f>'Table 1'!C21/1000</f>
        <v>36786.108768751568</v>
      </c>
      <c r="O52" s="490"/>
    </row>
    <row r="53" spans="1:15" ht="16">
      <c r="C53" s="429" t="s">
        <v>480</v>
      </c>
      <c r="H53" s="210"/>
      <c r="I53" s="431" t="s">
        <v>450</v>
      </c>
      <c r="J53" s="422"/>
      <c r="K53" s="446">
        <f>K52/G49</f>
        <v>1.8978478885938142E-2</v>
      </c>
    </row>
    <row r="54" spans="1:15">
      <c r="H54" s="210"/>
      <c r="I54" s="431" t="s">
        <v>26</v>
      </c>
      <c r="J54" s="180"/>
      <c r="K54" s="420">
        <v>0.99620279291204084</v>
      </c>
      <c r="L54" s="422"/>
      <c r="M54" s="447">
        <f>K49-K52</f>
        <v>0</v>
      </c>
    </row>
    <row r="55" spans="1:15" s="146" customFormat="1">
      <c r="A55" s="144"/>
      <c r="B55" s="144"/>
      <c r="C55" s="144"/>
      <c r="E55" s="144"/>
    </row>
    <row r="56" spans="1:15">
      <c r="E56" s="441"/>
      <c r="F56" s="210"/>
      <c r="G56" s="210"/>
      <c r="H56" s="210"/>
    </row>
    <row r="57" spans="1:15">
      <c r="E57" s="441"/>
      <c r="F57" s="210"/>
      <c r="L57" s="419"/>
    </row>
    <row r="58" spans="1:15">
      <c r="E58" s="441"/>
      <c r="F58" s="210"/>
      <c r="L58" s="423"/>
    </row>
    <row r="59" spans="1:15">
      <c r="E59" s="441"/>
      <c r="F59" s="210"/>
      <c r="L59" s="424"/>
    </row>
    <row r="60" spans="1:15">
      <c r="E60" s="441"/>
      <c r="F60" s="210"/>
      <c r="G60" s="431"/>
      <c r="H60" s="210"/>
      <c r="I60" s="420"/>
      <c r="J60" s="432"/>
      <c r="K60" s="442"/>
    </row>
    <row r="61" spans="1:15">
      <c r="E61" s="441"/>
      <c r="F61" s="210"/>
      <c r="G61" s="431"/>
      <c r="H61" s="210"/>
      <c r="I61" s="443"/>
      <c r="J61" s="422"/>
      <c r="K61" s="424"/>
    </row>
    <row r="62" spans="1:15">
      <c r="E62" s="157"/>
      <c r="F62" s="158"/>
      <c r="G62" s="158"/>
      <c r="H62" s="158"/>
      <c r="I62" s="444"/>
      <c r="J62" s="180"/>
      <c r="K62" s="158"/>
    </row>
    <row r="63" spans="1:15">
      <c r="E63" s="157"/>
      <c r="F63" s="158"/>
      <c r="G63" s="158"/>
      <c r="H63" s="158"/>
      <c r="I63" s="444"/>
      <c r="J63" s="369"/>
      <c r="K63" s="419"/>
    </row>
    <row r="64" spans="1:15">
      <c r="E64" s="157"/>
      <c r="F64" s="158"/>
      <c r="G64" s="158"/>
      <c r="H64" s="158"/>
      <c r="I64" s="444"/>
      <c r="J64" s="370"/>
      <c r="K64" s="419"/>
    </row>
  </sheetData>
  <printOptions horizontalCentered="1"/>
  <pageMargins left="0.25" right="0.25" top="1" bottom="0.5" header="0.25" footer="0.25"/>
  <pageSetup scale="56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 codeName="Sheet4">
    <pageSetUpPr fitToPage="1"/>
  </sheetPr>
  <dimension ref="A1:Z514"/>
  <sheetViews>
    <sheetView view="pageBreakPreview" topLeftCell="A8" zoomScale="70" zoomScaleNormal="70" zoomScaleSheetLayoutView="70" workbookViewId="0">
      <pane xSplit="1" ySplit="3" topLeftCell="I493" activePane="bottomRight" state="frozen"/>
      <selection activeCell="H16" sqref="H16"/>
      <selection pane="topRight" activeCell="H16" sqref="H16"/>
      <selection pane="bottomLeft" activeCell="H16" sqref="H16"/>
      <selection pane="bottomRight" activeCell="O462" sqref="O462"/>
    </sheetView>
  </sheetViews>
  <sheetFormatPr defaultColWidth="9" defaultRowHeight="15.5"/>
  <cols>
    <col min="1" max="1" width="33.08203125" style="168" customWidth="1"/>
    <col min="2" max="2" width="4.08203125" style="168" bestFit="1" customWidth="1"/>
    <col min="3" max="3" width="18.5" style="168" bestFit="1" customWidth="1"/>
    <col min="4" max="4" width="1" style="167" customWidth="1"/>
    <col min="5" max="5" width="11" style="168" bestFit="1" customWidth="1"/>
    <col min="6" max="6" width="2.08203125" style="167" customWidth="1"/>
    <col min="7" max="9" width="14" style="168" bestFit="1" customWidth="1"/>
    <col min="10" max="10" width="2.58203125" style="5" customWidth="1"/>
    <col min="11" max="11" width="8.08203125" style="91" customWidth="1"/>
    <col min="12" max="12" width="2.08203125" style="5" customWidth="1"/>
    <col min="13" max="13" width="11.58203125" style="92" bestFit="1" customWidth="1"/>
    <col min="14" max="14" width="1" style="5" customWidth="1"/>
    <col min="15" max="15" width="8.08203125" style="91" customWidth="1"/>
    <col min="16" max="16" width="2.08203125" style="5" customWidth="1"/>
    <col min="17" max="17" width="11.58203125" style="92" bestFit="1" customWidth="1"/>
    <col min="18" max="18" width="2.08203125" style="159" customWidth="1"/>
    <col min="19" max="19" width="19.58203125" style="159" bestFit="1" customWidth="1"/>
    <col min="20" max="20" width="13.58203125" style="159" bestFit="1" customWidth="1"/>
    <col min="21" max="22" width="10.5" style="159" bestFit="1" customWidth="1"/>
    <col min="23" max="23" width="12.4140625" style="159" bestFit="1" customWidth="1"/>
    <col min="24" max="16384" width="9" style="159"/>
  </cols>
  <sheetData>
    <row r="1" spans="1:22" ht="17.5">
      <c r="A1" s="346" t="s">
        <v>422</v>
      </c>
      <c r="B1" s="339"/>
      <c r="C1" s="165"/>
      <c r="D1" s="166"/>
      <c r="E1" s="165"/>
      <c r="F1" s="166"/>
      <c r="G1" s="196"/>
      <c r="H1" s="196"/>
      <c r="I1" s="196"/>
      <c r="J1" s="1"/>
      <c r="K1" s="89"/>
      <c r="L1" s="1"/>
      <c r="M1" s="90"/>
      <c r="N1" s="1"/>
      <c r="O1" s="89"/>
      <c r="P1" s="1"/>
      <c r="Q1" s="90"/>
    </row>
    <row r="2" spans="1:22" ht="17.5">
      <c r="A2" s="346" t="s">
        <v>0</v>
      </c>
      <c r="B2" s="339"/>
      <c r="C2" s="165"/>
      <c r="D2" s="166"/>
      <c r="E2" s="165"/>
      <c r="F2" s="166"/>
      <c r="G2" s="196"/>
      <c r="H2" s="196"/>
      <c r="I2" s="196"/>
      <c r="J2" s="1"/>
      <c r="K2" s="89"/>
      <c r="L2" s="1"/>
      <c r="M2" s="90"/>
      <c r="N2" s="1"/>
      <c r="O2" s="89"/>
      <c r="P2" s="1"/>
      <c r="Q2" s="90"/>
    </row>
    <row r="3" spans="1:22" ht="17.5">
      <c r="A3" s="346" t="s">
        <v>419</v>
      </c>
      <c r="B3" s="339"/>
      <c r="C3" s="165"/>
      <c r="D3" s="166"/>
      <c r="E3" s="165"/>
      <c r="F3" s="166"/>
      <c r="G3" s="196"/>
      <c r="H3" s="196"/>
      <c r="I3" s="196"/>
      <c r="J3" s="1"/>
      <c r="K3" s="89"/>
      <c r="L3" s="1"/>
      <c r="M3" s="90"/>
      <c r="N3" s="1"/>
      <c r="O3" s="89"/>
      <c r="P3" s="1"/>
      <c r="Q3" s="90"/>
    </row>
    <row r="4" spans="1:22" ht="17.5">
      <c r="A4" s="346" t="s">
        <v>420</v>
      </c>
      <c r="B4" s="339"/>
      <c r="C4" s="165"/>
      <c r="D4" s="166"/>
      <c r="E4" s="165"/>
      <c r="F4" s="166"/>
      <c r="G4" s="196"/>
      <c r="H4" s="196"/>
      <c r="I4" s="196"/>
      <c r="J4" s="1"/>
      <c r="K4" s="89"/>
      <c r="L4" s="1"/>
      <c r="M4" s="90"/>
      <c r="N4" s="1"/>
      <c r="O4" s="89"/>
      <c r="P4" s="1"/>
      <c r="Q4" s="90"/>
    </row>
    <row r="5" spans="1:22" ht="17.5">
      <c r="A5" s="346" t="s">
        <v>421</v>
      </c>
      <c r="B5" s="339"/>
      <c r="C5" s="165"/>
      <c r="D5" s="166"/>
      <c r="E5" s="165"/>
      <c r="F5" s="166"/>
      <c r="G5" s="196"/>
      <c r="H5" s="196"/>
      <c r="I5" s="196"/>
      <c r="J5" s="1"/>
      <c r="K5" s="89"/>
      <c r="L5" s="1"/>
      <c r="M5" s="90"/>
      <c r="N5" s="1"/>
      <c r="O5" s="89"/>
      <c r="P5" s="1"/>
      <c r="Q5" s="90"/>
    </row>
    <row r="6" spans="1:22">
      <c r="A6" s="160"/>
      <c r="B6" s="340"/>
      <c r="C6" s="4"/>
    </row>
    <row r="7" spans="1:22" ht="32.25" customHeight="1">
      <c r="A7" s="160"/>
      <c r="B7" s="340"/>
      <c r="C7" s="6"/>
      <c r="F7" s="197"/>
      <c r="G7" s="170"/>
      <c r="H7" s="170"/>
      <c r="I7" s="170"/>
      <c r="L7" s="93"/>
      <c r="M7" s="94"/>
      <c r="P7" s="93"/>
      <c r="Q7" s="94"/>
    </row>
    <row r="8" spans="1:22">
      <c r="A8" s="160"/>
      <c r="B8" s="340"/>
      <c r="C8" s="7"/>
      <c r="E8" s="343" t="s">
        <v>423</v>
      </c>
      <c r="F8" s="343"/>
      <c r="G8" s="169"/>
      <c r="H8" s="169"/>
      <c r="I8" s="169"/>
      <c r="K8" s="96" t="s">
        <v>293</v>
      </c>
      <c r="L8" s="95"/>
      <c r="M8" s="97"/>
      <c r="O8" s="96" t="s">
        <v>291</v>
      </c>
      <c r="P8" s="95"/>
      <c r="Q8" s="97"/>
    </row>
    <row r="9" spans="1:22">
      <c r="A9" s="160"/>
      <c r="B9" s="340"/>
      <c r="C9" s="9" t="s">
        <v>1</v>
      </c>
      <c r="E9" s="170" t="s">
        <v>311</v>
      </c>
      <c r="F9" s="197"/>
      <c r="G9" s="170" t="s">
        <v>2</v>
      </c>
      <c r="H9" s="170" t="s">
        <v>479</v>
      </c>
      <c r="I9" s="170" t="s">
        <v>2</v>
      </c>
      <c r="K9" s="98"/>
      <c r="L9" s="93"/>
      <c r="M9" s="170" t="s">
        <v>2</v>
      </c>
      <c r="O9" s="98"/>
      <c r="P9" s="93"/>
      <c r="Q9" s="170" t="s">
        <v>2</v>
      </c>
    </row>
    <row r="10" spans="1:22">
      <c r="A10" s="160"/>
      <c r="B10" s="340"/>
      <c r="C10" s="10" t="s">
        <v>3</v>
      </c>
      <c r="E10" s="347" t="s">
        <v>4</v>
      </c>
      <c r="F10" s="197"/>
      <c r="G10" s="171" t="s">
        <v>5</v>
      </c>
      <c r="H10" s="171" t="s">
        <v>26</v>
      </c>
      <c r="I10" s="171" t="s">
        <v>400</v>
      </c>
      <c r="K10" s="99" t="s">
        <v>4</v>
      </c>
      <c r="L10" s="93"/>
      <c r="M10" s="171" t="s">
        <v>5</v>
      </c>
      <c r="O10" s="99" t="s">
        <v>4</v>
      </c>
      <c r="P10" s="93"/>
      <c r="Q10" s="171" t="s">
        <v>5</v>
      </c>
    </row>
    <row r="11" spans="1:22">
      <c r="A11" s="344" t="s">
        <v>6</v>
      </c>
      <c r="B11" s="340"/>
      <c r="C11" s="348"/>
      <c r="M11" s="168"/>
      <c r="Q11" s="168"/>
    </row>
    <row r="12" spans="1:22">
      <c r="A12" s="345" t="s">
        <v>296</v>
      </c>
      <c r="B12" s="340"/>
      <c r="C12" s="13">
        <v>8511800.0101599023</v>
      </c>
      <c r="E12" s="14"/>
      <c r="F12" s="100"/>
      <c r="G12" s="15"/>
      <c r="H12" s="15"/>
      <c r="I12" s="15"/>
      <c r="K12" s="31"/>
      <c r="L12" s="100"/>
      <c r="M12" s="15"/>
      <c r="O12" s="31"/>
      <c r="P12" s="100"/>
      <c r="Q12" s="15"/>
      <c r="S12" s="140" t="s">
        <v>288</v>
      </c>
      <c r="T12" s="141">
        <v>4</v>
      </c>
      <c r="U12" s="12"/>
      <c r="V12" s="12"/>
    </row>
    <row r="13" spans="1:22">
      <c r="A13" s="345" t="s">
        <v>8</v>
      </c>
      <c r="B13" s="340"/>
      <c r="C13" s="16">
        <v>8398777</v>
      </c>
      <c r="E13" s="14">
        <v>6</v>
      </c>
      <c r="F13" s="100"/>
      <c r="G13" s="15">
        <f t="shared" ref="G13:G14" si="0">ROUND(E13*$C13,0)</f>
        <v>50392662</v>
      </c>
      <c r="H13" s="15"/>
      <c r="I13" s="15">
        <f>SUM(G13:H13)</f>
        <v>50392662</v>
      </c>
      <c r="K13" s="31"/>
      <c r="L13" s="100"/>
      <c r="M13" s="15"/>
      <c r="O13" s="31"/>
      <c r="P13" s="100"/>
      <c r="Q13" s="15"/>
      <c r="S13" s="8"/>
      <c r="T13" s="2"/>
      <c r="U13" s="12" t="s">
        <v>292</v>
      </c>
      <c r="V13" s="12" t="s">
        <v>292</v>
      </c>
    </row>
    <row r="14" spans="1:22">
      <c r="A14" s="345" t="s">
        <v>9</v>
      </c>
      <c r="B14" s="340"/>
      <c r="C14" s="16">
        <v>14094</v>
      </c>
      <c r="E14" s="14">
        <v>12</v>
      </c>
      <c r="F14" s="100"/>
      <c r="G14" s="15">
        <f t="shared" si="0"/>
        <v>169128</v>
      </c>
      <c r="H14" s="15"/>
      <c r="I14" s="15">
        <f>SUM(G14:H14)</f>
        <v>169128</v>
      </c>
      <c r="K14" s="31"/>
      <c r="L14" s="100"/>
      <c r="M14" s="15"/>
      <c r="O14" s="31"/>
      <c r="P14" s="100"/>
      <c r="Q14" s="15"/>
      <c r="U14" s="139"/>
      <c r="V14" s="139"/>
    </row>
    <row r="15" spans="1:22">
      <c r="A15" s="345" t="s">
        <v>426</v>
      </c>
      <c r="B15" s="340"/>
      <c r="C15" s="16">
        <v>23932</v>
      </c>
      <c r="E15" s="14"/>
      <c r="F15" s="100"/>
      <c r="G15" s="15"/>
      <c r="H15" s="15"/>
      <c r="I15" s="15"/>
      <c r="K15" s="31"/>
      <c r="L15" s="100"/>
      <c r="M15" s="15"/>
      <c r="O15" s="31"/>
      <c r="P15" s="100"/>
      <c r="Q15" s="15"/>
      <c r="S15" s="69" t="s">
        <v>12</v>
      </c>
      <c r="T15" s="77"/>
      <c r="U15" s="139"/>
      <c r="V15" s="139"/>
    </row>
    <row r="16" spans="1:22">
      <c r="A16" s="345" t="s">
        <v>10</v>
      </c>
      <c r="B16" s="340"/>
      <c r="C16" s="13">
        <v>1274636742</v>
      </c>
      <c r="E16" s="101">
        <v>8.8498000000000001</v>
      </c>
      <c r="F16" s="102" t="s">
        <v>11</v>
      </c>
      <c r="G16" s="15">
        <f t="shared" ref="G16:G18" si="1">ROUND(E16*$C16/100,0)</f>
        <v>112802802</v>
      </c>
      <c r="H16" s="15">
        <f>-ROUND(G16/SUM($G$16:$G$21)*'Sch73 Adj'!$D$2,0)</f>
        <v>-354477</v>
      </c>
      <c r="I16" s="15">
        <f t="shared" ref="I16:I18" si="2">SUM(G16:H16)</f>
        <v>112448325</v>
      </c>
      <c r="K16" s="103">
        <v>8.0000000000000002E-3</v>
      </c>
      <c r="L16" s="102"/>
      <c r="M16" s="15">
        <f>$I16*K16</f>
        <v>899586.6</v>
      </c>
      <c r="O16" s="103">
        <f>$T$20</f>
        <v>1.7000000000000001E-2</v>
      </c>
      <c r="P16" s="102"/>
      <c r="Q16" s="15">
        <f>$I16*O16</f>
        <v>1911621.5250000001</v>
      </c>
      <c r="S16" s="71" t="s">
        <v>14</v>
      </c>
      <c r="T16" s="18">
        <f>Q29+Q49+Q71</f>
        <v>10698312.668470003</v>
      </c>
      <c r="U16" s="138">
        <f>I16*K16-M16</f>
        <v>0</v>
      </c>
      <c r="V16" s="139">
        <f>I16*O16-Q16</f>
        <v>0</v>
      </c>
    </row>
    <row r="17" spans="1:22">
      <c r="A17" s="345" t="s">
        <v>13</v>
      </c>
      <c r="B17" s="340"/>
      <c r="C17" s="13">
        <v>1040456011</v>
      </c>
      <c r="E17" s="101">
        <v>11.542899999999999</v>
      </c>
      <c r="F17" s="102" t="s">
        <v>11</v>
      </c>
      <c r="G17" s="15">
        <f t="shared" si="1"/>
        <v>120098797</v>
      </c>
      <c r="H17" s="15">
        <f>-ROUND(G17/SUM($G$16:$G$21)*'Sch73 Adj'!$D$2,0)</f>
        <v>-377404</v>
      </c>
      <c r="I17" s="15">
        <f t="shared" si="2"/>
        <v>119721393</v>
      </c>
      <c r="K17" s="103">
        <v>8.0000000000000002E-3</v>
      </c>
      <c r="L17" s="102"/>
      <c r="M17" s="15">
        <f>$I17*K17</f>
        <v>957771.14399999997</v>
      </c>
      <c r="O17" s="103">
        <f t="shared" ref="O17:O18" si="3">$T$20</f>
        <v>1.7000000000000001E-2</v>
      </c>
      <c r="P17" s="102"/>
      <c r="Q17" s="15">
        <f>$I17*O17</f>
        <v>2035263.6810000001</v>
      </c>
      <c r="S17" s="71" t="s">
        <v>16</v>
      </c>
      <c r="T17" s="18">
        <f>'Exhibit-RMP(RMM-1) page 2'!K18*1000</f>
        <v>10685182.655089062</v>
      </c>
      <c r="U17" s="138">
        <f>I17*K17-M17</f>
        <v>0</v>
      </c>
      <c r="V17" s="139">
        <f>I17*O17-Q17</f>
        <v>0</v>
      </c>
    </row>
    <row r="18" spans="1:22">
      <c r="A18" s="345" t="s">
        <v>15</v>
      </c>
      <c r="B18" s="340"/>
      <c r="C18" s="13">
        <v>358873906</v>
      </c>
      <c r="E18" s="101">
        <v>14.450799999999999</v>
      </c>
      <c r="F18" s="102" t="s">
        <v>11</v>
      </c>
      <c r="G18" s="15">
        <f t="shared" si="1"/>
        <v>51860150</v>
      </c>
      <c r="H18" s="15">
        <f>-ROUND(G18/SUM($G$16:$G$21)*'Sch73 Adj'!$D$2,0)</f>
        <v>-162968</v>
      </c>
      <c r="I18" s="15">
        <f t="shared" si="2"/>
        <v>51697182</v>
      </c>
      <c r="K18" s="103">
        <v>8.0000000000000002E-3</v>
      </c>
      <c r="L18" s="102"/>
      <c r="M18" s="15">
        <f>$I18*K18</f>
        <v>413577.45600000001</v>
      </c>
      <c r="O18" s="103">
        <f t="shared" si="3"/>
        <v>1.7000000000000001E-2</v>
      </c>
      <c r="P18" s="102"/>
      <c r="Q18" s="15">
        <f>$I18*O18</f>
        <v>878852.09400000004</v>
      </c>
      <c r="S18" s="72" t="s">
        <v>18</v>
      </c>
      <c r="T18" s="19">
        <f>T17-T16</f>
        <v>-13130.013380941004</v>
      </c>
      <c r="U18" s="138">
        <f>I18*K18-M18</f>
        <v>0</v>
      </c>
      <c r="V18" s="139">
        <f>I18*O18-Q18</f>
        <v>0</v>
      </c>
    </row>
    <row r="19" spans="1:22">
      <c r="A19" s="345" t="s">
        <v>17</v>
      </c>
      <c r="B19" s="340"/>
      <c r="C19" s="13"/>
      <c r="E19" s="104"/>
      <c r="F19" s="102"/>
      <c r="G19" s="15"/>
      <c r="H19" s="15"/>
      <c r="I19" s="15"/>
      <c r="L19" s="102"/>
      <c r="M19" s="15"/>
      <c r="P19" s="102"/>
      <c r="Q19" s="15"/>
      <c r="S19" s="73"/>
      <c r="T19" s="74"/>
      <c r="U19" s="138"/>
      <c r="V19" s="139"/>
    </row>
    <row r="20" spans="1:22">
      <c r="A20" s="349" t="s">
        <v>297</v>
      </c>
      <c r="B20" s="350"/>
      <c r="C20" s="13">
        <v>1613094234</v>
      </c>
      <c r="D20" s="172"/>
      <c r="E20" s="104">
        <v>8.8498000000000001</v>
      </c>
      <c r="F20" s="102" t="s">
        <v>11</v>
      </c>
      <c r="G20" s="199">
        <f t="shared" ref="G20:G21" si="4">ROUND(E20*$C20/100,0)</f>
        <v>142755614</v>
      </c>
      <c r="H20" s="199">
        <f>-ROUND(G20/SUM($G$16:$G$21)*'Sch73 Adj'!$D$2,0)</f>
        <v>-448602</v>
      </c>
      <c r="I20" s="199">
        <f t="shared" ref="I20:I24" si="5">SUM(G20:H20)</f>
        <v>142307012</v>
      </c>
      <c r="K20" s="103">
        <v>8.0000000000000002E-3</v>
      </c>
      <c r="L20" s="102"/>
      <c r="M20" s="199">
        <f>$I20*K20</f>
        <v>1138456.0960000001</v>
      </c>
      <c r="O20" s="103">
        <f t="shared" ref="O20:O21" si="6">$T$20</f>
        <v>1.7000000000000001E-2</v>
      </c>
      <c r="P20" s="102"/>
      <c r="Q20" s="199">
        <f>$I20*O20</f>
        <v>2419219.2040000004</v>
      </c>
      <c r="S20" s="75" t="s">
        <v>21</v>
      </c>
      <c r="T20" s="76">
        <f>ROUND(T17/SUM(I16:I21,I36:I41,I58:I63),$T$12)</f>
        <v>1.7000000000000001E-2</v>
      </c>
      <c r="U20" s="138">
        <f>I20*K20-M20</f>
        <v>0</v>
      </c>
      <c r="V20" s="139">
        <f>I20*O20-Q20</f>
        <v>0</v>
      </c>
    </row>
    <row r="21" spans="1:22">
      <c r="A21" s="349" t="s">
        <v>298</v>
      </c>
      <c r="B21" s="350"/>
      <c r="C21" s="13">
        <v>1704644903</v>
      </c>
      <c r="D21" s="172"/>
      <c r="E21" s="104">
        <v>10.7072</v>
      </c>
      <c r="F21" s="102" t="s">
        <v>11</v>
      </c>
      <c r="G21" s="199">
        <f t="shared" si="4"/>
        <v>182519739</v>
      </c>
      <c r="H21" s="199">
        <f>-'Sch73 Adj'!D2-SUM('Exhibit-RMP(RMM-2)'!H16:H20)</f>
        <v>-573560.12999999989</v>
      </c>
      <c r="I21" s="199">
        <f t="shared" si="5"/>
        <v>181946178.87</v>
      </c>
      <c r="K21" s="103">
        <v>8.0000000000000002E-3</v>
      </c>
      <c r="L21" s="102"/>
      <c r="M21" s="199">
        <f>$I21*K21</f>
        <v>1455569.43096</v>
      </c>
      <c r="O21" s="103">
        <f t="shared" si="6"/>
        <v>1.7000000000000001E-2</v>
      </c>
      <c r="P21" s="102"/>
      <c r="Q21" s="199">
        <f>$I21*O21</f>
        <v>3093085.0407900005</v>
      </c>
    </row>
    <row r="22" spans="1:22">
      <c r="A22" s="345" t="s">
        <v>19</v>
      </c>
      <c r="B22" s="340"/>
      <c r="C22" s="16">
        <v>98763</v>
      </c>
      <c r="E22" s="14">
        <v>8</v>
      </c>
      <c r="F22" s="100"/>
      <c r="G22" s="15">
        <f>ROUND(E22*$C22,0)</f>
        <v>790104</v>
      </c>
      <c r="H22" s="15"/>
      <c r="I22" s="15">
        <f t="shared" si="5"/>
        <v>790104</v>
      </c>
      <c r="K22" s="106"/>
      <c r="L22" s="20"/>
      <c r="M22" s="15"/>
      <c r="O22" s="106"/>
      <c r="P22" s="20"/>
      <c r="Q22" s="15"/>
    </row>
    <row r="23" spans="1:22">
      <c r="A23" s="345" t="s">
        <v>20</v>
      </c>
      <c r="B23" s="340"/>
      <c r="C23" s="13">
        <v>166.01015990227461</v>
      </c>
      <c r="E23" s="14">
        <v>16</v>
      </c>
      <c r="F23" s="20"/>
      <c r="G23" s="15">
        <f>ROUND(E23*$C23,0)</f>
        <v>2656</v>
      </c>
      <c r="H23" s="15"/>
      <c r="I23" s="15">
        <f t="shared" si="5"/>
        <v>2656</v>
      </c>
      <c r="K23" s="31"/>
      <c r="L23" s="102"/>
      <c r="M23" s="15"/>
      <c r="O23" s="31"/>
      <c r="P23" s="102"/>
      <c r="Q23" s="15"/>
    </row>
    <row r="24" spans="1:22">
      <c r="A24" s="345" t="s">
        <v>22</v>
      </c>
      <c r="B24" s="340"/>
      <c r="C24" s="13">
        <v>0</v>
      </c>
      <c r="E24" s="14">
        <v>96</v>
      </c>
      <c r="F24" s="20"/>
      <c r="G24" s="21">
        <f>ROUND(E24*$C24,0)</f>
        <v>0</v>
      </c>
      <c r="H24" s="21"/>
      <c r="I24" s="21">
        <f t="shared" si="5"/>
        <v>0</v>
      </c>
      <c r="K24" s="31"/>
      <c r="L24" s="102"/>
      <c r="M24" s="21"/>
      <c r="O24" s="31"/>
      <c r="P24" s="102"/>
      <c r="Q24" s="21"/>
    </row>
    <row r="25" spans="1:22">
      <c r="A25" s="351" t="s">
        <v>23</v>
      </c>
      <c r="B25" s="340"/>
      <c r="C25" s="16">
        <v>501472</v>
      </c>
      <c r="E25" s="104"/>
      <c r="F25" s="102"/>
      <c r="G25" s="21"/>
      <c r="H25" s="21"/>
      <c r="I25" s="21"/>
      <c r="K25" s="31"/>
      <c r="L25" s="102"/>
      <c r="M25" s="21"/>
      <c r="O25" s="31"/>
      <c r="P25" s="102"/>
      <c r="Q25" s="21"/>
    </row>
    <row r="26" spans="1:22">
      <c r="A26" s="351" t="s">
        <v>299</v>
      </c>
      <c r="B26" s="341"/>
      <c r="C26" s="13">
        <v>223485</v>
      </c>
      <c r="E26" s="104"/>
      <c r="F26" s="102"/>
      <c r="G26" s="15"/>
      <c r="H26" s="15"/>
      <c r="I26" s="15"/>
      <c r="K26" s="31"/>
      <c r="L26" s="102"/>
      <c r="M26" s="15"/>
      <c r="O26" s="31"/>
      <c r="P26" s="102"/>
      <c r="Q26" s="15"/>
    </row>
    <row r="27" spans="1:22">
      <c r="A27" s="351" t="s">
        <v>300</v>
      </c>
      <c r="B27" s="341"/>
      <c r="C27" s="13">
        <v>277987</v>
      </c>
      <c r="E27" s="104"/>
      <c r="F27" s="102"/>
      <c r="G27" s="15"/>
      <c r="H27" s="15"/>
      <c r="I27" s="15"/>
      <c r="K27" s="31"/>
      <c r="L27" s="102"/>
      <c r="M27" s="15"/>
      <c r="O27" s="31"/>
      <c r="P27" s="102"/>
      <c r="Q27" s="15"/>
    </row>
    <row r="28" spans="1:22">
      <c r="A28" s="345" t="s">
        <v>24</v>
      </c>
      <c r="B28" s="340"/>
      <c r="C28" s="23">
        <v>0</v>
      </c>
      <c r="G28" s="24">
        <v>0</v>
      </c>
      <c r="H28" s="24"/>
      <c r="I28" s="24">
        <f>SUM(G28:H28)</f>
        <v>0</v>
      </c>
      <c r="M28" s="24"/>
      <c r="Q28" s="24"/>
    </row>
    <row r="29" spans="1:22" s="161" customFormat="1" ht="16" thickBot="1">
      <c r="A29" s="345" t="s">
        <v>25</v>
      </c>
      <c r="B29" s="340"/>
      <c r="C29" s="25">
        <v>5992207268.7140274</v>
      </c>
      <c r="D29" s="167"/>
      <c r="E29" s="173"/>
      <c r="F29" s="167"/>
      <c r="G29" s="26">
        <f>SUM(G13:G28)</f>
        <v>661391652</v>
      </c>
      <c r="H29" s="26">
        <f>SUM(H13:H28)</f>
        <v>-1917011.13</v>
      </c>
      <c r="I29" s="26">
        <f>SUM(I13:I28)</f>
        <v>659474640.87</v>
      </c>
      <c r="J29" s="5"/>
      <c r="K29" s="107"/>
      <c r="L29" s="5"/>
      <c r="M29" s="26">
        <f>SUM(M13:M28)</f>
        <v>4864960.7269599997</v>
      </c>
      <c r="N29" s="5"/>
      <c r="O29" s="107"/>
      <c r="P29" s="5"/>
      <c r="Q29" s="26">
        <f>SUM(Q13:Q28)</f>
        <v>10338041.544790002</v>
      </c>
      <c r="S29" s="103">
        <f>H29/SUM(G16:G21)</f>
        <v>-3.1424500636356373E-3</v>
      </c>
    </row>
    <row r="30" spans="1:22" ht="16" thickTop="1">
      <c r="A30" s="160"/>
      <c r="B30" s="340"/>
      <c r="C30" s="27"/>
      <c r="G30" s="92"/>
      <c r="H30" s="92"/>
      <c r="I30" s="92"/>
      <c r="K30" s="108"/>
      <c r="L30" s="109"/>
      <c r="O30" s="108"/>
      <c r="P30" s="109"/>
    </row>
    <row r="31" spans="1:22">
      <c r="A31" s="344" t="s">
        <v>424</v>
      </c>
      <c r="B31" s="340"/>
      <c r="C31" s="4"/>
      <c r="G31" s="92"/>
      <c r="H31" s="92"/>
      <c r="I31" s="92"/>
    </row>
    <row r="32" spans="1:22">
      <c r="A32" s="345" t="s">
        <v>296</v>
      </c>
      <c r="B32" s="340"/>
      <c r="C32" s="16">
        <v>370465</v>
      </c>
      <c r="E32" s="14"/>
      <c r="F32" s="100"/>
      <c r="G32" s="15"/>
      <c r="H32" s="15"/>
      <c r="I32" s="15"/>
      <c r="M32" s="15"/>
      <c r="Q32" s="15"/>
    </row>
    <row r="33" spans="1:22">
      <c r="A33" s="345" t="s">
        <v>8</v>
      </c>
      <c r="B33" s="340"/>
      <c r="C33" s="16">
        <v>369457</v>
      </c>
      <c r="E33" s="14">
        <v>6</v>
      </c>
      <c r="F33" s="100"/>
      <c r="G33" s="15">
        <f t="shared" ref="G33:G34" si="7">ROUND(E33*$C33,0)</f>
        <v>2216742</v>
      </c>
      <c r="H33" s="15"/>
      <c r="I33" s="15">
        <f>SUM(G33:H33)</f>
        <v>2216742</v>
      </c>
      <c r="K33" s="31"/>
      <c r="L33" s="100"/>
      <c r="M33" s="15"/>
      <c r="O33" s="31"/>
      <c r="P33" s="100"/>
      <c r="Q33" s="15"/>
    </row>
    <row r="34" spans="1:22">
      <c r="A34" s="345" t="s">
        <v>9</v>
      </c>
      <c r="B34" s="340"/>
      <c r="C34" s="16">
        <v>257</v>
      </c>
      <c r="E34" s="14">
        <v>12</v>
      </c>
      <c r="F34" s="100"/>
      <c r="G34" s="15">
        <f t="shared" si="7"/>
        <v>3084</v>
      </c>
      <c r="H34" s="15"/>
      <c r="I34" s="15">
        <f>SUM(G34:H34)</f>
        <v>3084</v>
      </c>
      <c r="K34" s="31"/>
      <c r="L34" s="100"/>
      <c r="M34" s="15"/>
      <c r="O34" s="31"/>
      <c r="P34" s="100"/>
      <c r="Q34" s="15"/>
    </row>
    <row r="35" spans="1:22">
      <c r="A35" s="345" t="s">
        <v>426</v>
      </c>
      <c r="B35" s="340"/>
      <c r="C35" s="16">
        <v>0</v>
      </c>
      <c r="E35" s="14"/>
      <c r="F35" s="100"/>
      <c r="G35" s="15"/>
      <c r="H35" s="15"/>
      <c r="I35" s="15"/>
      <c r="K35" s="31"/>
      <c r="L35" s="100"/>
      <c r="M35" s="15"/>
      <c r="O35" s="31"/>
      <c r="P35" s="100"/>
      <c r="Q35" s="15"/>
    </row>
    <row r="36" spans="1:22">
      <c r="A36" s="345" t="s">
        <v>10</v>
      </c>
      <c r="B36" s="340"/>
      <c r="C36" s="13">
        <v>47435117</v>
      </c>
      <c r="E36" s="104">
        <v>8.8498000000000001</v>
      </c>
      <c r="F36" s="102" t="s">
        <v>11</v>
      </c>
      <c r="G36" s="15">
        <f t="shared" ref="G36:G38" si="8">ROUND(E36*$C36/100,0)</f>
        <v>4197913</v>
      </c>
      <c r="H36" s="15">
        <f>-ROUND(G36/SUM($G$36:$G$41)*'Sch73 Adj'!$D$3,0)</f>
        <v>-3515</v>
      </c>
      <c r="I36" s="15">
        <f t="shared" ref="I36:I38" si="9">SUM(G36:H36)</f>
        <v>4194398</v>
      </c>
      <c r="K36" s="103">
        <v>8.0000000000000002E-3</v>
      </c>
      <c r="L36" s="102"/>
      <c r="M36" s="15">
        <f>$I36*K36</f>
        <v>33555.184000000001</v>
      </c>
      <c r="O36" s="103">
        <f t="shared" ref="O36:O38" si="10">$T$20</f>
        <v>1.7000000000000001E-2</v>
      </c>
      <c r="P36" s="102"/>
      <c r="Q36" s="15">
        <f>$I36*O36</f>
        <v>71304.766000000003</v>
      </c>
      <c r="U36" s="138">
        <f>I36*K36-M36</f>
        <v>0</v>
      </c>
      <c r="V36" s="139">
        <f>I36*O36-Q36</f>
        <v>0</v>
      </c>
    </row>
    <row r="37" spans="1:22">
      <c r="A37" s="345" t="s">
        <v>13</v>
      </c>
      <c r="B37" s="340"/>
      <c r="C37" s="13">
        <v>31907309</v>
      </c>
      <c r="E37" s="104">
        <v>11.542899999999999</v>
      </c>
      <c r="F37" s="102" t="s">
        <v>11</v>
      </c>
      <c r="G37" s="15">
        <f t="shared" si="8"/>
        <v>3683029</v>
      </c>
      <c r="H37" s="15">
        <f>-ROUND(G37/SUM($G$36:$G$41)*'Sch73 Adj'!$D$3,0)</f>
        <v>-3084</v>
      </c>
      <c r="I37" s="15">
        <f t="shared" si="9"/>
        <v>3679945</v>
      </c>
      <c r="K37" s="103">
        <v>8.0000000000000002E-3</v>
      </c>
      <c r="L37" s="102"/>
      <c r="M37" s="15">
        <f>$I37*K37</f>
        <v>29439.56</v>
      </c>
      <c r="O37" s="103">
        <f t="shared" si="10"/>
        <v>1.7000000000000001E-2</v>
      </c>
      <c r="P37" s="102"/>
      <c r="Q37" s="15">
        <f>$I37*O37</f>
        <v>62559.065000000002</v>
      </c>
      <c r="U37" s="138">
        <f>I37*K37-M37</f>
        <v>0</v>
      </c>
      <c r="V37" s="139">
        <f>I37*O37-Q37</f>
        <v>0</v>
      </c>
    </row>
    <row r="38" spans="1:22">
      <c r="A38" s="345" t="s">
        <v>15</v>
      </c>
      <c r="B38" s="340"/>
      <c r="C38" s="13">
        <v>10205740</v>
      </c>
      <c r="E38" s="104">
        <v>14.450799999999999</v>
      </c>
      <c r="F38" s="102" t="s">
        <v>11</v>
      </c>
      <c r="G38" s="15">
        <f t="shared" si="8"/>
        <v>1474811</v>
      </c>
      <c r="H38" s="15">
        <f>-ROUND(G38/SUM($G$36:$G$41)*'Sch73 Adj'!$D$3,0)</f>
        <v>-1235</v>
      </c>
      <c r="I38" s="15">
        <f t="shared" si="9"/>
        <v>1473576</v>
      </c>
      <c r="K38" s="103">
        <v>8.0000000000000002E-3</v>
      </c>
      <c r="L38" s="102"/>
      <c r="M38" s="15">
        <f>$I38*K38</f>
        <v>11788.608</v>
      </c>
      <c r="O38" s="103">
        <f t="shared" si="10"/>
        <v>1.7000000000000001E-2</v>
      </c>
      <c r="P38" s="102"/>
      <c r="Q38" s="15">
        <f>$I38*O38</f>
        <v>25050.792000000001</v>
      </c>
      <c r="U38" s="138">
        <f>I38*K38-M38</f>
        <v>0</v>
      </c>
      <c r="V38" s="139">
        <f>I38*O38-Q38</f>
        <v>0</v>
      </c>
    </row>
    <row r="39" spans="1:22">
      <c r="A39" s="345" t="s">
        <v>17</v>
      </c>
      <c r="B39" s="340"/>
      <c r="C39" s="13"/>
      <c r="E39" s="104"/>
      <c r="F39" s="102"/>
      <c r="G39" s="15"/>
      <c r="H39" s="15"/>
      <c r="I39" s="15"/>
      <c r="L39" s="102"/>
      <c r="M39" s="15"/>
      <c r="P39" s="102"/>
      <c r="Q39" s="15"/>
      <c r="U39" s="138"/>
      <c r="V39" s="139"/>
    </row>
    <row r="40" spans="1:22" s="162" customFormat="1">
      <c r="A40" s="349" t="s">
        <v>297</v>
      </c>
      <c r="B40" s="350"/>
      <c r="C40" s="13">
        <v>64598419</v>
      </c>
      <c r="D40" s="172"/>
      <c r="E40" s="104">
        <v>8.8498000000000001</v>
      </c>
      <c r="F40" s="102" t="s">
        <v>11</v>
      </c>
      <c r="G40" s="199">
        <f t="shared" ref="G40:G41" si="11">ROUND(E40*$C40/100,0)</f>
        <v>5716831</v>
      </c>
      <c r="H40" s="199">
        <f>-ROUND(G40/SUM($G$36:$G$41)*'Sch73 Adj'!$D$3,0)</f>
        <v>-4787</v>
      </c>
      <c r="I40" s="199">
        <f t="shared" ref="I40:I44" si="12">SUM(G40:H40)</f>
        <v>5712044</v>
      </c>
      <c r="J40" s="5"/>
      <c r="K40" s="103">
        <v>8.0000000000000002E-3</v>
      </c>
      <c r="L40" s="102"/>
      <c r="M40" s="199">
        <f>$I40*K40</f>
        <v>45696.351999999999</v>
      </c>
      <c r="N40" s="5"/>
      <c r="O40" s="103">
        <f t="shared" ref="O40:O41" si="13">$T$20</f>
        <v>1.7000000000000001E-2</v>
      </c>
      <c r="P40" s="102"/>
      <c r="Q40" s="199">
        <f>$I40*O40</f>
        <v>97104.748000000007</v>
      </c>
      <c r="U40" s="138">
        <f>I40*K40-M40</f>
        <v>0</v>
      </c>
      <c r="V40" s="139">
        <f>I40*O40-Q40</f>
        <v>0</v>
      </c>
    </row>
    <row r="41" spans="1:22" s="162" customFormat="1">
      <c r="A41" s="349" t="s">
        <v>298</v>
      </c>
      <c r="B41" s="350"/>
      <c r="C41" s="13">
        <v>54308077</v>
      </c>
      <c r="D41" s="172"/>
      <c r="E41" s="104">
        <v>10.7072</v>
      </c>
      <c r="F41" s="102" t="s">
        <v>11</v>
      </c>
      <c r="G41" s="199">
        <f t="shared" si="11"/>
        <v>5814874</v>
      </c>
      <c r="H41" s="199">
        <f>-'Sch73 Adj'!D3-SUM('Exhibit-RMP(RMM-2)'!H36:H40)</f>
        <v>-4869.9599999999991</v>
      </c>
      <c r="I41" s="199">
        <f t="shared" si="12"/>
        <v>5810004.04</v>
      </c>
      <c r="J41" s="5"/>
      <c r="K41" s="103">
        <v>8.0000000000000002E-3</v>
      </c>
      <c r="L41" s="102"/>
      <c r="M41" s="199">
        <f>$I41*K41</f>
        <v>46480.032319999998</v>
      </c>
      <c r="N41" s="5"/>
      <c r="O41" s="103">
        <f t="shared" si="13"/>
        <v>1.7000000000000001E-2</v>
      </c>
      <c r="P41" s="102"/>
      <c r="Q41" s="199">
        <f>$I41*O41</f>
        <v>98770.068680000011</v>
      </c>
      <c r="U41" s="138">
        <f>I41*K41-M41</f>
        <v>0</v>
      </c>
      <c r="V41" s="139">
        <f>I41*O41-Q41</f>
        <v>0</v>
      </c>
    </row>
    <row r="42" spans="1:22">
      <c r="A42" s="345" t="s">
        <v>19</v>
      </c>
      <c r="B42" s="340"/>
      <c r="C42" s="16">
        <v>751</v>
      </c>
      <c r="E42" s="14">
        <v>8</v>
      </c>
      <c r="F42" s="100"/>
      <c r="G42" s="15">
        <f>ROUND(E42*$C42,0)</f>
        <v>6008</v>
      </c>
      <c r="H42" s="15"/>
      <c r="I42" s="15">
        <f t="shared" si="12"/>
        <v>6008</v>
      </c>
      <c r="K42" s="31"/>
      <c r="L42" s="100"/>
      <c r="M42" s="15"/>
      <c r="O42" s="31"/>
      <c r="P42" s="100"/>
      <c r="Q42" s="15"/>
    </row>
    <row r="43" spans="1:22">
      <c r="A43" s="345" t="s">
        <v>20</v>
      </c>
      <c r="B43" s="340"/>
      <c r="C43" s="16">
        <v>0</v>
      </c>
      <c r="E43" s="14">
        <v>16</v>
      </c>
      <c r="F43" s="100"/>
      <c r="G43" s="15">
        <f>ROUND(E43*$C43,0)</f>
        <v>0</v>
      </c>
      <c r="H43" s="15"/>
      <c r="I43" s="15">
        <f t="shared" si="12"/>
        <v>0</v>
      </c>
      <c r="K43" s="31"/>
      <c r="L43" s="100"/>
      <c r="M43" s="15"/>
      <c r="O43" s="31"/>
      <c r="P43" s="100"/>
      <c r="Q43" s="15"/>
    </row>
    <row r="44" spans="1:22">
      <c r="A44" s="345" t="s">
        <v>22</v>
      </c>
      <c r="B44" s="340"/>
      <c r="C44" s="16">
        <v>0</v>
      </c>
      <c r="E44" s="14">
        <v>96</v>
      </c>
      <c r="F44" s="100"/>
      <c r="G44" s="21">
        <f>ROUND(E44*$C44,0)</f>
        <v>0</v>
      </c>
      <c r="H44" s="21"/>
      <c r="I44" s="21">
        <f t="shared" si="12"/>
        <v>0</v>
      </c>
      <c r="K44" s="111"/>
      <c r="L44" s="102"/>
      <c r="M44" s="21"/>
      <c r="O44" s="111"/>
      <c r="P44" s="102"/>
      <c r="Q44" s="21"/>
    </row>
    <row r="45" spans="1:22">
      <c r="A45" s="351" t="s">
        <v>23</v>
      </c>
      <c r="B45" s="341"/>
      <c r="C45" s="16">
        <v>4249</v>
      </c>
      <c r="E45" s="110"/>
      <c r="F45" s="102"/>
      <c r="G45" s="21"/>
      <c r="H45" s="21"/>
      <c r="I45" s="21"/>
      <c r="K45" s="111"/>
      <c r="L45" s="102"/>
      <c r="M45" s="21"/>
      <c r="O45" s="111"/>
      <c r="P45" s="102"/>
      <c r="Q45" s="21"/>
    </row>
    <row r="46" spans="1:22" s="161" customFormat="1">
      <c r="A46" s="351" t="s">
        <v>299</v>
      </c>
      <c r="B46" s="341"/>
      <c r="C46" s="13">
        <v>2043</v>
      </c>
      <c r="D46" s="167"/>
      <c r="E46" s="110"/>
      <c r="F46" s="102"/>
      <c r="G46" s="15"/>
      <c r="H46" s="15"/>
      <c r="I46" s="15"/>
      <c r="J46" s="5"/>
      <c r="K46" s="111"/>
      <c r="L46" s="102"/>
      <c r="M46" s="15"/>
      <c r="N46" s="5"/>
      <c r="O46" s="111"/>
      <c r="P46" s="102"/>
      <c r="Q46" s="15"/>
    </row>
    <row r="47" spans="1:22" s="161" customFormat="1">
      <c r="A47" s="351" t="s">
        <v>300</v>
      </c>
      <c r="B47" s="340"/>
      <c r="C47" s="13">
        <v>2206</v>
      </c>
      <c r="D47" s="167"/>
      <c r="E47" s="110"/>
      <c r="F47" s="102"/>
      <c r="G47" s="15"/>
      <c r="H47" s="15"/>
      <c r="I47" s="15"/>
      <c r="J47" s="5"/>
      <c r="K47" s="111"/>
      <c r="L47" s="102"/>
      <c r="M47" s="15"/>
      <c r="N47" s="5"/>
      <c r="O47" s="111"/>
      <c r="P47" s="102"/>
      <c r="Q47" s="15"/>
    </row>
    <row r="48" spans="1:22">
      <c r="A48" s="345" t="s">
        <v>24</v>
      </c>
      <c r="B48" s="340"/>
      <c r="C48" s="23">
        <v>0</v>
      </c>
      <c r="G48" s="24">
        <v>0</v>
      </c>
      <c r="H48" s="24"/>
      <c r="I48" s="24">
        <f>SUM(G48:H48)</f>
        <v>0</v>
      </c>
      <c r="K48" s="111"/>
      <c r="L48" s="102"/>
      <c r="M48" s="24"/>
      <c r="O48" s="111"/>
      <c r="P48" s="102"/>
      <c r="Q48" s="24"/>
    </row>
    <row r="49" spans="1:22" ht="16" thickBot="1">
      <c r="A49" s="345" t="s">
        <v>25</v>
      </c>
      <c r="B49" s="340"/>
      <c r="C49" s="25">
        <v>208458910.71085531</v>
      </c>
      <c r="E49" s="173"/>
      <c r="G49" s="26">
        <f>SUM(G33:G48)</f>
        <v>23113292</v>
      </c>
      <c r="H49" s="26">
        <f>SUM(H33:H48)</f>
        <v>-17490.96</v>
      </c>
      <c r="I49" s="26">
        <f>SUM(I33:I48)</f>
        <v>23095801.039999999</v>
      </c>
      <c r="K49" s="107"/>
      <c r="M49" s="26">
        <f>SUM(M33:M48)</f>
        <v>166959.73632000003</v>
      </c>
      <c r="O49" s="107"/>
      <c r="Q49" s="26">
        <f>SUM(Q33:Q48)</f>
        <v>354789.43968000007</v>
      </c>
    </row>
    <row r="50" spans="1:22" ht="16" thickTop="1">
      <c r="A50" s="160"/>
      <c r="B50" s="340"/>
      <c r="C50" s="4"/>
      <c r="G50" s="92"/>
      <c r="H50" s="92"/>
      <c r="I50" s="92"/>
      <c r="K50" s="108"/>
      <c r="L50" s="109"/>
      <c r="O50" s="108"/>
      <c r="P50" s="109"/>
    </row>
    <row r="51" spans="1:22">
      <c r="A51" s="344" t="s">
        <v>425</v>
      </c>
      <c r="B51" s="340"/>
      <c r="C51" s="4"/>
      <c r="G51" s="92"/>
      <c r="H51" s="92"/>
      <c r="I51" s="92"/>
    </row>
    <row r="52" spans="1:22">
      <c r="A52" s="345" t="s">
        <v>296</v>
      </c>
      <c r="B52" s="340"/>
      <c r="C52" s="16">
        <v>5364</v>
      </c>
      <c r="E52" s="14"/>
      <c r="F52" s="100"/>
      <c r="G52" s="15"/>
      <c r="H52" s="15"/>
      <c r="I52" s="15"/>
      <c r="M52" s="15"/>
      <c r="Q52" s="15"/>
    </row>
    <row r="53" spans="1:22">
      <c r="A53" s="345" t="s">
        <v>8</v>
      </c>
      <c r="B53" s="340"/>
      <c r="C53" s="16">
        <v>5243</v>
      </c>
      <c r="E53" s="14">
        <v>6</v>
      </c>
      <c r="F53" s="100"/>
      <c r="G53" s="15">
        <f t="shared" ref="G53:G54" si="14">ROUND(E53*$C53,0)</f>
        <v>31458</v>
      </c>
      <c r="H53" s="15"/>
      <c r="I53" s="15">
        <f>SUM(G53:H53)</f>
        <v>31458</v>
      </c>
      <c r="M53" s="15"/>
      <c r="Q53" s="15"/>
    </row>
    <row r="54" spans="1:22">
      <c r="A54" s="345" t="s">
        <v>9</v>
      </c>
      <c r="B54" s="340"/>
      <c r="C54" s="16">
        <v>0</v>
      </c>
      <c r="E54" s="14">
        <v>12</v>
      </c>
      <c r="F54" s="100"/>
      <c r="G54" s="15">
        <f t="shared" si="14"/>
        <v>0</v>
      </c>
      <c r="H54" s="15"/>
      <c r="I54" s="15">
        <f>SUM(G54:H54)</f>
        <v>0</v>
      </c>
      <c r="K54" s="31"/>
      <c r="L54" s="100"/>
      <c r="M54" s="15"/>
      <c r="O54" s="31"/>
      <c r="P54" s="100"/>
      <c r="Q54" s="15"/>
    </row>
    <row r="55" spans="1:22">
      <c r="A55" s="345" t="s">
        <v>426</v>
      </c>
      <c r="B55" s="340"/>
      <c r="C55" s="16">
        <v>1185</v>
      </c>
      <c r="E55" s="14"/>
      <c r="F55" s="100"/>
      <c r="G55" s="15"/>
      <c r="H55" s="15"/>
      <c r="I55" s="15"/>
      <c r="K55" s="31"/>
      <c r="L55" s="100"/>
      <c r="M55" s="15"/>
      <c r="O55" s="31"/>
      <c r="P55" s="100"/>
      <c r="Q55" s="15"/>
    </row>
    <row r="56" spans="1:22">
      <c r="A56" s="345" t="s">
        <v>27</v>
      </c>
      <c r="B56" s="340"/>
      <c r="C56" s="16">
        <v>280149</v>
      </c>
      <c r="E56" s="112">
        <v>4.3559999999999999</v>
      </c>
      <c r="F56" s="102" t="s">
        <v>11</v>
      </c>
      <c r="G56" s="15">
        <f t="shared" ref="G56:G60" si="15">ROUND(E56*$C56/100,0)</f>
        <v>12203</v>
      </c>
      <c r="H56" s="15"/>
      <c r="I56" s="15">
        <f t="shared" ref="I56:I60" si="16">SUM(G56:H56)</f>
        <v>12203</v>
      </c>
      <c r="K56" s="31"/>
      <c r="L56" s="100"/>
      <c r="M56" s="15"/>
      <c r="O56" s="31"/>
      <c r="P56" s="100"/>
      <c r="Q56" s="15"/>
    </row>
    <row r="57" spans="1:22">
      <c r="A57" s="345" t="s">
        <v>28</v>
      </c>
      <c r="B57" s="340"/>
      <c r="C57" s="16">
        <v>954590</v>
      </c>
      <c r="E57" s="112">
        <v>-1.6334</v>
      </c>
      <c r="F57" s="102" t="s">
        <v>11</v>
      </c>
      <c r="G57" s="15">
        <f t="shared" si="15"/>
        <v>-15592</v>
      </c>
      <c r="H57" s="15"/>
      <c r="I57" s="15">
        <f t="shared" si="16"/>
        <v>-15592</v>
      </c>
      <c r="K57" s="31"/>
      <c r="L57" s="100"/>
      <c r="M57" s="15"/>
      <c r="O57" s="31"/>
      <c r="P57" s="100"/>
      <c r="Q57" s="15"/>
    </row>
    <row r="58" spans="1:22">
      <c r="A58" s="345" t="s">
        <v>10</v>
      </c>
      <c r="B58" s="340"/>
      <c r="C58" s="16">
        <v>675062</v>
      </c>
      <c r="E58" s="104">
        <v>8.8498000000000001</v>
      </c>
      <c r="F58" s="102" t="s">
        <v>11</v>
      </c>
      <c r="G58" s="15">
        <f t="shared" si="15"/>
        <v>59742</v>
      </c>
      <c r="H58" s="15">
        <v>0</v>
      </c>
      <c r="I58" s="15">
        <f t="shared" si="16"/>
        <v>59742</v>
      </c>
      <c r="K58" s="103">
        <v>8.0000000000000002E-3</v>
      </c>
      <c r="L58" s="102"/>
      <c r="M58" s="15">
        <f>$I58*K58</f>
        <v>477.93600000000004</v>
      </c>
      <c r="O58" s="103">
        <f t="shared" ref="O58:O60" si="17">$T$20</f>
        <v>1.7000000000000001E-2</v>
      </c>
      <c r="P58" s="102"/>
      <c r="Q58" s="15">
        <f>$I58*O58</f>
        <v>1015.614</v>
      </c>
      <c r="U58" s="138">
        <f>I58*K58-M58</f>
        <v>0</v>
      </c>
      <c r="V58" s="139">
        <f>I58*O58-Q58</f>
        <v>0</v>
      </c>
    </row>
    <row r="59" spans="1:22">
      <c r="A59" s="345" t="s">
        <v>13</v>
      </c>
      <c r="B59" s="340"/>
      <c r="C59" s="16">
        <v>474415</v>
      </c>
      <c r="E59" s="104">
        <v>11.542899999999999</v>
      </c>
      <c r="F59" s="102" t="s">
        <v>11</v>
      </c>
      <c r="G59" s="15">
        <f t="shared" si="15"/>
        <v>54761</v>
      </c>
      <c r="H59" s="15">
        <v>0</v>
      </c>
      <c r="I59" s="15">
        <f t="shared" si="16"/>
        <v>54761</v>
      </c>
      <c r="K59" s="103">
        <v>8.0000000000000002E-3</v>
      </c>
      <c r="L59" s="102"/>
      <c r="M59" s="15">
        <f>$I59*K59</f>
        <v>438.08800000000002</v>
      </c>
      <c r="O59" s="103">
        <f t="shared" si="17"/>
        <v>1.7000000000000001E-2</v>
      </c>
      <c r="P59" s="102"/>
      <c r="Q59" s="15">
        <f>$I59*O59</f>
        <v>930.93700000000001</v>
      </c>
      <c r="U59" s="138">
        <f>I59*K59-M59</f>
        <v>0</v>
      </c>
      <c r="V59" s="139">
        <f>I59*O59-Q59</f>
        <v>0</v>
      </c>
    </row>
    <row r="60" spans="1:22">
      <c r="A60" s="345" t="s">
        <v>15</v>
      </c>
      <c r="B60" s="340"/>
      <c r="C60" s="16">
        <v>185128</v>
      </c>
      <c r="E60" s="104">
        <v>14.450799999999999</v>
      </c>
      <c r="F60" s="102" t="s">
        <v>11</v>
      </c>
      <c r="G60" s="15">
        <f t="shared" si="15"/>
        <v>26752</v>
      </c>
      <c r="H60" s="15">
        <v>0</v>
      </c>
      <c r="I60" s="15">
        <f t="shared" si="16"/>
        <v>26752</v>
      </c>
      <c r="K60" s="103">
        <v>8.0000000000000002E-3</v>
      </c>
      <c r="L60" s="102"/>
      <c r="M60" s="15">
        <f>$I60*K60</f>
        <v>214.01599999999999</v>
      </c>
      <c r="O60" s="103">
        <f t="shared" si="17"/>
        <v>1.7000000000000001E-2</v>
      </c>
      <c r="P60" s="102"/>
      <c r="Q60" s="15">
        <f>$I60*O60</f>
        <v>454.78400000000005</v>
      </c>
      <c r="U60" s="138">
        <f>I60*K60-M60</f>
        <v>0</v>
      </c>
      <c r="V60" s="139">
        <f>I60*O60-Q60</f>
        <v>0</v>
      </c>
    </row>
    <row r="61" spans="1:22">
      <c r="A61" s="345" t="s">
        <v>17</v>
      </c>
      <c r="B61" s="340"/>
      <c r="C61" s="16"/>
      <c r="E61" s="104"/>
      <c r="F61" s="102"/>
      <c r="G61" s="15"/>
      <c r="H61" s="15"/>
      <c r="I61" s="15"/>
      <c r="L61" s="102"/>
      <c r="M61" s="15"/>
      <c r="P61" s="102"/>
      <c r="Q61" s="15"/>
      <c r="U61" s="138"/>
      <c r="V61" s="139"/>
    </row>
    <row r="62" spans="1:22">
      <c r="A62" s="349" t="s">
        <v>297</v>
      </c>
      <c r="B62" s="350"/>
      <c r="C62" s="16">
        <v>912816</v>
      </c>
      <c r="D62" s="172"/>
      <c r="E62" s="104">
        <v>8.8498000000000001</v>
      </c>
      <c r="F62" s="102" t="s">
        <v>11</v>
      </c>
      <c r="G62" s="199">
        <f t="shared" ref="G62:G63" si="18">ROUND(E62*$C62/100,0)</f>
        <v>80782</v>
      </c>
      <c r="H62" s="199">
        <v>0</v>
      </c>
      <c r="I62" s="199">
        <f t="shared" ref="I62:I66" si="19">SUM(G62:H62)</f>
        <v>80782</v>
      </c>
      <c r="K62" s="103">
        <v>8.0000000000000002E-3</v>
      </c>
      <c r="L62" s="102"/>
      <c r="M62" s="199">
        <f>$I62*K62</f>
        <v>646.25599999999997</v>
      </c>
      <c r="O62" s="103">
        <f t="shared" ref="O62:O63" si="20">$T$20</f>
        <v>1.7000000000000001E-2</v>
      </c>
      <c r="P62" s="102"/>
      <c r="Q62" s="199">
        <f>$I62*O62</f>
        <v>1373.2940000000001</v>
      </c>
      <c r="U62" s="138">
        <f>I62*K62-M62</f>
        <v>0</v>
      </c>
      <c r="V62" s="139">
        <f>I62*O62-Q62</f>
        <v>0</v>
      </c>
    </row>
    <row r="63" spans="1:22">
      <c r="A63" s="349" t="s">
        <v>298</v>
      </c>
      <c r="B63" s="350"/>
      <c r="C63" s="16">
        <v>937823</v>
      </c>
      <c r="D63" s="172"/>
      <c r="E63" s="104">
        <v>10.7072</v>
      </c>
      <c r="F63" s="102" t="s">
        <v>11</v>
      </c>
      <c r="G63" s="199">
        <f t="shared" si="18"/>
        <v>100415</v>
      </c>
      <c r="H63" s="199">
        <v>0</v>
      </c>
      <c r="I63" s="199">
        <f t="shared" si="19"/>
        <v>100415</v>
      </c>
      <c r="K63" s="103">
        <v>8.0000000000000002E-3</v>
      </c>
      <c r="L63" s="102"/>
      <c r="M63" s="199">
        <f>$I63*K63</f>
        <v>803.32</v>
      </c>
      <c r="O63" s="103">
        <f t="shared" si="20"/>
        <v>1.7000000000000001E-2</v>
      </c>
      <c r="P63" s="102"/>
      <c r="Q63" s="199">
        <f>$I63*O63</f>
        <v>1707.0550000000001</v>
      </c>
      <c r="U63" s="138">
        <f>I63*K63-M63</f>
        <v>0</v>
      </c>
      <c r="V63" s="139">
        <f>I63*O63-Q63</f>
        <v>0</v>
      </c>
    </row>
    <row r="64" spans="1:22">
      <c r="A64" s="345" t="s">
        <v>19</v>
      </c>
      <c r="B64" s="340"/>
      <c r="C64" s="16">
        <v>121</v>
      </c>
      <c r="E64" s="14">
        <v>8</v>
      </c>
      <c r="F64" s="100"/>
      <c r="G64" s="15">
        <f>ROUND(E64*$C64,0)</f>
        <v>968</v>
      </c>
      <c r="H64" s="15"/>
      <c r="I64" s="15">
        <f t="shared" si="19"/>
        <v>968</v>
      </c>
      <c r="K64" s="31"/>
      <c r="L64" s="100"/>
      <c r="M64" s="15"/>
      <c r="O64" s="31"/>
      <c r="P64" s="100"/>
      <c r="Q64" s="15"/>
    </row>
    <row r="65" spans="1:22" s="161" customFormat="1">
      <c r="A65" s="345" t="s">
        <v>20</v>
      </c>
      <c r="B65" s="340"/>
      <c r="C65" s="16">
        <v>0</v>
      </c>
      <c r="D65" s="167"/>
      <c r="E65" s="14">
        <v>16</v>
      </c>
      <c r="F65" s="100"/>
      <c r="G65" s="15">
        <f>ROUND(E65*$C65,0)</f>
        <v>0</v>
      </c>
      <c r="H65" s="15"/>
      <c r="I65" s="15">
        <f t="shared" si="19"/>
        <v>0</v>
      </c>
      <c r="J65" s="5"/>
      <c r="K65" s="31"/>
      <c r="L65" s="100"/>
      <c r="M65" s="15"/>
      <c r="N65" s="5"/>
      <c r="O65" s="31"/>
      <c r="P65" s="100"/>
      <c r="Q65" s="15"/>
    </row>
    <row r="66" spans="1:22" s="161" customFormat="1">
      <c r="A66" s="345" t="s">
        <v>22</v>
      </c>
      <c r="B66" s="340"/>
      <c r="C66" s="16">
        <v>0</v>
      </c>
      <c r="D66" s="167"/>
      <c r="E66" s="14">
        <v>96</v>
      </c>
      <c r="F66" s="100"/>
      <c r="G66" s="15">
        <f>ROUND(E66*$C66,0)</f>
        <v>0</v>
      </c>
      <c r="H66" s="15"/>
      <c r="I66" s="15">
        <f t="shared" si="19"/>
        <v>0</v>
      </c>
      <c r="J66" s="5"/>
      <c r="K66" s="31"/>
      <c r="L66" s="100"/>
      <c r="M66" s="15"/>
      <c r="N66" s="5"/>
      <c r="O66" s="31"/>
      <c r="P66" s="100"/>
      <c r="Q66" s="15"/>
    </row>
    <row r="67" spans="1:22" s="161" customFormat="1">
      <c r="A67" s="351" t="s">
        <v>23</v>
      </c>
      <c r="B67" s="341"/>
      <c r="C67" s="16">
        <v>428</v>
      </c>
      <c r="D67" s="167"/>
      <c r="E67" s="110"/>
      <c r="F67" s="102"/>
      <c r="G67" s="21"/>
      <c r="H67" s="21"/>
      <c r="I67" s="21"/>
      <c r="J67" s="5"/>
      <c r="K67" s="111"/>
      <c r="L67" s="102"/>
      <c r="M67" s="21"/>
      <c r="N67" s="5"/>
      <c r="O67" s="111"/>
      <c r="P67" s="102"/>
      <c r="Q67" s="21"/>
    </row>
    <row r="68" spans="1:22">
      <c r="A68" s="351" t="s">
        <v>299</v>
      </c>
      <c r="B68" s="341"/>
      <c r="C68" s="16">
        <v>118</v>
      </c>
      <c r="E68" s="110"/>
      <c r="F68" s="102"/>
      <c r="G68" s="15"/>
      <c r="H68" s="15"/>
      <c r="I68" s="15"/>
      <c r="K68" s="111"/>
      <c r="L68" s="102"/>
      <c r="M68" s="15"/>
      <c r="O68" s="111"/>
      <c r="P68" s="102"/>
      <c r="Q68" s="15"/>
    </row>
    <row r="69" spans="1:22">
      <c r="A69" s="351" t="s">
        <v>300</v>
      </c>
      <c r="B69" s="340"/>
      <c r="C69" s="16">
        <v>310</v>
      </c>
      <c r="E69" s="110"/>
      <c r="F69" s="102"/>
      <c r="G69" s="15"/>
      <c r="H69" s="15"/>
      <c r="I69" s="15"/>
      <c r="K69" s="111"/>
      <c r="L69" s="102"/>
      <c r="M69" s="15"/>
      <c r="O69" s="111"/>
      <c r="P69" s="102"/>
      <c r="Q69" s="15"/>
    </row>
    <row r="70" spans="1:22">
      <c r="A70" s="345" t="s">
        <v>24</v>
      </c>
      <c r="B70" s="340"/>
      <c r="C70" s="23">
        <v>0</v>
      </c>
      <c r="G70" s="24">
        <v>0</v>
      </c>
      <c r="H70" s="24"/>
      <c r="I70" s="24">
        <f>SUM(G70:H70)</f>
        <v>0</v>
      </c>
      <c r="K70" s="111"/>
      <c r="L70" s="102"/>
      <c r="M70" s="24"/>
      <c r="O70" s="111"/>
      <c r="P70" s="102"/>
      <c r="Q70" s="24"/>
    </row>
    <row r="71" spans="1:22" ht="16" thickBot="1">
      <c r="A71" s="345" t="s">
        <v>25</v>
      </c>
      <c r="B71" s="340"/>
      <c r="C71" s="25">
        <v>3185670.6103628851</v>
      </c>
      <c r="E71" s="174"/>
      <c r="G71" s="28">
        <f>SUM(G53:G70)</f>
        <v>351489</v>
      </c>
      <c r="H71" s="28">
        <f>SUM(H53:H70)</f>
        <v>0</v>
      </c>
      <c r="I71" s="28">
        <f>SUM(I53:I70)</f>
        <v>351489</v>
      </c>
      <c r="K71" s="174"/>
      <c r="L71" s="102"/>
      <c r="M71" s="28">
        <f>SUM(M53:M70)</f>
        <v>2579.6160000000004</v>
      </c>
      <c r="O71" s="174"/>
      <c r="P71" s="102"/>
      <c r="Q71" s="28">
        <f>SUM(Q53:Q70)</f>
        <v>5481.6840000000002</v>
      </c>
    </row>
    <row r="72" spans="1:22" ht="16" thickTop="1">
      <c r="C72" s="4"/>
      <c r="G72" s="92"/>
      <c r="H72" s="92"/>
      <c r="I72" s="92"/>
      <c r="K72" s="103"/>
      <c r="O72" s="103"/>
    </row>
    <row r="73" spans="1:22">
      <c r="A73" s="344" t="s">
        <v>42</v>
      </c>
      <c r="B73" s="340"/>
      <c r="C73" s="4"/>
      <c r="G73" s="92"/>
      <c r="H73" s="92"/>
      <c r="I73" s="92"/>
      <c r="K73" s="103"/>
      <c r="O73" s="103"/>
    </row>
    <row r="74" spans="1:22">
      <c r="A74" s="345" t="s">
        <v>7</v>
      </c>
      <c r="B74" s="340"/>
      <c r="C74" s="4">
        <v>156864.35241617297</v>
      </c>
      <c r="E74" s="14">
        <v>54</v>
      </c>
      <c r="F74" s="100"/>
      <c r="G74" s="15">
        <f>ROUND(E74*$C74,0)</f>
        <v>8470675</v>
      </c>
      <c r="H74" s="15"/>
      <c r="I74" s="15">
        <f>SUM(G74:H74)</f>
        <v>8470675</v>
      </c>
      <c r="K74" s="31"/>
      <c r="L74" s="109"/>
      <c r="M74" s="15"/>
      <c r="O74" s="31"/>
      <c r="P74" s="109"/>
      <c r="Q74" s="15"/>
      <c r="S74" s="79" t="s">
        <v>312</v>
      </c>
      <c r="T74" s="80"/>
      <c r="U74" s="138"/>
      <c r="V74" s="139"/>
    </row>
    <row r="75" spans="1:22">
      <c r="A75" s="345" t="s">
        <v>38</v>
      </c>
      <c r="B75" s="340"/>
      <c r="C75" s="4">
        <v>7568683</v>
      </c>
      <c r="E75" s="14"/>
      <c r="F75" s="100"/>
      <c r="G75" s="15"/>
      <c r="H75" s="15"/>
      <c r="I75" s="15"/>
      <c r="K75" s="31"/>
      <c r="L75" s="100"/>
      <c r="M75" s="15"/>
      <c r="O75" s="31"/>
      <c r="P75" s="100"/>
      <c r="Q75" s="15"/>
      <c r="S75" s="70" t="s">
        <v>14</v>
      </c>
      <c r="T75" s="17">
        <f>Q86+Q101</f>
        <v>9449663.2964999992</v>
      </c>
      <c r="U75" s="138"/>
      <c r="V75" s="139"/>
    </row>
    <row r="76" spans="1:22">
      <c r="A76" s="345" t="s">
        <v>39</v>
      </c>
      <c r="B76" s="340"/>
      <c r="C76" s="4">
        <v>9009450</v>
      </c>
      <c r="E76" s="14"/>
      <c r="F76" s="100"/>
      <c r="G76" s="15"/>
      <c r="H76" s="15"/>
      <c r="I76" s="15"/>
      <c r="K76" s="31"/>
      <c r="L76" s="100"/>
      <c r="M76" s="15"/>
      <c r="O76" s="31"/>
      <c r="P76" s="100"/>
      <c r="Q76" s="15"/>
      <c r="S76" s="71" t="s">
        <v>16</v>
      </c>
      <c r="T76" s="18">
        <f>('Exhibit-RMP(RMM-1) page 2'!K20+'Exhibit-RMP(RMM-1) page 2'!K22)*1000</f>
        <v>9448644.890129853</v>
      </c>
      <c r="U76" s="138"/>
      <c r="V76" s="139"/>
    </row>
    <row r="77" spans="1:22">
      <c r="A77" s="345" t="s">
        <v>32</v>
      </c>
      <c r="B77" s="340"/>
      <c r="C77" s="4">
        <v>679134</v>
      </c>
      <c r="E77" s="14">
        <v>-0.96</v>
      </c>
      <c r="F77" s="100"/>
      <c r="G77" s="15">
        <f>ROUND(E77*$C77,0)</f>
        <v>-651969</v>
      </c>
      <c r="H77" s="15"/>
      <c r="I77" s="15">
        <f t="shared" ref="I77:I80" si="21">SUM(G77:H77)</f>
        <v>-651969</v>
      </c>
      <c r="K77" s="31"/>
      <c r="L77" s="100"/>
      <c r="M77" s="15"/>
      <c r="O77" s="31"/>
      <c r="P77" s="100"/>
      <c r="Q77" s="15"/>
      <c r="S77" s="72" t="s">
        <v>18</v>
      </c>
      <c r="T77" s="19">
        <f>T76-T75</f>
        <v>-1018.4063701462001</v>
      </c>
      <c r="U77" s="138"/>
      <c r="V77" s="139"/>
    </row>
    <row r="78" spans="1:22">
      <c r="A78" s="349" t="s">
        <v>87</v>
      </c>
      <c r="B78" s="350"/>
      <c r="C78" s="352">
        <v>16578133</v>
      </c>
      <c r="D78" s="172"/>
      <c r="E78" s="353">
        <v>4.04</v>
      </c>
      <c r="F78" s="354"/>
      <c r="G78" s="15">
        <f t="shared" ref="G78:G80" si="22">ROUND(E78*$C78,0)</f>
        <v>66975657</v>
      </c>
      <c r="H78" s="15"/>
      <c r="I78" s="15">
        <f t="shared" si="21"/>
        <v>66975657</v>
      </c>
      <c r="K78" s="31"/>
      <c r="L78" s="100"/>
      <c r="M78" s="15"/>
      <c r="O78" s="31"/>
      <c r="P78" s="100"/>
      <c r="Q78" s="15"/>
      <c r="S78" s="75" t="s">
        <v>21</v>
      </c>
      <c r="T78" s="76">
        <f>ROUND(T76/SUM(I79:I80,I82:I83,I94:I95,I97:I98),$T$12)+T81</f>
        <v>2.2499999999999999E-2</v>
      </c>
      <c r="U78" s="138"/>
      <c r="V78" s="139"/>
    </row>
    <row r="79" spans="1:22">
      <c r="A79" s="349" t="s">
        <v>38</v>
      </c>
      <c r="B79" s="350"/>
      <c r="C79" s="352">
        <v>7568683</v>
      </c>
      <c r="D79" s="172"/>
      <c r="E79" s="353">
        <v>14.62</v>
      </c>
      <c r="F79" s="354"/>
      <c r="G79" s="15">
        <f t="shared" si="22"/>
        <v>110654145</v>
      </c>
      <c r="H79" s="15">
        <v>0</v>
      </c>
      <c r="I79" s="15">
        <f t="shared" si="21"/>
        <v>110654145</v>
      </c>
      <c r="K79" s="103">
        <v>1.06E-2</v>
      </c>
      <c r="L79" s="100"/>
      <c r="M79" s="15">
        <f>$I79*K79</f>
        <v>1172933.9369999999</v>
      </c>
      <c r="O79" s="31">
        <f>$T$78</f>
        <v>2.2499999999999999E-2</v>
      </c>
      <c r="P79" s="100"/>
      <c r="Q79" s="15">
        <f>$I79*O79</f>
        <v>2489718.2624999997</v>
      </c>
      <c r="S79" s="32" t="s">
        <v>45</v>
      </c>
      <c r="T79" s="33">
        <f>'Exhibit-RMP(RMM-1) page 1'!S49</f>
        <v>36819.375625517539</v>
      </c>
      <c r="U79" s="138">
        <f>I79*K79-M79</f>
        <v>0</v>
      </c>
      <c r="V79" s="139">
        <f>I79*O79-Q79</f>
        <v>0</v>
      </c>
    </row>
    <row r="80" spans="1:22">
      <c r="A80" s="349" t="s">
        <v>39</v>
      </c>
      <c r="B80" s="350"/>
      <c r="C80" s="352">
        <v>9009450</v>
      </c>
      <c r="D80" s="172"/>
      <c r="E80" s="353">
        <v>10.91</v>
      </c>
      <c r="F80" s="354"/>
      <c r="G80" s="15">
        <f t="shared" si="22"/>
        <v>98293100</v>
      </c>
      <c r="H80" s="15">
        <v>0</v>
      </c>
      <c r="I80" s="15">
        <f t="shared" si="21"/>
        <v>98293100</v>
      </c>
      <c r="K80" s="103">
        <v>1.06E-2</v>
      </c>
      <c r="L80" s="100"/>
      <c r="M80" s="15">
        <f>$I80*K80</f>
        <v>1041906.86</v>
      </c>
      <c r="O80" s="31">
        <f>$T$78</f>
        <v>2.2499999999999999E-2</v>
      </c>
      <c r="P80" s="100"/>
      <c r="Q80" s="15">
        <f>$I80*O80</f>
        <v>2211594.75</v>
      </c>
      <c r="S80" s="32" t="s">
        <v>46</v>
      </c>
      <c r="T80" s="33">
        <f>'Exhibit-RMP(RMM-1) page 2'!K49</f>
        <v>36786.108768751568</v>
      </c>
      <c r="U80" s="138">
        <f>I80*K80-M80</f>
        <v>0</v>
      </c>
      <c r="V80" s="139">
        <f>I80*O80-Q80</f>
        <v>0</v>
      </c>
    </row>
    <row r="81" spans="1:22">
      <c r="A81" s="345" t="s">
        <v>29</v>
      </c>
      <c r="B81" s="340"/>
      <c r="C81" s="4">
        <v>5783806261.2344303</v>
      </c>
      <c r="E81" s="112"/>
      <c r="F81" s="102"/>
      <c r="G81" s="15"/>
      <c r="H81" s="15"/>
      <c r="I81" s="15"/>
      <c r="K81" s="31"/>
      <c r="L81" s="100"/>
      <c r="M81" s="15"/>
      <c r="O81" s="31"/>
      <c r="P81" s="100"/>
      <c r="Q81" s="15"/>
      <c r="S81" s="34" t="s">
        <v>26</v>
      </c>
      <c r="T81" s="35">
        <v>0</v>
      </c>
      <c r="U81" s="138"/>
      <c r="V81" s="139"/>
    </row>
    <row r="82" spans="1:22">
      <c r="A82" s="345" t="s">
        <v>43</v>
      </c>
      <c r="B82" s="340"/>
      <c r="C82" s="4">
        <v>2573577152.0915084</v>
      </c>
      <c r="E82" s="30">
        <v>3.8127</v>
      </c>
      <c r="F82" s="102" t="s">
        <v>11</v>
      </c>
      <c r="G82" s="15">
        <f>ROUND(E82*$C82/100,0)</f>
        <v>98122776</v>
      </c>
      <c r="H82" s="15">
        <f>-ROUND(G82/SUM($G$82:$G$83)*'Sch73 Adj'!$D$4,0)</f>
        <v>-84550</v>
      </c>
      <c r="I82" s="15">
        <f t="shared" ref="I82:I83" si="23">SUM(G82:H82)</f>
        <v>98038226</v>
      </c>
      <c r="K82" s="103">
        <v>1.06E-2</v>
      </c>
      <c r="L82" s="100"/>
      <c r="M82" s="15">
        <f>$I82*K82</f>
        <v>1039205.1956</v>
      </c>
      <c r="O82" s="31">
        <f>$T$78</f>
        <v>2.2499999999999999E-2</v>
      </c>
      <c r="P82" s="100"/>
      <c r="Q82" s="15">
        <f>$I82*O82</f>
        <v>2205860.085</v>
      </c>
      <c r="U82" s="138">
        <f>I82*K82-M82</f>
        <v>0</v>
      </c>
      <c r="V82" s="139">
        <f>I82*O82-Q82</f>
        <v>0</v>
      </c>
    </row>
    <row r="83" spans="1:22">
      <c r="A83" s="345" t="s">
        <v>44</v>
      </c>
      <c r="B83" s="340"/>
      <c r="C83" s="4">
        <v>3210229109.1429219</v>
      </c>
      <c r="E83" s="30">
        <v>3.5143</v>
      </c>
      <c r="F83" s="102" t="s">
        <v>11</v>
      </c>
      <c r="G83" s="15">
        <f>ROUND(E83*$C83/100,0)</f>
        <v>112817082</v>
      </c>
      <c r="H83" s="15">
        <f>-'Sch73 Adj'!D4-SUM('Exhibit-RMP(RMM-2)'!H82)</f>
        <v>-97211.6</v>
      </c>
      <c r="I83" s="15">
        <f t="shared" si="23"/>
        <v>112719870.40000001</v>
      </c>
      <c r="K83" s="103">
        <v>1.06E-2</v>
      </c>
      <c r="L83" s="100"/>
      <c r="M83" s="15">
        <f>$I83*K83</f>
        <v>1194830.6262400001</v>
      </c>
      <c r="O83" s="31">
        <f>$T$78</f>
        <v>2.2499999999999999E-2</v>
      </c>
      <c r="P83" s="100"/>
      <c r="Q83" s="15">
        <f>$I83*O83</f>
        <v>2536197.0840000003</v>
      </c>
      <c r="U83" s="138">
        <f>I83*K83-M83</f>
        <v>0</v>
      </c>
      <c r="V83" s="139">
        <f>I83*O83-Q83</f>
        <v>0</v>
      </c>
    </row>
    <row r="84" spans="1:22">
      <c r="A84" s="345" t="s">
        <v>37</v>
      </c>
      <c r="B84" s="340"/>
      <c r="C84" s="4">
        <v>0</v>
      </c>
      <c r="E84" s="14">
        <v>648</v>
      </c>
      <c r="F84" s="100"/>
      <c r="G84" s="15">
        <f>ROUND(E84*$C84,0)</f>
        <v>0</v>
      </c>
      <c r="H84" s="15"/>
      <c r="I84" s="15">
        <f>ROUND(G84*$C84,0)</f>
        <v>0</v>
      </c>
      <c r="K84" s="31"/>
      <c r="L84" s="100"/>
      <c r="M84" s="15"/>
      <c r="O84" s="31"/>
      <c r="P84" s="100"/>
      <c r="Q84" s="15"/>
      <c r="U84" s="138"/>
      <c r="V84" s="139"/>
    </row>
    <row r="85" spans="1:22">
      <c r="A85" s="345" t="s">
        <v>24</v>
      </c>
      <c r="B85" s="340"/>
      <c r="C85" s="23">
        <v>0</v>
      </c>
      <c r="G85" s="24">
        <v>0</v>
      </c>
      <c r="H85" s="24"/>
      <c r="I85" s="24">
        <f>SUM(G85:H85)</f>
        <v>0</v>
      </c>
      <c r="M85" s="24"/>
      <c r="Q85" s="24"/>
    </row>
    <row r="86" spans="1:22" ht="16" thickBot="1">
      <c r="A86" s="345" t="s">
        <v>25</v>
      </c>
      <c r="B86" s="340"/>
      <c r="C86" s="29">
        <v>5783806261.2344303</v>
      </c>
      <c r="E86" s="174"/>
      <c r="G86" s="28">
        <f>SUM(G74:G85)</f>
        <v>494681466</v>
      </c>
      <c r="H86" s="28">
        <f>SUM(H74:H85)</f>
        <v>-181761.6</v>
      </c>
      <c r="I86" s="28">
        <f>SUM(I74:I85)</f>
        <v>494499704.39999998</v>
      </c>
      <c r="K86" s="113"/>
      <c r="M86" s="28">
        <f>SUM(M74:M85)</f>
        <v>4448876.6188399997</v>
      </c>
      <c r="O86" s="113"/>
      <c r="Q86" s="28">
        <f>SUM(Q74:Q85)</f>
        <v>9443370.181499999</v>
      </c>
    </row>
    <row r="87" spans="1:22" ht="16" thickTop="1">
      <c r="A87" s="160"/>
      <c r="B87" s="340"/>
      <c r="G87" s="92"/>
      <c r="H87" s="92"/>
      <c r="I87" s="92"/>
      <c r="K87" s="108"/>
      <c r="L87" s="109"/>
      <c r="O87" s="108"/>
      <c r="P87" s="109"/>
    </row>
    <row r="88" spans="1:22">
      <c r="A88" s="344" t="s">
        <v>301</v>
      </c>
      <c r="B88" s="340"/>
      <c r="C88" s="4"/>
      <c r="D88" s="20"/>
      <c r="G88" s="92"/>
      <c r="H88" s="92"/>
      <c r="I88" s="92"/>
      <c r="K88" s="106"/>
      <c r="L88" s="115"/>
      <c r="O88" s="106"/>
      <c r="P88" s="115"/>
    </row>
    <row r="89" spans="1:22">
      <c r="A89" s="345" t="s">
        <v>7</v>
      </c>
      <c r="B89" s="340"/>
      <c r="C89" s="4">
        <v>438</v>
      </c>
      <c r="E89" s="14">
        <v>54</v>
      </c>
      <c r="F89" s="100"/>
      <c r="G89" s="15">
        <f>ROUND(E89*$C89,0)</f>
        <v>23652</v>
      </c>
      <c r="H89" s="15"/>
      <c r="I89" s="15">
        <f>SUM(G89:H89)</f>
        <v>23652</v>
      </c>
      <c r="M89" s="15"/>
      <c r="Q89" s="15"/>
    </row>
    <row r="90" spans="1:22">
      <c r="A90" s="345" t="s">
        <v>47</v>
      </c>
      <c r="B90" s="340"/>
      <c r="C90" s="4">
        <v>6224</v>
      </c>
      <c r="E90" s="14"/>
      <c r="F90" s="100"/>
      <c r="G90" s="15"/>
      <c r="H90" s="15"/>
      <c r="I90" s="15"/>
      <c r="K90" s="31"/>
      <c r="L90" s="100"/>
      <c r="M90" s="15"/>
      <c r="O90" s="31"/>
      <c r="P90" s="100"/>
      <c r="Q90" s="15"/>
    </row>
    <row r="91" spans="1:22">
      <c r="A91" s="345" t="s">
        <v>48</v>
      </c>
      <c r="B91" s="340"/>
      <c r="C91" s="4">
        <v>4264</v>
      </c>
      <c r="E91" s="14"/>
      <c r="F91" s="100"/>
      <c r="G91" s="15"/>
      <c r="H91" s="15"/>
      <c r="I91" s="15"/>
      <c r="K91" s="31"/>
      <c r="L91" s="100"/>
      <c r="M91" s="15"/>
      <c r="O91" s="31"/>
      <c r="P91" s="100"/>
      <c r="Q91" s="15"/>
    </row>
    <row r="92" spans="1:22">
      <c r="A92" s="345" t="s">
        <v>32</v>
      </c>
      <c r="B92" s="340"/>
      <c r="C92" s="4">
        <v>0</v>
      </c>
      <c r="E92" s="14">
        <v>-0.96</v>
      </c>
      <c r="F92" s="100"/>
      <c r="G92" s="15">
        <f>ROUND(E92*$C92,0)</f>
        <v>0</v>
      </c>
      <c r="H92" s="15"/>
      <c r="I92" s="15">
        <f t="shared" ref="I92:I95" si="24">SUM(G92:H92)</f>
        <v>0</v>
      </c>
      <c r="K92" s="31"/>
      <c r="L92" s="100"/>
      <c r="M92" s="15"/>
      <c r="O92" s="31"/>
      <c r="P92" s="100"/>
      <c r="Q92" s="15"/>
    </row>
    <row r="93" spans="1:22">
      <c r="A93" s="349" t="s">
        <v>87</v>
      </c>
      <c r="B93" s="350"/>
      <c r="C93" s="352">
        <v>10488</v>
      </c>
      <c r="D93" s="172"/>
      <c r="E93" s="353">
        <v>4.04</v>
      </c>
      <c r="F93" s="354"/>
      <c r="G93" s="15">
        <f t="shared" ref="G93:G95" si="25">ROUND(E93*$C93,0)</f>
        <v>42372</v>
      </c>
      <c r="H93" s="15"/>
      <c r="I93" s="15">
        <f t="shared" si="24"/>
        <v>42372</v>
      </c>
      <c r="K93" s="31"/>
      <c r="L93" s="100"/>
      <c r="M93" s="15"/>
      <c r="O93" s="31"/>
      <c r="P93" s="100"/>
      <c r="Q93" s="15"/>
    </row>
    <row r="94" spans="1:22">
      <c r="A94" s="349" t="s">
        <v>47</v>
      </c>
      <c r="B94" s="350"/>
      <c r="C94" s="352">
        <v>6224</v>
      </c>
      <c r="D94" s="172"/>
      <c r="E94" s="353">
        <v>14.62</v>
      </c>
      <c r="F94" s="354"/>
      <c r="G94" s="15">
        <f t="shared" si="25"/>
        <v>90995</v>
      </c>
      <c r="H94" s="15">
        <v>0</v>
      </c>
      <c r="I94" s="15">
        <f t="shared" si="24"/>
        <v>90995</v>
      </c>
      <c r="K94" s="103">
        <v>1.06E-2</v>
      </c>
      <c r="L94" s="100"/>
      <c r="M94" s="15">
        <f>$I94*K94</f>
        <v>964.54700000000003</v>
      </c>
      <c r="O94" s="31">
        <f>$T$78</f>
        <v>2.2499999999999999E-2</v>
      </c>
      <c r="P94" s="100"/>
      <c r="Q94" s="15">
        <f>$I94*O94</f>
        <v>2047.3874999999998</v>
      </c>
      <c r="U94" s="138">
        <f>I94*K94-M94</f>
        <v>0</v>
      </c>
      <c r="V94" s="139">
        <f>I94*O94-Q94</f>
        <v>0</v>
      </c>
    </row>
    <row r="95" spans="1:22">
      <c r="A95" s="349" t="s">
        <v>48</v>
      </c>
      <c r="B95" s="350"/>
      <c r="C95" s="352">
        <v>4264</v>
      </c>
      <c r="D95" s="172"/>
      <c r="E95" s="353">
        <v>10.91</v>
      </c>
      <c r="F95" s="354"/>
      <c r="G95" s="15">
        <f t="shared" si="25"/>
        <v>46520</v>
      </c>
      <c r="H95" s="15">
        <v>0</v>
      </c>
      <c r="I95" s="15">
        <f t="shared" si="24"/>
        <v>46520</v>
      </c>
      <c r="K95" s="103">
        <v>1.06E-2</v>
      </c>
      <c r="L95" s="100"/>
      <c r="M95" s="15">
        <f>$I95*K95</f>
        <v>493.11200000000002</v>
      </c>
      <c r="O95" s="31">
        <f>$T$78</f>
        <v>2.2499999999999999E-2</v>
      </c>
      <c r="P95" s="100"/>
      <c r="Q95" s="15">
        <f>$I95*O95</f>
        <v>1046.7</v>
      </c>
      <c r="U95" s="138">
        <f>I95*K95-M95</f>
        <v>0</v>
      </c>
      <c r="V95" s="139">
        <f>I95*O95-Q95</f>
        <v>0</v>
      </c>
    </row>
    <row r="96" spans="1:22">
      <c r="A96" s="345" t="s">
        <v>29</v>
      </c>
      <c r="B96" s="340"/>
      <c r="C96" s="4">
        <v>3907497</v>
      </c>
      <c r="E96" s="30"/>
      <c r="F96" s="102"/>
      <c r="G96" s="15"/>
      <c r="H96" s="15"/>
      <c r="I96" s="15"/>
      <c r="K96" s="31"/>
      <c r="L96" s="102"/>
      <c r="M96" s="15"/>
      <c r="O96" s="31"/>
      <c r="P96" s="102"/>
      <c r="Q96" s="15"/>
    </row>
    <row r="97" spans="1:22">
      <c r="A97" s="345" t="s">
        <v>40</v>
      </c>
      <c r="B97" s="340"/>
      <c r="C97" s="4">
        <v>1628123.75</v>
      </c>
      <c r="E97" s="30">
        <v>3.8127</v>
      </c>
      <c r="F97" s="102" t="s">
        <v>11</v>
      </c>
      <c r="G97" s="15">
        <f>ROUND(E97*$C97/100,0)</f>
        <v>62075</v>
      </c>
      <c r="H97" s="15">
        <v>0</v>
      </c>
      <c r="I97" s="15">
        <f t="shared" ref="I97:I100" si="26">SUM(G97:H97)</f>
        <v>62075</v>
      </c>
      <c r="K97" s="103">
        <v>1.06E-2</v>
      </c>
      <c r="L97" s="100"/>
      <c r="M97" s="15">
        <f>$I97*K97</f>
        <v>657.995</v>
      </c>
      <c r="O97" s="31">
        <f>$T$78</f>
        <v>2.2499999999999999E-2</v>
      </c>
      <c r="P97" s="100"/>
      <c r="Q97" s="15">
        <f>$I97*O97</f>
        <v>1396.6875</v>
      </c>
      <c r="U97" s="138">
        <f>I97*K97-M97</f>
        <v>0</v>
      </c>
      <c r="V97" s="139">
        <f>I97*O97-Q97</f>
        <v>0</v>
      </c>
    </row>
    <row r="98" spans="1:22">
      <c r="A98" s="345" t="s">
        <v>41</v>
      </c>
      <c r="B98" s="340"/>
      <c r="C98" s="4">
        <v>2279373.25</v>
      </c>
      <c r="E98" s="30">
        <v>3.5143</v>
      </c>
      <c r="F98" s="102" t="s">
        <v>11</v>
      </c>
      <c r="G98" s="15">
        <f>ROUND(E98*$C98/100,0)</f>
        <v>80104</v>
      </c>
      <c r="H98" s="15">
        <v>0</v>
      </c>
      <c r="I98" s="15">
        <f t="shared" si="26"/>
        <v>80104</v>
      </c>
      <c r="K98" s="103">
        <v>1.06E-2</v>
      </c>
      <c r="L98" s="100"/>
      <c r="M98" s="15">
        <f>$I98*K98</f>
        <v>849.10239999999999</v>
      </c>
      <c r="O98" s="31">
        <f>$T$78</f>
        <v>2.2499999999999999E-2</v>
      </c>
      <c r="P98" s="100"/>
      <c r="Q98" s="15">
        <f>$I98*O98</f>
        <v>1802.34</v>
      </c>
      <c r="U98" s="138">
        <f>I98*K98-M98</f>
        <v>0</v>
      </c>
      <c r="V98" s="139">
        <f>I98*O98-Q98</f>
        <v>0</v>
      </c>
    </row>
    <row r="99" spans="1:22">
      <c r="A99" s="345" t="s">
        <v>37</v>
      </c>
      <c r="B99" s="340"/>
      <c r="C99" s="4">
        <v>0</v>
      </c>
      <c r="D99" s="20"/>
      <c r="E99" s="14">
        <v>648</v>
      </c>
      <c r="F99" s="100"/>
      <c r="G99" s="15">
        <f>ROUND(E99*$C99,0)</f>
        <v>0</v>
      </c>
      <c r="H99" s="15"/>
      <c r="I99" s="15">
        <f t="shared" si="26"/>
        <v>0</v>
      </c>
      <c r="K99" s="31"/>
      <c r="L99" s="100"/>
      <c r="M99" s="15"/>
      <c r="O99" s="31"/>
      <c r="P99" s="100"/>
      <c r="Q99" s="15"/>
    </row>
    <row r="100" spans="1:22">
      <c r="A100" s="345" t="s">
        <v>24</v>
      </c>
      <c r="B100" s="340"/>
      <c r="C100" s="23">
        <v>0</v>
      </c>
      <c r="G100" s="24">
        <v>0</v>
      </c>
      <c r="H100" s="24"/>
      <c r="I100" s="24">
        <f t="shared" si="26"/>
        <v>0</v>
      </c>
      <c r="M100" s="24"/>
      <c r="Q100" s="24"/>
    </row>
    <row r="101" spans="1:22" ht="16" thickBot="1">
      <c r="A101" s="345" t="s">
        <v>25</v>
      </c>
      <c r="B101" s="340"/>
      <c r="C101" s="29">
        <v>3907497</v>
      </c>
      <c r="E101" s="174"/>
      <c r="G101" s="28">
        <f>SUM(G89:G100)</f>
        <v>345718</v>
      </c>
      <c r="H101" s="28">
        <f>SUM(H89:H100)</f>
        <v>0</v>
      </c>
      <c r="I101" s="28">
        <f>SUM(I89:I100)</f>
        <v>345718</v>
      </c>
      <c r="K101" s="113"/>
      <c r="M101" s="28">
        <f>SUM(M89:M100)</f>
        <v>2964.7564000000002</v>
      </c>
      <c r="O101" s="113"/>
      <c r="Q101" s="28">
        <f>SUM(Q89:Q100)</f>
        <v>6293.1149999999998</v>
      </c>
    </row>
    <row r="102" spans="1:22" ht="16" thickTop="1">
      <c r="C102" s="4"/>
      <c r="G102" s="92"/>
      <c r="H102" s="92"/>
      <c r="I102" s="92"/>
    </row>
    <row r="103" spans="1:22">
      <c r="A103" s="344" t="s">
        <v>49</v>
      </c>
      <c r="B103" s="340"/>
      <c r="C103" s="4"/>
      <c r="E103" s="30"/>
      <c r="F103" s="115"/>
      <c r="G103" s="92"/>
      <c r="H103" s="92"/>
      <c r="I103" s="92"/>
      <c r="K103" s="31"/>
      <c r="O103" s="31"/>
    </row>
    <row r="104" spans="1:22">
      <c r="A104" s="345" t="s">
        <v>7</v>
      </c>
      <c r="B104" s="340"/>
      <c r="C104" s="4">
        <v>27307</v>
      </c>
      <c r="E104" s="14">
        <v>54</v>
      </c>
      <c r="F104" s="100"/>
      <c r="G104" s="15">
        <f>ROUND(E104*$C104,0)</f>
        <v>1474578</v>
      </c>
      <c r="H104" s="15"/>
      <c r="I104" s="15">
        <f t="shared" ref="I104:I112" si="27">SUM(G104:H104)</f>
        <v>1474578</v>
      </c>
      <c r="K104" s="31"/>
      <c r="L104" s="100"/>
      <c r="M104" s="15"/>
      <c r="O104" s="31"/>
      <c r="P104" s="100"/>
      <c r="Q104" s="15"/>
      <c r="S104" s="70" t="s">
        <v>14</v>
      </c>
      <c r="T104" s="17">
        <f>Q113</f>
        <v>653919.06304799998</v>
      </c>
      <c r="U104" s="138"/>
      <c r="V104" s="139"/>
    </row>
    <row r="105" spans="1:22">
      <c r="A105" s="345" t="s">
        <v>50</v>
      </c>
      <c r="B105" s="340"/>
      <c r="C105" s="4">
        <v>918610</v>
      </c>
      <c r="D105" s="20"/>
      <c r="E105" s="14">
        <v>6.52</v>
      </c>
      <c r="F105" s="100"/>
      <c r="G105" s="15">
        <f>ROUND(E105*$C105,0)</f>
        <v>5989337</v>
      </c>
      <c r="H105" s="15"/>
      <c r="I105" s="15">
        <f t="shared" si="27"/>
        <v>5989337</v>
      </c>
      <c r="K105" s="31"/>
      <c r="L105" s="100"/>
      <c r="M105" s="15"/>
      <c r="O105" s="31"/>
      <c r="P105" s="100"/>
      <c r="Q105" s="15"/>
      <c r="S105" s="71" t="s">
        <v>16</v>
      </c>
      <c r="T105" s="18">
        <f>'Exhibit-RMP(RMM-1) page 2'!K21*1000</f>
        <v>653302.67985244642</v>
      </c>
      <c r="U105" s="138"/>
      <c r="V105" s="139"/>
    </row>
    <row r="106" spans="1:22">
      <c r="A106" s="345" t="s">
        <v>51</v>
      </c>
      <c r="B106" s="340"/>
      <c r="C106" s="4">
        <v>1059783</v>
      </c>
      <c r="D106" s="20"/>
      <c r="E106" s="14">
        <v>5.47</v>
      </c>
      <c r="F106" s="100"/>
      <c r="G106" s="15">
        <f>ROUND(E106*$C106,0)</f>
        <v>5797013</v>
      </c>
      <c r="H106" s="15"/>
      <c r="I106" s="15">
        <f t="shared" si="27"/>
        <v>5797013</v>
      </c>
      <c r="K106" s="31"/>
      <c r="L106" s="100"/>
      <c r="M106" s="15"/>
      <c r="O106" s="31"/>
      <c r="P106" s="100"/>
      <c r="Q106" s="15"/>
      <c r="S106" s="72" t="s">
        <v>18</v>
      </c>
      <c r="T106" s="19">
        <f>T105-T104</f>
        <v>-616.38319555355702</v>
      </c>
      <c r="U106" s="138"/>
      <c r="V106" s="139"/>
    </row>
    <row r="107" spans="1:22">
      <c r="A107" s="345" t="s">
        <v>32</v>
      </c>
      <c r="B107" s="340"/>
      <c r="C107" s="4">
        <v>39296</v>
      </c>
      <c r="D107" s="20"/>
      <c r="E107" s="14">
        <v>-0.61</v>
      </c>
      <c r="F107" s="100"/>
      <c r="G107" s="15">
        <f>ROUND(E107*$C107,0)</f>
        <v>-23971</v>
      </c>
      <c r="H107" s="15"/>
      <c r="I107" s="15">
        <f t="shared" si="27"/>
        <v>-23971</v>
      </c>
      <c r="K107" s="31"/>
      <c r="L107" s="100"/>
      <c r="M107" s="15"/>
      <c r="O107" s="31"/>
      <c r="P107" s="100"/>
      <c r="Q107" s="15"/>
      <c r="S107" s="75" t="s">
        <v>21</v>
      </c>
      <c r="T107" s="76">
        <f>ROUND(T105/SUM(I108:I111),$T$12)</f>
        <v>3.4200000000000001E-2</v>
      </c>
      <c r="U107" s="138"/>
      <c r="V107" s="139"/>
    </row>
    <row r="108" spans="1:22">
      <c r="A108" s="345" t="s">
        <v>27</v>
      </c>
      <c r="B108" s="340"/>
      <c r="C108" s="4">
        <v>62251233</v>
      </c>
      <c r="D108" s="20"/>
      <c r="E108" s="112">
        <v>11.926600000000001</v>
      </c>
      <c r="F108" s="102" t="s">
        <v>11</v>
      </c>
      <c r="G108" s="15">
        <f t="shared" ref="G108:G111" si="28">ROUND(E108*$C108/100,0)</f>
        <v>7424456</v>
      </c>
      <c r="H108" s="15">
        <f>-ROUND(G108/SUM($G$108:$G$111)*'Sch73 Adj'!$D$6,0)</f>
        <v>-661433</v>
      </c>
      <c r="I108" s="15">
        <f t="shared" si="27"/>
        <v>6763023</v>
      </c>
      <c r="K108" s="103">
        <v>1.61E-2</v>
      </c>
      <c r="L108" s="102"/>
      <c r="M108" s="15">
        <f>$I108*K108</f>
        <v>108884.6703</v>
      </c>
      <c r="O108" s="31">
        <f>$T$107</f>
        <v>3.4200000000000001E-2</v>
      </c>
      <c r="P108" s="102"/>
      <c r="Q108" s="15">
        <f>$I108*O108</f>
        <v>231295.3866</v>
      </c>
      <c r="U108" s="138">
        <f>I108*K108-M108</f>
        <v>0</v>
      </c>
      <c r="V108" s="139">
        <f>I108*O108-Q108</f>
        <v>0</v>
      </c>
    </row>
    <row r="109" spans="1:22">
      <c r="A109" s="345" t="s">
        <v>28</v>
      </c>
      <c r="B109" s="340"/>
      <c r="C109" s="4">
        <v>59556790.452555798</v>
      </c>
      <c r="D109" s="20"/>
      <c r="E109" s="112">
        <v>3.5908000000000002</v>
      </c>
      <c r="F109" s="102" t="s">
        <v>11</v>
      </c>
      <c r="G109" s="15">
        <f t="shared" si="28"/>
        <v>2138565</v>
      </c>
      <c r="H109" s="15">
        <f>-ROUND(G109/SUM($G$108:$G$111)*'Sch73 Adj'!$D$6,0)</f>
        <v>-190521</v>
      </c>
      <c r="I109" s="15">
        <f t="shared" si="27"/>
        <v>1948044</v>
      </c>
      <c r="K109" s="103">
        <v>1.61E-2</v>
      </c>
      <c r="L109" s="102"/>
      <c r="M109" s="15">
        <f>$I109*K109</f>
        <v>31363.508399999999</v>
      </c>
      <c r="O109" s="31">
        <f>$T$107</f>
        <v>3.4200000000000001E-2</v>
      </c>
      <c r="P109" s="102"/>
      <c r="Q109" s="15">
        <f>$I109*O109</f>
        <v>66623.104800000001</v>
      </c>
      <c r="U109" s="138">
        <f>I109*K109-M109</f>
        <v>0</v>
      </c>
      <c r="V109" s="139">
        <f>I109*O109-Q109</f>
        <v>0</v>
      </c>
    </row>
    <row r="110" spans="1:22">
      <c r="A110" s="345" t="s">
        <v>52</v>
      </c>
      <c r="B110" s="340"/>
      <c r="C110" s="4">
        <v>90625426</v>
      </c>
      <c r="D110" s="20"/>
      <c r="E110" s="112">
        <v>9.9693000000000005</v>
      </c>
      <c r="F110" s="102" t="s">
        <v>11</v>
      </c>
      <c r="G110" s="15">
        <f t="shared" si="28"/>
        <v>9034721</v>
      </c>
      <c r="H110" s="15">
        <f>-ROUND(G110/SUM($G$108:$G$111)*'Sch73 Adj'!$D$6,0)</f>
        <v>-804889</v>
      </c>
      <c r="I110" s="15">
        <f t="shared" si="27"/>
        <v>8229832</v>
      </c>
      <c r="K110" s="103">
        <v>1.61E-2</v>
      </c>
      <c r="L110" s="102"/>
      <c r="M110" s="15">
        <f>$I110*K110</f>
        <v>132500.29519999999</v>
      </c>
      <c r="O110" s="31">
        <f>$T$107</f>
        <v>3.4200000000000001E-2</v>
      </c>
      <c r="P110" s="102"/>
      <c r="Q110" s="15">
        <f>$I110*O110</f>
        <v>281460.25440000003</v>
      </c>
      <c r="U110" s="138">
        <f>I110*K110-M110</f>
        <v>0</v>
      </c>
      <c r="V110" s="139">
        <f>I110*O110-Q110</f>
        <v>0</v>
      </c>
    </row>
    <row r="111" spans="1:22">
      <c r="A111" s="345" t="s">
        <v>53</v>
      </c>
      <c r="B111" s="340"/>
      <c r="C111" s="4">
        <v>79597650.39760986</v>
      </c>
      <c r="D111" s="20"/>
      <c r="E111" s="112">
        <v>3.0059999999999998</v>
      </c>
      <c r="F111" s="102" t="s">
        <v>11</v>
      </c>
      <c r="G111" s="15">
        <f t="shared" si="28"/>
        <v>2392705</v>
      </c>
      <c r="H111" s="15">
        <f>-'Sch73 Adj'!D6-SUM('Exhibit-RMP(RMM-2)'!H108:H110)</f>
        <v>-213163.56000000006</v>
      </c>
      <c r="I111" s="15">
        <f t="shared" si="27"/>
        <v>2179541.44</v>
      </c>
      <c r="K111" s="103">
        <v>1.61E-2</v>
      </c>
      <c r="L111" s="102"/>
      <c r="M111" s="15">
        <f>$I111*K111</f>
        <v>35090.617183999995</v>
      </c>
      <c r="O111" s="31">
        <f>$T$107</f>
        <v>3.4200000000000001E-2</v>
      </c>
      <c r="P111" s="102"/>
      <c r="Q111" s="15">
        <f>$I111*O111</f>
        <v>74540.317248000007</v>
      </c>
      <c r="U111" s="138">
        <f>I111*K111-M111</f>
        <v>0</v>
      </c>
      <c r="V111" s="139">
        <f>I111*O111-Q111</f>
        <v>0</v>
      </c>
    </row>
    <row r="112" spans="1:22">
      <c r="A112" s="345" t="s">
        <v>24</v>
      </c>
      <c r="B112" s="340"/>
      <c r="C112" s="23">
        <v>0</v>
      </c>
      <c r="G112" s="24">
        <v>0</v>
      </c>
      <c r="H112" s="24"/>
      <c r="I112" s="24">
        <f t="shared" si="27"/>
        <v>0</v>
      </c>
      <c r="M112" s="24"/>
      <c r="Q112" s="24"/>
    </row>
    <row r="113" spans="1:22" ht="16" thickBot="1">
      <c r="A113" s="345" t="s">
        <v>25</v>
      </c>
      <c r="B113" s="340"/>
      <c r="C113" s="29">
        <v>292031099.85016567</v>
      </c>
      <c r="E113" s="174"/>
      <c r="G113" s="28">
        <f>SUM(G104:G112)</f>
        <v>34227404</v>
      </c>
      <c r="H113" s="28">
        <f>SUM(H104:H112)</f>
        <v>-1870006.56</v>
      </c>
      <c r="I113" s="28">
        <f>SUM(I104:I112)</f>
        <v>32357397.440000001</v>
      </c>
      <c r="K113" s="113"/>
      <c r="M113" s="28">
        <f>SUM(M104:M112)</f>
        <v>307839.09108399996</v>
      </c>
      <c r="O113" s="113"/>
      <c r="Q113" s="28">
        <f>SUM(Q104:Q112)</f>
        <v>653919.06304799998</v>
      </c>
    </row>
    <row r="114" spans="1:22" ht="16" thickTop="1">
      <c r="A114" s="160"/>
      <c r="B114" s="340"/>
      <c r="C114" s="4"/>
      <c r="G114" s="92"/>
      <c r="H114" s="92"/>
      <c r="I114" s="92"/>
      <c r="K114" s="108"/>
      <c r="L114" s="109"/>
      <c r="O114" s="108"/>
      <c r="P114" s="109"/>
    </row>
    <row r="115" spans="1:22">
      <c r="A115" s="344" t="s">
        <v>427</v>
      </c>
      <c r="B115" s="340"/>
      <c r="C115" s="4"/>
      <c r="G115" s="92"/>
      <c r="H115" s="92"/>
      <c r="I115" s="92"/>
    </row>
    <row r="116" spans="1:22">
      <c r="A116" s="349" t="s">
        <v>54</v>
      </c>
      <c r="B116" s="340"/>
      <c r="C116" s="4"/>
      <c r="G116" s="15"/>
      <c r="H116" s="15"/>
      <c r="I116" s="15"/>
      <c r="M116" s="15"/>
      <c r="Q116" s="15"/>
    </row>
    <row r="117" spans="1:22">
      <c r="A117" s="345" t="s">
        <v>55</v>
      </c>
      <c r="B117" s="340">
        <v>29</v>
      </c>
      <c r="C117" s="4">
        <v>24</v>
      </c>
      <c r="E117" s="14">
        <v>5.68</v>
      </c>
      <c r="F117" s="100"/>
      <c r="G117" s="15">
        <f t="shared" ref="G117:G120" si="29">ROUND(E117*$C117,0)</f>
        <v>136</v>
      </c>
      <c r="H117" s="15">
        <v>0</v>
      </c>
      <c r="I117" s="15">
        <f t="shared" ref="I117:I120" si="30">SUM(G117:H117)</f>
        <v>136</v>
      </c>
      <c r="K117" s="103">
        <v>5.0000000000000001E-3</v>
      </c>
      <c r="L117" s="100"/>
      <c r="M117" s="15">
        <f>$I117*K117</f>
        <v>0.68</v>
      </c>
      <c r="O117" s="31">
        <f>$T$121</f>
        <v>1.06E-2</v>
      </c>
      <c r="P117" s="100"/>
      <c r="Q117" s="15">
        <f>$I117*O117</f>
        <v>1.4416</v>
      </c>
      <c r="S117" s="81" t="s">
        <v>289</v>
      </c>
      <c r="T117" s="77"/>
      <c r="U117" s="138">
        <f>I117*K117-M117</f>
        <v>0</v>
      </c>
      <c r="V117" s="139">
        <f>I117*O117-Q117</f>
        <v>0</v>
      </c>
    </row>
    <row r="118" spans="1:22">
      <c r="A118" s="345" t="s">
        <v>56</v>
      </c>
      <c r="B118" s="340">
        <v>1</v>
      </c>
      <c r="C118" s="4">
        <v>45001</v>
      </c>
      <c r="E118" s="14">
        <v>16.38</v>
      </c>
      <c r="F118" s="100"/>
      <c r="G118" s="15">
        <f t="shared" si="29"/>
        <v>737116</v>
      </c>
      <c r="H118" s="15">
        <v>0</v>
      </c>
      <c r="I118" s="15">
        <f t="shared" si="30"/>
        <v>737116</v>
      </c>
      <c r="K118" s="103">
        <v>5.0000000000000001E-3</v>
      </c>
      <c r="L118" s="100"/>
      <c r="M118" s="15">
        <f>$I118*K118</f>
        <v>3685.58</v>
      </c>
      <c r="O118" s="31">
        <f>$T$121</f>
        <v>1.06E-2</v>
      </c>
      <c r="P118" s="100"/>
      <c r="Q118" s="15">
        <f>$I118*O118</f>
        <v>7813.4296000000004</v>
      </c>
      <c r="S118" s="71" t="s">
        <v>14</v>
      </c>
      <c r="T118" s="18">
        <f>Q153+Q268+Q351</f>
        <v>128507.16020000001</v>
      </c>
      <c r="U118" s="138">
        <f>I118*K118-M118</f>
        <v>0</v>
      </c>
      <c r="V118" s="139">
        <f>I118*O118-Q118</f>
        <v>0</v>
      </c>
    </row>
    <row r="119" spans="1:22">
      <c r="A119" s="345" t="s">
        <v>57</v>
      </c>
      <c r="B119" s="340">
        <v>28</v>
      </c>
      <c r="C119" s="4">
        <v>0</v>
      </c>
      <c r="E119" s="14">
        <v>8.0500000000000007</v>
      </c>
      <c r="F119" s="100"/>
      <c r="G119" s="15">
        <f t="shared" si="29"/>
        <v>0</v>
      </c>
      <c r="H119" s="15">
        <v>0</v>
      </c>
      <c r="I119" s="15">
        <f t="shared" si="30"/>
        <v>0</v>
      </c>
      <c r="K119" s="103">
        <v>5.0000000000000001E-3</v>
      </c>
      <c r="L119" s="100"/>
      <c r="M119" s="15">
        <f>$I119*K119</f>
        <v>0</v>
      </c>
      <c r="O119" s="31">
        <f>$T$121</f>
        <v>1.06E-2</v>
      </c>
      <c r="P119" s="100"/>
      <c r="Q119" s="15">
        <f>$I119*O119</f>
        <v>0</v>
      </c>
      <c r="S119" s="71" t="s">
        <v>16</v>
      </c>
      <c r="T119" s="18">
        <f>SUM('Exhibit-RMP(RMM-1) page 2'!K40:K42)*1000</f>
        <v>128872.67539818205</v>
      </c>
      <c r="U119" s="138">
        <f>I119*K119-M119</f>
        <v>0</v>
      </c>
      <c r="V119" s="139">
        <f>I119*O119-Q119</f>
        <v>0</v>
      </c>
    </row>
    <row r="120" spans="1:22">
      <c r="A120" s="345" t="s">
        <v>58</v>
      </c>
      <c r="B120" s="340">
        <v>2</v>
      </c>
      <c r="C120" s="4">
        <v>10830</v>
      </c>
      <c r="E120" s="14">
        <v>26.78</v>
      </c>
      <c r="F120" s="100"/>
      <c r="G120" s="15">
        <f t="shared" si="29"/>
        <v>290027</v>
      </c>
      <c r="H120" s="15">
        <v>0</v>
      </c>
      <c r="I120" s="15">
        <f t="shared" si="30"/>
        <v>290027</v>
      </c>
      <c r="K120" s="103">
        <v>5.0000000000000001E-3</v>
      </c>
      <c r="L120" s="100"/>
      <c r="M120" s="15">
        <f>$I120*K120</f>
        <v>1450.135</v>
      </c>
      <c r="O120" s="31">
        <f>$T$121</f>
        <v>1.06E-2</v>
      </c>
      <c r="P120" s="100"/>
      <c r="Q120" s="15">
        <f>$I120*O120</f>
        <v>3074.2862</v>
      </c>
      <c r="S120" s="72" t="s">
        <v>18</v>
      </c>
      <c r="T120" s="19">
        <f>T119-T118</f>
        <v>365.51519818203815</v>
      </c>
      <c r="U120" s="138">
        <f>I120*K120-M120</f>
        <v>0</v>
      </c>
      <c r="V120" s="139">
        <f>I120*O120-Q120</f>
        <v>0</v>
      </c>
    </row>
    <row r="121" spans="1:22">
      <c r="A121" s="349" t="s">
        <v>59</v>
      </c>
      <c r="B121" s="340"/>
      <c r="C121" s="4"/>
      <c r="G121" s="15"/>
      <c r="H121" s="15"/>
      <c r="I121" s="15"/>
      <c r="K121" s="31"/>
      <c r="L121" s="100"/>
      <c r="M121" s="15"/>
      <c r="O121" s="31"/>
      <c r="P121" s="100"/>
      <c r="Q121" s="15"/>
      <c r="S121" s="75" t="s">
        <v>21</v>
      </c>
      <c r="T121" s="76">
        <f>ROUND(T119/SUM(I149,I264,I348),$T$12)</f>
        <v>1.06E-2</v>
      </c>
      <c r="U121" s="138"/>
      <c r="V121" s="139"/>
    </row>
    <row r="122" spans="1:22">
      <c r="A122" s="345" t="s">
        <v>60</v>
      </c>
      <c r="B122" s="340">
        <v>3</v>
      </c>
      <c r="C122" s="4">
        <v>3563</v>
      </c>
      <c r="E122" s="14">
        <v>14.6</v>
      </c>
      <c r="F122" s="100"/>
      <c r="G122" s="15">
        <f t="shared" ref="G122:G132" si="31">ROUND(E122*$C122,0)</f>
        <v>52020</v>
      </c>
      <c r="H122" s="15">
        <v>0</v>
      </c>
      <c r="I122" s="15">
        <f t="shared" ref="I122:I132" si="32">SUM(G122:H122)</f>
        <v>52020</v>
      </c>
      <c r="K122" s="103">
        <v>5.0000000000000001E-3</v>
      </c>
      <c r="L122" s="100"/>
      <c r="M122" s="15">
        <f t="shared" ref="M122:M132" si="33">$I122*K122</f>
        <v>260.10000000000002</v>
      </c>
      <c r="O122" s="31">
        <f t="shared" ref="O122:O132" si="34">$T$121</f>
        <v>1.06E-2</v>
      </c>
      <c r="P122" s="100"/>
      <c r="Q122" s="15">
        <f t="shared" ref="Q122:Q132" si="35">$I122*O122</f>
        <v>551.41200000000003</v>
      </c>
      <c r="U122" s="138">
        <f t="shared" ref="U122:U132" si="36">I122*K122-M122</f>
        <v>0</v>
      </c>
      <c r="V122" s="139">
        <f t="shared" ref="V122:V132" si="37">I122*O122-Q122</f>
        <v>0</v>
      </c>
    </row>
    <row r="123" spans="1:22">
      <c r="A123" s="345" t="s">
        <v>61</v>
      </c>
      <c r="B123" s="340">
        <v>4</v>
      </c>
      <c r="C123" s="4">
        <v>1746</v>
      </c>
      <c r="E123" s="14">
        <v>12.23</v>
      </c>
      <c r="F123" s="100"/>
      <c r="G123" s="15">
        <f t="shared" si="31"/>
        <v>21354</v>
      </c>
      <c r="H123" s="15">
        <v>0</v>
      </c>
      <c r="I123" s="15">
        <f t="shared" si="32"/>
        <v>21354</v>
      </c>
      <c r="K123" s="103">
        <v>5.0000000000000001E-3</v>
      </c>
      <c r="L123" s="100"/>
      <c r="M123" s="15">
        <f t="shared" si="33"/>
        <v>106.77</v>
      </c>
      <c r="O123" s="31">
        <f t="shared" si="34"/>
        <v>1.06E-2</v>
      </c>
      <c r="P123" s="100"/>
      <c r="Q123" s="15">
        <f t="shared" si="35"/>
        <v>226.35239999999999</v>
      </c>
      <c r="U123" s="138">
        <f t="shared" si="36"/>
        <v>0</v>
      </c>
      <c r="V123" s="139">
        <f t="shared" si="37"/>
        <v>0</v>
      </c>
    </row>
    <row r="124" spans="1:22">
      <c r="A124" s="345" t="s">
        <v>62</v>
      </c>
      <c r="B124" s="340">
        <v>5</v>
      </c>
      <c r="C124" s="4">
        <v>23403</v>
      </c>
      <c r="E124" s="14">
        <v>15.47</v>
      </c>
      <c r="F124" s="100"/>
      <c r="G124" s="15">
        <f t="shared" si="31"/>
        <v>362044</v>
      </c>
      <c r="H124" s="15">
        <v>0</v>
      </c>
      <c r="I124" s="15">
        <f t="shared" si="32"/>
        <v>362044</v>
      </c>
      <c r="K124" s="103">
        <v>5.0000000000000001E-3</v>
      </c>
      <c r="L124" s="100"/>
      <c r="M124" s="15">
        <f t="shared" si="33"/>
        <v>1810.22</v>
      </c>
      <c r="O124" s="31">
        <f t="shared" si="34"/>
        <v>1.06E-2</v>
      </c>
      <c r="P124" s="100"/>
      <c r="Q124" s="15">
        <f t="shared" si="35"/>
        <v>3837.6664000000001</v>
      </c>
      <c r="U124" s="138">
        <f t="shared" si="36"/>
        <v>0</v>
      </c>
      <c r="V124" s="139">
        <f t="shared" si="37"/>
        <v>0</v>
      </c>
    </row>
    <row r="125" spans="1:22">
      <c r="A125" s="345" t="s">
        <v>63</v>
      </c>
      <c r="B125" s="340">
        <v>6</v>
      </c>
      <c r="C125" s="4">
        <v>23123</v>
      </c>
      <c r="E125" s="14">
        <v>13.31</v>
      </c>
      <c r="F125" s="100"/>
      <c r="G125" s="15">
        <f t="shared" si="31"/>
        <v>307767</v>
      </c>
      <c r="H125" s="15">
        <v>0</v>
      </c>
      <c r="I125" s="15">
        <f t="shared" si="32"/>
        <v>307767</v>
      </c>
      <c r="K125" s="103">
        <v>5.0000000000000001E-3</v>
      </c>
      <c r="L125" s="100"/>
      <c r="M125" s="15">
        <f t="shared" si="33"/>
        <v>1538.835</v>
      </c>
      <c r="O125" s="31">
        <f t="shared" si="34"/>
        <v>1.06E-2</v>
      </c>
      <c r="P125" s="100"/>
      <c r="Q125" s="15">
        <f t="shared" si="35"/>
        <v>3262.3301999999999</v>
      </c>
      <c r="U125" s="138">
        <f t="shared" si="36"/>
        <v>0</v>
      </c>
      <c r="V125" s="139">
        <f t="shared" si="37"/>
        <v>0</v>
      </c>
    </row>
    <row r="126" spans="1:22">
      <c r="A126" s="345" t="s">
        <v>64</v>
      </c>
      <c r="B126" s="340">
        <v>7</v>
      </c>
      <c r="C126" s="4">
        <v>2646</v>
      </c>
      <c r="E126" s="14">
        <v>19.46</v>
      </c>
      <c r="F126" s="100"/>
      <c r="G126" s="15">
        <f t="shared" si="31"/>
        <v>51491</v>
      </c>
      <c r="H126" s="15">
        <v>0</v>
      </c>
      <c r="I126" s="15">
        <f t="shared" si="32"/>
        <v>51491</v>
      </c>
      <c r="K126" s="103">
        <v>5.0000000000000001E-3</v>
      </c>
      <c r="L126" s="100"/>
      <c r="M126" s="15">
        <f t="shared" si="33"/>
        <v>257.45499999999998</v>
      </c>
      <c r="O126" s="31">
        <f t="shared" si="34"/>
        <v>1.06E-2</v>
      </c>
      <c r="P126" s="100"/>
      <c r="Q126" s="15">
        <f t="shared" si="35"/>
        <v>545.80460000000005</v>
      </c>
      <c r="U126" s="138">
        <f t="shared" si="36"/>
        <v>0</v>
      </c>
      <c r="V126" s="139">
        <f t="shared" si="37"/>
        <v>0</v>
      </c>
    </row>
    <row r="127" spans="1:22">
      <c r="A127" s="345" t="s">
        <v>65</v>
      </c>
      <c r="B127" s="340">
        <v>8</v>
      </c>
      <c r="C127" s="4">
        <v>2564</v>
      </c>
      <c r="E127" s="14">
        <v>17.13</v>
      </c>
      <c r="F127" s="100"/>
      <c r="G127" s="15">
        <f t="shared" si="31"/>
        <v>43921</v>
      </c>
      <c r="H127" s="15">
        <v>0</v>
      </c>
      <c r="I127" s="15">
        <f t="shared" si="32"/>
        <v>43921</v>
      </c>
      <c r="K127" s="103">
        <v>5.0000000000000001E-3</v>
      </c>
      <c r="L127" s="100"/>
      <c r="M127" s="15">
        <f t="shared" si="33"/>
        <v>219.60500000000002</v>
      </c>
      <c r="O127" s="31">
        <f t="shared" si="34"/>
        <v>1.06E-2</v>
      </c>
      <c r="P127" s="100"/>
      <c r="Q127" s="15">
        <f t="shared" si="35"/>
        <v>465.56259999999997</v>
      </c>
      <c r="U127" s="138">
        <f t="shared" si="36"/>
        <v>0</v>
      </c>
      <c r="V127" s="139">
        <f t="shared" si="37"/>
        <v>0</v>
      </c>
    </row>
    <row r="128" spans="1:22">
      <c r="A128" s="345" t="s">
        <v>66</v>
      </c>
      <c r="B128" s="340">
        <v>9</v>
      </c>
      <c r="C128" s="4">
        <v>114</v>
      </c>
      <c r="E128" s="14">
        <v>21.07</v>
      </c>
      <c r="F128" s="100"/>
      <c r="G128" s="15">
        <f t="shared" si="31"/>
        <v>2402</v>
      </c>
      <c r="H128" s="15">
        <v>0</v>
      </c>
      <c r="I128" s="15">
        <f t="shared" si="32"/>
        <v>2402</v>
      </c>
      <c r="K128" s="103">
        <v>5.0000000000000001E-3</v>
      </c>
      <c r="L128" s="100"/>
      <c r="M128" s="15">
        <f t="shared" si="33"/>
        <v>12.01</v>
      </c>
      <c r="O128" s="31">
        <f t="shared" si="34"/>
        <v>1.06E-2</v>
      </c>
      <c r="P128" s="100"/>
      <c r="Q128" s="15">
        <f t="shared" si="35"/>
        <v>25.461200000000002</v>
      </c>
      <c r="U128" s="138">
        <f t="shared" si="36"/>
        <v>0</v>
      </c>
      <c r="V128" s="139">
        <f t="shared" si="37"/>
        <v>0</v>
      </c>
    </row>
    <row r="129" spans="1:22">
      <c r="A129" s="345" t="s">
        <v>67</v>
      </c>
      <c r="B129" s="340">
        <v>10</v>
      </c>
      <c r="C129" s="4">
        <v>3134</v>
      </c>
      <c r="E129" s="14">
        <v>23.51</v>
      </c>
      <c r="F129" s="100"/>
      <c r="G129" s="15">
        <f t="shared" si="31"/>
        <v>73680</v>
      </c>
      <c r="H129" s="15">
        <v>0</v>
      </c>
      <c r="I129" s="15">
        <f t="shared" si="32"/>
        <v>73680</v>
      </c>
      <c r="K129" s="103">
        <v>5.0000000000000001E-3</v>
      </c>
      <c r="L129" s="100"/>
      <c r="M129" s="15">
        <f t="shared" si="33"/>
        <v>368.40000000000003</v>
      </c>
      <c r="O129" s="31">
        <f t="shared" si="34"/>
        <v>1.06E-2</v>
      </c>
      <c r="P129" s="100"/>
      <c r="Q129" s="15">
        <f t="shared" si="35"/>
        <v>781.00800000000004</v>
      </c>
      <c r="U129" s="138">
        <f t="shared" si="36"/>
        <v>0</v>
      </c>
      <c r="V129" s="139">
        <f t="shared" si="37"/>
        <v>0</v>
      </c>
    </row>
    <row r="130" spans="1:22">
      <c r="A130" s="345" t="s">
        <v>68</v>
      </c>
      <c r="B130" s="340">
        <v>11</v>
      </c>
      <c r="C130" s="4">
        <v>4178</v>
      </c>
      <c r="E130" s="14">
        <v>21.23</v>
      </c>
      <c r="F130" s="100"/>
      <c r="G130" s="15">
        <f t="shared" si="31"/>
        <v>88699</v>
      </c>
      <c r="H130" s="15">
        <v>0</v>
      </c>
      <c r="I130" s="15">
        <f t="shared" si="32"/>
        <v>88699</v>
      </c>
      <c r="K130" s="103">
        <v>5.0000000000000001E-3</v>
      </c>
      <c r="L130" s="100"/>
      <c r="M130" s="15">
        <f t="shared" si="33"/>
        <v>443.495</v>
      </c>
      <c r="O130" s="31">
        <f t="shared" si="34"/>
        <v>1.06E-2</v>
      </c>
      <c r="P130" s="100"/>
      <c r="Q130" s="15">
        <f t="shared" si="35"/>
        <v>940.20939999999996</v>
      </c>
      <c r="U130" s="138">
        <f t="shared" si="36"/>
        <v>0</v>
      </c>
      <c r="V130" s="139">
        <f t="shared" si="37"/>
        <v>0</v>
      </c>
    </row>
    <row r="131" spans="1:22">
      <c r="A131" s="345" t="s">
        <v>69</v>
      </c>
      <c r="B131" s="340">
        <v>12</v>
      </c>
      <c r="C131" s="4">
        <v>1248</v>
      </c>
      <c r="E131" s="14">
        <v>28.3</v>
      </c>
      <c r="F131" s="100"/>
      <c r="G131" s="15">
        <f t="shared" si="31"/>
        <v>35318</v>
      </c>
      <c r="H131" s="15">
        <v>0</v>
      </c>
      <c r="I131" s="15">
        <f t="shared" si="32"/>
        <v>35318</v>
      </c>
      <c r="K131" s="103">
        <v>5.0000000000000001E-3</v>
      </c>
      <c r="L131" s="100"/>
      <c r="M131" s="15">
        <f t="shared" si="33"/>
        <v>176.59</v>
      </c>
      <c r="O131" s="31">
        <f t="shared" si="34"/>
        <v>1.06E-2</v>
      </c>
      <c r="P131" s="100"/>
      <c r="Q131" s="15">
        <f t="shared" si="35"/>
        <v>374.37079999999997</v>
      </c>
      <c r="U131" s="138">
        <f t="shared" si="36"/>
        <v>0</v>
      </c>
      <c r="V131" s="139">
        <f t="shared" si="37"/>
        <v>0</v>
      </c>
    </row>
    <row r="132" spans="1:22">
      <c r="A132" s="345" t="s">
        <v>70</v>
      </c>
      <c r="B132" s="340">
        <v>13</v>
      </c>
      <c r="C132" s="4">
        <v>2456</v>
      </c>
      <c r="E132" s="14">
        <v>25.99</v>
      </c>
      <c r="F132" s="100"/>
      <c r="G132" s="15">
        <f t="shared" si="31"/>
        <v>63831</v>
      </c>
      <c r="H132" s="15">
        <v>0</v>
      </c>
      <c r="I132" s="15">
        <f t="shared" si="32"/>
        <v>63831</v>
      </c>
      <c r="J132" s="20"/>
      <c r="K132" s="103">
        <v>5.0000000000000001E-3</v>
      </c>
      <c r="L132" s="100"/>
      <c r="M132" s="15">
        <f t="shared" si="33"/>
        <v>319.15500000000003</v>
      </c>
      <c r="N132" s="20"/>
      <c r="O132" s="31">
        <f t="shared" si="34"/>
        <v>1.06E-2</v>
      </c>
      <c r="P132" s="100"/>
      <c r="Q132" s="15">
        <f t="shared" si="35"/>
        <v>676.60860000000002</v>
      </c>
      <c r="U132" s="138">
        <f t="shared" si="36"/>
        <v>0</v>
      </c>
      <c r="V132" s="139">
        <f t="shared" si="37"/>
        <v>0</v>
      </c>
    </row>
    <row r="133" spans="1:22">
      <c r="A133" s="349" t="s">
        <v>71</v>
      </c>
      <c r="B133" s="340"/>
      <c r="C133" s="4"/>
      <c r="G133" s="15"/>
      <c r="H133" s="15"/>
      <c r="I133" s="15"/>
      <c r="M133" s="15"/>
      <c r="Q133" s="15"/>
      <c r="U133" s="138"/>
      <c r="V133" s="139"/>
    </row>
    <row r="134" spans="1:22">
      <c r="A134" s="345" t="s">
        <v>64</v>
      </c>
      <c r="B134" s="340">
        <v>14</v>
      </c>
      <c r="C134" s="4">
        <v>4670</v>
      </c>
      <c r="E134" s="14">
        <v>19.46</v>
      </c>
      <c r="F134" s="100"/>
      <c r="G134" s="15">
        <f t="shared" ref="G134:G139" si="38">ROUND(E134*$C134,0)</f>
        <v>90878</v>
      </c>
      <c r="H134" s="15">
        <v>0</v>
      </c>
      <c r="I134" s="15">
        <f t="shared" ref="I134:I139" si="39">SUM(G134:H134)</f>
        <v>90878</v>
      </c>
      <c r="K134" s="103">
        <v>5.0000000000000001E-3</v>
      </c>
      <c r="L134" s="100"/>
      <c r="M134" s="15">
        <f t="shared" ref="M134:M139" si="40">$I134*K134</f>
        <v>454.39</v>
      </c>
      <c r="O134" s="31">
        <f t="shared" ref="O134:O139" si="41">$T$121</f>
        <v>1.06E-2</v>
      </c>
      <c r="P134" s="100"/>
      <c r="Q134" s="15">
        <f t="shared" ref="Q134:Q139" si="42">$I134*O134</f>
        <v>963.30679999999995</v>
      </c>
      <c r="U134" s="138">
        <f t="shared" ref="U134:U139" si="43">I134*K134-M134</f>
        <v>0</v>
      </c>
      <c r="V134" s="139">
        <f t="shared" ref="V134:V139" si="44">I134*O134-Q134</f>
        <v>0</v>
      </c>
    </row>
    <row r="135" spans="1:22">
      <c r="A135" s="345" t="s">
        <v>65</v>
      </c>
      <c r="B135" s="340">
        <v>15</v>
      </c>
      <c r="C135" s="4">
        <v>4976</v>
      </c>
      <c r="E135" s="14">
        <v>17.13</v>
      </c>
      <c r="F135" s="100"/>
      <c r="G135" s="15">
        <f t="shared" si="38"/>
        <v>85239</v>
      </c>
      <c r="H135" s="15">
        <v>0</v>
      </c>
      <c r="I135" s="15">
        <f t="shared" si="39"/>
        <v>85239</v>
      </c>
      <c r="K135" s="103">
        <v>5.0000000000000001E-3</v>
      </c>
      <c r="L135" s="100"/>
      <c r="M135" s="15">
        <f t="shared" si="40"/>
        <v>426.19499999999999</v>
      </c>
      <c r="O135" s="31">
        <f t="shared" si="41"/>
        <v>1.06E-2</v>
      </c>
      <c r="P135" s="100"/>
      <c r="Q135" s="15">
        <f t="shared" si="42"/>
        <v>903.53340000000003</v>
      </c>
      <c r="U135" s="138">
        <f t="shared" si="43"/>
        <v>0</v>
      </c>
      <c r="V135" s="139">
        <f t="shared" si="44"/>
        <v>0</v>
      </c>
    </row>
    <row r="136" spans="1:22">
      <c r="A136" s="345" t="s">
        <v>67</v>
      </c>
      <c r="B136" s="340">
        <v>16</v>
      </c>
      <c r="C136" s="4">
        <v>1102</v>
      </c>
      <c r="E136" s="14">
        <v>23.51</v>
      </c>
      <c r="F136" s="100"/>
      <c r="G136" s="15">
        <f t="shared" si="38"/>
        <v>25908</v>
      </c>
      <c r="H136" s="15">
        <v>0</v>
      </c>
      <c r="I136" s="15">
        <f t="shared" si="39"/>
        <v>25908</v>
      </c>
      <c r="K136" s="103">
        <v>5.0000000000000001E-3</v>
      </c>
      <c r="L136" s="100"/>
      <c r="M136" s="15">
        <f t="shared" si="40"/>
        <v>129.54</v>
      </c>
      <c r="O136" s="31">
        <f t="shared" si="41"/>
        <v>1.06E-2</v>
      </c>
      <c r="P136" s="100"/>
      <c r="Q136" s="15">
        <f t="shared" si="42"/>
        <v>274.62479999999999</v>
      </c>
      <c r="U136" s="138">
        <f t="shared" si="43"/>
        <v>0</v>
      </c>
      <c r="V136" s="139">
        <f t="shared" si="44"/>
        <v>0</v>
      </c>
    </row>
    <row r="137" spans="1:22">
      <c r="A137" s="345" t="s">
        <v>68</v>
      </c>
      <c r="B137" s="340">
        <v>17</v>
      </c>
      <c r="C137" s="4">
        <v>1570</v>
      </c>
      <c r="E137" s="14">
        <v>21.23</v>
      </c>
      <c r="F137" s="100"/>
      <c r="G137" s="15">
        <f t="shared" si="38"/>
        <v>33331</v>
      </c>
      <c r="H137" s="15">
        <v>0</v>
      </c>
      <c r="I137" s="15">
        <f t="shared" si="39"/>
        <v>33331</v>
      </c>
      <c r="K137" s="103">
        <v>5.0000000000000001E-3</v>
      </c>
      <c r="L137" s="100"/>
      <c r="M137" s="15">
        <f t="shared" si="40"/>
        <v>166.655</v>
      </c>
      <c r="O137" s="31">
        <f t="shared" si="41"/>
        <v>1.06E-2</v>
      </c>
      <c r="P137" s="100"/>
      <c r="Q137" s="15">
        <f t="shared" si="42"/>
        <v>353.30860000000001</v>
      </c>
      <c r="U137" s="138">
        <f t="shared" si="43"/>
        <v>0</v>
      </c>
      <c r="V137" s="139">
        <f t="shared" si="44"/>
        <v>0</v>
      </c>
    </row>
    <row r="138" spans="1:22">
      <c r="A138" s="345" t="s">
        <v>69</v>
      </c>
      <c r="B138" s="340">
        <v>18</v>
      </c>
      <c r="C138" s="4">
        <v>9734</v>
      </c>
      <c r="E138" s="14">
        <v>28.3</v>
      </c>
      <c r="F138" s="100"/>
      <c r="G138" s="15">
        <f t="shared" si="38"/>
        <v>275472</v>
      </c>
      <c r="H138" s="15">
        <v>0</v>
      </c>
      <c r="I138" s="15">
        <f t="shared" si="39"/>
        <v>275472</v>
      </c>
      <c r="K138" s="103">
        <v>5.0000000000000001E-3</v>
      </c>
      <c r="L138" s="100"/>
      <c r="M138" s="15">
        <f t="shared" si="40"/>
        <v>1377.3600000000001</v>
      </c>
      <c r="O138" s="31">
        <f t="shared" si="41"/>
        <v>1.06E-2</v>
      </c>
      <c r="P138" s="100"/>
      <c r="Q138" s="15">
        <f t="shared" si="42"/>
        <v>2920.0032000000001</v>
      </c>
      <c r="U138" s="138">
        <f t="shared" si="43"/>
        <v>0</v>
      </c>
      <c r="V138" s="139">
        <f t="shared" si="44"/>
        <v>0</v>
      </c>
    </row>
    <row r="139" spans="1:22">
      <c r="A139" s="345" t="s">
        <v>70</v>
      </c>
      <c r="B139" s="340">
        <v>19</v>
      </c>
      <c r="C139" s="4">
        <v>11772</v>
      </c>
      <c r="E139" s="14">
        <v>25.99</v>
      </c>
      <c r="F139" s="100"/>
      <c r="G139" s="15">
        <f t="shared" si="38"/>
        <v>305954</v>
      </c>
      <c r="H139" s="15">
        <v>0</v>
      </c>
      <c r="I139" s="15">
        <f t="shared" si="39"/>
        <v>305954</v>
      </c>
      <c r="K139" s="103">
        <v>5.0000000000000001E-3</v>
      </c>
      <c r="L139" s="100"/>
      <c r="M139" s="15">
        <f t="shared" si="40"/>
        <v>1529.77</v>
      </c>
      <c r="O139" s="31">
        <f t="shared" si="41"/>
        <v>1.06E-2</v>
      </c>
      <c r="P139" s="100"/>
      <c r="Q139" s="15">
        <f t="shared" si="42"/>
        <v>3243.1124</v>
      </c>
      <c r="U139" s="138">
        <f t="shared" si="43"/>
        <v>0</v>
      </c>
      <c r="V139" s="139">
        <f t="shared" si="44"/>
        <v>0</v>
      </c>
    </row>
    <row r="140" spans="1:22">
      <c r="A140" s="349" t="s">
        <v>72</v>
      </c>
      <c r="B140" s="340"/>
      <c r="C140" s="4"/>
      <c r="G140" s="92"/>
      <c r="H140" s="92"/>
      <c r="I140" s="92"/>
      <c r="J140" s="20"/>
      <c r="N140" s="20"/>
      <c r="U140" s="138"/>
      <c r="V140" s="139"/>
    </row>
    <row r="141" spans="1:22">
      <c r="A141" s="345" t="s">
        <v>73</v>
      </c>
      <c r="B141" s="340">
        <v>20</v>
      </c>
      <c r="C141" s="4">
        <v>0</v>
      </c>
      <c r="E141" s="14">
        <v>29.4</v>
      </c>
      <c r="F141" s="100"/>
      <c r="G141" s="15">
        <f t="shared" ref="G141:G148" si="45">ROUND(E141*$C141,0)</f>
        <v>0</v>
      </c>
      <c r="H141" s="15">
        <v>0</v>
      </c>
      <c r="I141" s="15">
        <f t="shared" ref="I141:I148" si="46">SUM(G141:H141)</f>
        <v>0</v>
      </c>
      <c r="K141" s="103">
        <v>5.0000000000000001E-3</v>
      </c>
      <c r="L141" s="100"/>
      <c r="M141" s="15">
        <f t="shared" ref="M141:M148" si="47">$I141*K141</f>
        <v>0</v>
      </c>
      <c r="O141" s="31">
        <f t="shared" ref="O141:O148" si="48">$T$121</f>
        <v>1.06E-2</v>
      </c>
      <c r="P141" s="100"/>
      <c r="Q141" s="15">
        <f t="shared" ref="Q141:Q148" si="49">$I141*O141</f>
        <v>0</v>
      </c>
      <c r="U141" s="138">
        <f t="shared" ref="U141:U148" si="50">I141*K141-M141</f>
        <v>0</v>
      </c>
      <c r="V141" s="139">
        <f t="shared" ref="V141:V148" si="51">I141*O141-Q141</f>
        <v>0</v>
      </c>
    </row>
    <row r="142" spans="1:22">
      <c r="A142" s="345" t="s">
        <v>74</v>
      </c>
      <c r="B142" s="340">
        <v>21</v>
      </c>
      <c r="C142" s="4">
        <v>265</v>
      </c>
      <c r="E142" s="14">
        <v>21.79</v>
      </c>
      <c r="F142" s="100"/>
      <c r="G142" s="15">
        <f t="shared" si="45"/>
        <v>5774</v>
      </c>
      <c r="H142" s="15">
        <v>0</v>
      </c>
      <c r="I142" s="15">
        <f t="shared" si="46"/>
        <v>5774</v>
      </c>
      <c r="K142" s="103">
        <v>5.0000000000000001E-3</v>
      </c>
      <c r="L142" s="100"/>
      <c r="M142" s="15">
        <f t="shared" si="47"/>
        <v>28.87</v>
      </c>
      <c r="O142" s="31">
        <f t="shared" si="48"/>
        <v>1.06E-2</v>
      </c>
      <c r="P142" s="100"/>
      <c r="Q142" s="15">
        <f t="shared" si="49"/>
        <v>61.2044</v>
      </c>
      <c r="U142" s="138">
        <f t="shared" si="50"/>
        <v>0</v>
      </c>
      <c r="V142" s="139">
        <f t="shared" si="51"/>
        <v>0</v>
      </c>
    </row>
    <row r="143" spans="1:22">
      <c r="A143" s="345" t="s">
        <v>75</v>
      </c>
      <c r="B143" s="340">
        <v>22</v>
      </c>
      <c r="C143" s="4">
        <v>110</v>
      </c>
      <c r="E143" s="14">
        <v>34.340000000000003</v>
      </c>
      <c r="F143" s="100"/>
      <c r="G143" s="15">
        <f t="shared" si="45"/>
        <v>3777</v>
      </c>
      <c r="H143" s="15">
        <v>0</v>
      </c>
      <c r="I143" s="15">
        <f t="shared" si="46"/>
        <v>3777</v>
      </c>
      <c r="K143" s="103">
        <v>5.0000000000000001E-3</v>
      </c>
      <c r="L143" s="100"/>
      <c r="M143" s="15">
        <f t="shared" si="47"/>
        <v>18.885000000000002</v>
      </c>
      <c r="O143" s="31">
        <f t="shared" si="48"/>
        <v>1.06E-2</v>
      </c>
      <c r="P143" s="100"/>
      <c r="Q143" s="15">
        <f t="shared" si="49"/>
        <v>40.036200000000001</v>
      </c>
      <c r="U143" s="138">
        <f t="shared" si="50"/>
        <v>0</v>
      </c>
      <c r="V143" s="139">
        <f t="shared" si="51"/>
        <v>0</v>
      </c>
    </row>
    <row r="144" spans="1:22">
      <c r="A144" s="345" t="s">
        <v>76</v>
      </c>
      <c r="B144" s="340">
        <v>23</v>
      </c>
      <c r="C144" s="4">
        <v>97</v>
      </c>
      <c r="E144" s="14">
        <v>27.43</v>
      </c>
      <c r="F144" s="100"/>
      <c r="G144" s="15">
        <f t="shared" si="45"/>
        <v>2661</v>
      </c>
      <c r="H144" s="15">
        <v>0</v>
      </c>
      <c r="I144" s="15">
        <f t="shared" si="46"/>
        <v>2661</v>
      </c>
      <c r="K144" s="103">
        <v>5.0000000000000001E-3</v>
      </c>
      <c r="L144" s="100"/>
      <c r="M144" s="15">
        <f t="shared" si="47"/>
        <v>13.305</v>
      </c>
      <c r="O144" s="31">
        <f t="shared" si="48"/>
        <v>1.06E-2</v>
      </c>
      <c r="P144" s="100"/>
      <c r="Q144" s="15">
        <f t="shared" si="49"/>
        <v>28.206600000000002</v>
      </c>
      <c r="U144" s="138">
        <f t="shared" si="50"/>
        <v>0</v>
      </c>
      <c r="V144" s="139">
        <f t="shared" si="51"/>
        <v>0</v>
      </c>
    </row>
    <row r="145" spans="1:22" s="163" customFormat="1">
      <c r="A145" s="345" t="s">
        <v>77</v>
      </c>
      <c r="B145" s="340">
        <v>24</v>
      </c>
      <c r="C145" s="4">
        <v>469</v>
      </c>
      <c r="D145" s="167"/>
      <c r="E145" s="14">
        <v>36.69</v>
      </c>
      <c r="F145" s="100"/>
      <c r="G145" s="15">
        <f t="shared" si="45"/>
        <v>17208</v>
      </c>
      <c r="H145" s="15">
        <v>0</v>
      </c>
      <c r="I145" s="15">
        <f t="shared" si="46"/>
        <v>17208</v>
      </c>
      <c r="J145" s="5"/>
      <c r="K145" s="103">
        <v>5.0000000000000001E-3</v>
      </c>
      <c r="L145" s="100"/>
      <c r="M145" s="15">
        <f t="shared" si="47"/>
        <v>86.04</v>
      </c>
      <c r="N145" s="5"/>
      <c r="O145" s="31">
        <f t="shared" si="48"/>
        <v>1.06E-2</v>
      </c>
      <c r="P145" s="100"/>
      <c r="Q145" s="15">
        <f t="shared" si="49"/>
        <v>182.40479999999999</v>
      </c>
      <c r="U145" s="138">
        <f t="shared" si="50"/>
        <v>0</v>
      </c>
      <c r="V145" s="139">
        <f t="shared" si="51"/>
        <v>0</v>
      </c>
    </row>
    <row r="146" spans="1:22">
      <c r="A146" s="345" t="s">
        <v>78</v>
      </c>
      <c r="B146" s="340">
        <v>25</v>
      </c>
      <c r="C146" s="4">
        <v>630</v>
      </c>
      <c r="E146" s="14">
        <v>29.72</v>
      </c>
      <c r="F146" s="100"/>
      <c r="G146" s="15">
        <f t="shared" si="45"/>
        <v>18724</v>
      </c>
      <c r="H146" s="15">
        <v>0</v>
      </c>
      <c r="I146" s="15">
        <f t="shared" si="46"/>
        <v>18724</v>
      </c>
      <c r="K146" s="103">
        <v>5.0000000000000001E-3</v>
      </c>
      <c r="L146" s="100"/>
      <c r="M146" s="15">
        <f t="shared" si="47"/>
        <v>93.62</v>
      </c>
      <c r="O146" s="31">
        <f t="shared" si="48"/>
        <v>1.06E-2</v>
      </c>
      <c r="P146" s="100"/>
      <c r="Q146" s="15">
        <f t="shared" si="49"/>
        <v>198.4744</v>
      </c>
      <c r="U146" s="138">
        <f t="shared" si="50"/>
        <v>0</v>
      </c>
      <c r="V146" s="139">
        <f t="shared" si="51"/>
        <v>0</v>
      </c>
    </row>
    <row r="147" spans="1:22">
      <c r="A147" s="345" t="s">
        <v>79</v>
      </c>
      <c r="B147" s="340">
        <v>26</v>
      </c>
      <c r="C147" s="4">
        <v>24</v>
      </c>
      <c r="E147" s="14">
        <v>57.58</v>
      </c>
      <c r="F147" s="100"/>
      <c r="G147" s="15">
        <f t="shared" si="45"/>
        <v>1382</v>
      </c>
      <c r="H147" s="15">
        <v>0</v>
      </c>
      <c r="I147" s="15">
        <f t="shared" si="46"/>
        <v>1382</v>
      </c>
      <c r="K147" s="103">
        <v>5.0000000000000001E-3</v>
      </c>
      <c r="L147" s="100"/>
      <c r="M147" s="15">
        <f t="shared" si="47"/>
        <v>6.91</v>
      </c>
      <c r="O147" s="31">
        <f t="shared" si="48"/>
        <v>1.06E-2</v>
      </c>
      <c r="P147" s="100"/>
      <c r="Q147" s="15">
        <f t="shared" si="49"/>
        <v>14.6492</v>
      </c>
      <c r="U147" s="138">
        <f t="shared" si="50"/>
        <v>0</v>
      </c>
      <c r="V147" s="139">
        <f t="shared" si="51"/>
        <v>0</v>
      </c>
    </row>
    <row r="148" spans="1:22">
      <c r="A148" s="345" t="s">
        <v>80</v>
      </c>
      <c r="B148" s="340">
        <v>27</v>
      </c>
      <c r="C148" s="4">
        <v>60</v>
      </c>
      <c r="E148" s="14">
        <v>49.1</v>
      </c>
      <c r="F148" s="100"/>
      <c r="G148" s="37">
        <f t="shared" si="45"/>
        <v>2946</v>
      </c>
      <c r="H148" s="37">
        <v>0</v>
      </c>
      <c r="I148" s="37">
        <f t="shared" si="46"/>
        <v>2946</v>
      </c>
      <c r="K148" s="103">
        <v>5.0000000000000001E-3</v>
      </c>
      <c r="L148" s="100"/>
      <c r="M148" s="37">
        <f t="shared" si="47"/>
        <v>14.73</v>
      </c>
      <c r="O148" s="31">
        <f t="shared" si="48"/>
        <v>1.06E-2</v>
      </c>
      <c r="P148" s="100"/>
      <c r="Q148" s="37">
        <f t="shared" si="49"/>
        <v>31.227599999999999</v>
      </c>
      <c r="U148" s="138">
        <f t="shared" si="50"/>
        <v>0</v>
      </c>
      <c r="V148" s="139">
        <f t="shared" si="51"/>
        <v>0</v>
      </c>
    </row>
    <row r="149" spans="1:22">
      <c r="A149" s="345" t="s">
        <v>81</v>
      </c>
      <c r="B149" s="342"/>
      <c r="C149" s="4">
        <v>159509</v>
      </c>
      <c r="G149" s="15">
        <f>SUM(G117:G148)</f>
        <v>2999060</v>
      </c>
      <c r="H149" s="15">
        <f>SUM(H117:H148)</f>
        <v>0</v>
      </c>
      <c r="I149" s="15">
        <f>SUM(I117:I148)</f>
        <v>2999060</v>
      </c>
      <c r="M149" s="15">
        <f>SUM(M117:M148)</f>
        <v>14995.300000000005</v>
      </c>
      <c r="Q149" s="15">
        <f>SUM(Q117:Q148)</f>
        <v>31790.036</v>
      </c>
    </row>
    <row r="150" spans="1:22">
      <c r="A150" s="345" t="s">
        <v>82</v>
      </c>
      <c r="B150" s="340"/>
      <c r="C150" s="13">
        <v>12440930.563737754</v>
      </c>
      <c r="G150" s="15"/>
      <c r="H150" s="15"/>
      <c r="I150" s="15"/>
      <c r="M150" s="15"/>
      <c r="Q150" s="15"/>
    </row>
    <row r="151" spans="1:22">
      <c r="A151" s="345" t="s">
        <v>83</v>
      </c>
      <c r="B151" s="340"/>
      <c r="C151" s="36">
        <v>0</v>
      </c>
      <c r="E151" s="175"/>
      <c r="G151" s="37">
        <v>0</v>
      </c>
      <c r="H151" s="37"/>
      <c r="I151" s="37">
        <f>SUM(G151:H151)</f>
        <v>0</v>
      </c>
      <c r="K151" s="116"/>
      <c r="M151" s="37"/>
      <c r="O151" s="116"/>
      <c r="Q151" s="37"/>
    </row>
    <row r="152" spans="1:22">
      <c r="A152" s="345" t="s">
        <v>84</v>
      </c>
      <c r="B152" s="340"/>
      <c r="C152" s="4">
        <v>8046</v>
      </c>
      <c r="G152" s="92"/>
      <c r="H152" s="92"/>
      <c r="I152" s="92"/>
    </row>
    <row r="153" spans="1:22" ht="16" thickBot="1">
      <c r="A153" s="345" t="s">
        <v>85</v>
      </c>
      <c r="B153" s="340"/>
      <c r="C153" s="38">
        <v>12440930.563737754</v>
      </c>
      <c r="E153" s="173"/>
      <c r="G153" s="26">
        <f>G151+G149</f>
        <v>2999060</v>
      </c>
      <c r="H153" s="26">
        <f>H151+H149</f>
        <v>0</v>
      </c>
      <c r="I153" s="26">
        <f>I151+I149</f>
        <v>2999060</v>
      </c>
      <c r="J153" s="20"/>
      <c r="K153" s="107"/>
      <c r="M153" s="26">
        <f>M151+M149</f>
        <v>14995.300000000005</v>
      </c>
      <c r="N153" s="20"/>
      <c r="O153" s="107"/>
      <c r="Q153" s="26">
        <f>Q151+Q149</f>
        <v>31790.036</v>
      </c>
    </row>
    <row r="154" spans="1:22" ht="16" thickTop="1">
      <c r="A154" s="160"/>
      <c r="B154" s="340"/>
      <c r="D154" s="20"/>
      <c r="G154" s="92"/>
      <c r="H154" s="92"/>
      <c r="I154" s="92"/>
    </row>
    <row r="155" spans="1:22">
      <c r="A155" s="344" t="s">
        <v>86</v>
      </c>
      <c r="B155" s="340"/>
      <c r="C155" s="4"/>
      <c r="G155" s="92"/>
      <c r="H155" s="92"/>
      <c r="I155" s="92"/>
      <c r="K155" s="108"/>
      <c r="L155" s="109"/>
      <c r="O155" s="108"/>
      <c r="P155" s="109"/>
    </row>
    <row r="156" spans="1:22">
      <c r="A156" s="345" t="s">
        <v>7</v>
      </c>
      <c r="B156" s="340"/>
      <c r="C156" s="4">
        <v>3282</v>
      </c>
      <c r="E156" s="14">
        <v>70</v>
      </c>
      <c r="F156" s="100"/>
      <c r="G156" s="15">
        <f>ROUND(E156*$C156,0)</f>
        <v>229740</v>
      </c>
      <c r="H156" s="15"/>
      <c r="I156" s="15">
        <f t="shared" ref="I156:I164" si="52">SUM(G156:H156)</f>
        <v>229740</v>
      </c>
      <c r="M156" s="15"/>
      <c r="Q156" s="15"/>
      <c r="S156" s="78" t="s">
        <v>290</v>
      </c>
      <c r="T156" s="11"/>
      <c r="U156" s="138"/>
      <c r="V156" s="139"/>
    </row>
    <row r="157" spans="1:22">
      <c r="A157" s="345" t="s">
        <v>87</v>
      </c>
      <c r="B157" s="340"/>
      <c r="C157" s="4">
        <v>5010201</v>
      </c>
      <c r="E157" s="14">
        <v>4.76</v>
      </c>
      <c r="F157" s="100"/>
      <c r="G157" s="15">
        <f>ROUND(E157*$C157,0)</f>
        <v>23848557</v>
      </c>
      <c r="H157" s="15"/>
      <c r="I157" s="15">
        <f t="shared" si="52"/>
        <v>23848557</v>
      </c>
      <c r="M157" s="15"/>
      <c r="Q157" s="15"/>
      <c r="S157" s="70" t="s">
        <v>14</v>
      </c>
      <c r="T157" s="17">
        <f>Q165+SUM(Q441:Q447)</f>
        <v>3582003.2674999996</v>
      </c>
      <c r="U157" s="138"/>
      <c r="V157" s="139"/>
    </row>
    <row r="158" spans="1:22">
      <c r="A158" s="345" t="s">
        <v>88</v>
      </c>
      <c r="B158" s="340"/>
      <c r="C158" s="4">
        <v>2097818</v>
      </c>
      <c r="E158" s="14">
        <v>15.56</v>
      </c>
      <c r="F158" s="100"/>
      <c r="G158" s="15">
        <f>ROUND(E158*$C158,0)</f>
        <v>32642048</v>
      </c>
      <c r="H158" s="15">
        <v>0</v>
      </c>
      <c r="I158" s="15">
        <f t="shared" si="52"/>
        <v>32642048</v>
      </c>
      <c r="K158" s="103">
        <v>1.15E-2</v>
      </c>
      <c r="L158" s="100"/>
      <c r="M158" s="15">
        <f>$I158*K158</f>
        <v>375383.55199999997</v>
      </c>
      <c r="O158" s="31">
        <f>$T$160</f>
        <v>2.4500000000000001E-2</v>
      </c>
      <c r="P158" s="100"/>
      <c r="Q158" s="15">
        <f>$I158*O158</f>
        <v>799730.17599999998</v>
      </c>
      <c r="S158" s="71" t="s">
        <v>16</v>
      </c>
      <c r="T158" s="18">
        <f>('Exhibit-RMP(RMM-1) page 2'!K24+'Exhibit-RMP(RMM-1) page 2'!K33*SUM('Exhibit-RMP(RMM-2)'!G442:G443,'Exhibit-RMP(RMM-2)'!G445:G447)/SUM('Exhibit-RMP(RMM-2)'!G442:G443,'Exhibit-RMP(RMM-2)'!G445:G447,'Exhibit-RMP(RMM-2)'!G450:G454))*1000</f>
        <v>3575323.1322481078</v>
      </c>
      <c r="U158" s="138">
        <f>I158*K158-M158</f>
        <v>0</v>
      </c>
      <c r="V158" s="139">
        <f>I158*O158-Q158</f>
        <v>0</v>
      </c>
    </row>
    <row r="159" spans="1:22">
      <c r="A159" s="345" t="s">
        <v>89</v>
      </c>
      <c r="B159" s="340"/>
      <c r="C159" s="4">
        <v>2761958</v>
      </c>
      <c r="E159" s="14">
        <v>11.19</v>
      </c>
      <c r="F159" s="100"/>
      <c r="G159" s="15">
        <f>ROUND(E159*$C159,0)</f>
        <v>30906310</v>
      </c>
      <c r="H159" s="15">
        <v>0</v>
      </c>
      <c r="I159" s="15">
        <f t="shared" si="52"/>
        <v>30906310</v>
      </c>
      <c r="K159" s="103">
        <v>1.15E-2</v>
      </c>
      <c r="L159" s="100"/>
      <c r="M159" s="15">
        <f>$I159*K159</f>
        <v>355422.565</v>
      </c>
      <c r="O159" s="31">
        <f>$T$160</f>
        <v>2.4500000000000001E-2</v>
      </c>
      <c r="P159" s="100"/>
      <c r="Q159" s="15">
        <f>$I159*O159</f>
        <v>757204.59499999997</v>
      </c>
      <c r="S159" s="72" t="s">
        <v>18</v>
      </c>
      <c r="T159" s="19">
        <f>T158-T157</f>
        <v>-6680.1352518917993</v>
      </c>
      <c r="U159" s="138">
        <f>I159*K159-M159</f>
        <v>0</v>
      </c>
      <c r="V159" s="139">
        <f>I159*O159-Q159</f>
        <v>0</v>
      </c>
    </row>
    <row r="160" spans="1:22">
      <c r="A160" s="345" t="s">
        <v>32</v>
      </c>
      <c r="B160" s="340"/>
      <c r="C160" s="4">
        <v>2132830</v>
      </c>
      <c r="E160" s="14">
        <v>-1.1299999999999999</v>
      </c>
      <c r="F160" s="100"/>
      <c r="G160" s="15">
        <f>ROUND(E160*$C160,0)</f>
        <v>-2410098</v>
      </c>
      <c r="H160" s="15"/>
      <c r="I160" s="15">
        <f t="shared" si="52"/>
        <v>-2410098</v>
      </c>
      <c r="J160" s="20"/>
      <c r="K160" s="31"/>
      <c r="L160" s="100"/>
      <c r="M160" s="15"/>
      <c r="N160" s="20"/>
      <c r="O160" s="31"/>
      <c r="P160" s="100"/>
      <c r="Q160" s="15"/>
      <c r="S160" s="75" t="s">
        <v>21</v>
      </c>
      <c r="T160" s="76">
        <f>ROUND(T158/SUM(I158:I159,I161:I163,I442:I443,I445:I447),$T$12)</f>
        <v>2.4500000000000001E-2</v>
      </c>
      <c r="U160" s="138"/>
      <c r="V160" s="139"/>
    </row>
    <row r="161" spans="1:22">
      <c r="A161" s="345" t="s">
        <v>27</v>
      </c>
      <c r="B161" s="340"/>
      <c r="C161" s="4">
        <v>260094535</v>
      </c>
      <c r="E161" s="117">
        <v>5.0473999999999997</v>
      </c>
      <c r="F161" s="102" t="s">
        <v>11</v>
      </c>
      <c r="G161" s="15">
        <f t="shared" ref="G161:G163" si="53">ROUND(E161*$C161/100,0)</f>
        <v>13128012</v>
      </c>
      <c r="H161" s="15">
        <v>0</v>
      </c>
      <c r="I161" s="15">
        <f t="shared" si="52"/>
        <v>13128012</v>
      </c>
      <c r="J161" s="20"/>
      <c r="K161" s="103">
        <v>1.15E-2</v>
      </c>
      <c r="L161" s="100"/>
      <c r="M161" s="15">
        <f>$I161*K161</f>
        <v>150972.13800000001</v>
      </c>
      <c r="N161" s="20"/>
      <c r="O161" s="31">
        <f>$T$160</f>
        <v>2.4500000000000001E-2</v>
      </c>
      <c r="P161" s="100"/>
      <c r="Q161" s="15">
        <f>$I161*O161</f>
        <v>321636.29399999999</v>
      </c>
      <c r="U161" s="138">
        <f>I161*K161-M161</f>
        <v>0</v>
      </c>
      <c r="V161" s="139">
        <f>I161*O161-Q161</f>
        <v>0</v>
      </c>
    </row>
    <row r="162" spans="1:22">
      <c r="A162" s="345" t="s">
        <v>52</v>
      </c>
      <c r="B162" s="340"/>
      <c r="C162" s="4">
        <v>625992212</v>
      </c>
      <c r="E162" s="117">
        <v>3.9510999999999998</v>
      </c>
      <c r="F162" s="102" t="s">
        <v>11</v>
      </c>
      <c r="G162" s="15">
        <f t="shared" si="53"/>
        <v>24733578</v>
      </c>
      <c r="H162" s="15">
        <v>0</v>
      </c>
      <c r="I162" s="15">
        <f t="shared" si="52"/>
        <v>24733578</v>
      </c>
      <c r="J162" s="20"/>
      <c r="K162" s="103">
        <v>1.15E-2</v>
      </c>
      <c r="L162" s="100"/>
      <c r="M162" s="15">
        <f>$I162*K162</f>
        <v>284436.147</v>
      </c>
      <c r="N162" s="20"/>
      <c r="O162" s="31">
        <f>$T$160</f>
        <v>2.4500000000000001E-2</v>
      </c>
      <c r="P162" s="100"/>
      <c r="Q162" s="15">
        <f>$I162*O162</f>
        <v>605972.66100000008</v>
      </c>
      <c r="U162" s="138">
        <f>I162*K162-M162</f>
        <v>0</v>
      </c>
      <c r="V162" s="139">
        <f>I162*O162-Q162</f>
        <v>0</v>
      </c>
    </row>
    <row r="163" spans="1:22">
      <c r="A163" s="345" t="s">
        <v>90</v>
      </c>
      <c r="B163" s="340"/>
      <c r="C163" s="4">
        <v>1300960578.5884075</v>
      </c>
      <c r="E163" s="117">
        <v>3.4001999999999999</v>
      </c>
      <c r="F163" s="102" t="s">
        <v>11</v>
      </c>
      <c r="G163" s="15">
        <f t="shared" si="53"/>
        <v>44235262</v>
      </c>
      <c r="H163" s="15">
        <v>0</v>
      </c>
      <c r="I163" s="15">
        <f t="shared" si="52"/>
        <v>44235262</v>
      </c>
      <c r="J163" s="20"/>
      <c r="K163" s="103">
        <v>1.15E-2</v>
      </c>
      <c r="L163" s="100"/>
      <c r="M163" s="15">
        <f>$I163*K163</f>
        <v>508705.51299999998</v>
      </c>
      <c r="N163" s="20"/>
      <c r="O163" s="31">
        <f>$T$160</f>
        <v>2.4500000000000001E-2</v>
      </c>
      <c r="P163" s="100"/>
      <c r="Q163" s="15">
        <f>$I163*O163</f>
        <v>1083763.919</v>
      </c>
      <c r="U163" s="138">
        <f>I163*K163-M163</f>
        <v>0</v>
      </c>
      <c r="V163" s="139">
        <f>I163*O163-Q163</f>
        <v>0</v>
      </c>
    </row>
    <row r="164" spans="1:22">
      <c r="A164" s="345" t="s">
        <v>24</v>
      </c>
      <c r="B164" s="340"/>
      <c r="C164" s="23">
        <v>0</v>
      </c>
      <c r="G164" s="24">
        <v>0</v>
      </c>
      <c r="H164" s="24"/>
      <c r="I164" s="24">
        <f t="shared" si="52"/>
        <v>0</v>
      </c>
      <c r="J164" s="20"/>
      <c r="M164" s="24"/>
      <c r="N164" s="20"/>
      <c r="Q164" s="24"/>
    </row>
    <row r="165" spans="1:22" ht="16" thickBot="1">
      <c r="A165" s="345" t="s">
        <v>25</v>
      </c>
      <c r="B165" s="340"/>
      <c r="C165" s="29">
        <v>2187047325.5884075</v>
      </c>
      <c r="E165" s="174"/>
      <c r="G165" s="28">
        <f>SUM(G156:G164)</f>
        <v>167313409</v>
      </c>
      <c r="H165" s="28">
        <f>SUM(H156:H164)</f>
        <v>0</v>
      </c>
      <c r="I165" s="28">
        <f>SUM(I156:I164)</f>
        <v>167313409</v>
      </c>
      <c r="J165" s="20"/>
      <c r="K165" s="113"/>
      <c r="M165" s="28">
        <f>SUM(M156:M164)</f>
        <v>1674919.915</v>
      </c>
      <c r="N165" s="20"/>
      <c r="O165" s="113"/>
      <c r="Q165" s="28">
        <f>SUM(Q156:Q164)</f>
        <v>3568307.6449999996</v>
      </c>
    </row>
    <row r="166" spans="1:22" ht="16" thickTop="1">
      <c r="A166" s="160"/>
      <c r="B166" s="340"/>
      <c r="G166" s="92"/>
      <c r="H166" s="92"/>
      <c r="I166" s="92"/>
      <c r="J166" s="20"/>
      <c r="K166" s="108"/>
      <c r="L166" s="109"/>
      <c r="N166" s="20"/>
      <c r="O166" s="108"/>
      <c r="P166" s="109"/>
    </row>
    <row r="167" spans="1:22">
      <c r="A167" s="344" t="s">
        <v>91</v>
      </c>
      <c r="B167" s="340"/>
      <c r="C167" s="4"/>
      <c r="G167" s="92"/>
      <c r="H167" s="92"/>
      <c r="I167" s="92"/>
    </row>
    <row r="168" spans="1:22">
      <c r="A168" s="345" t="s">
        <v>7</v>
      </c>
      <c r="B168" s="340"/>
      <c r="C168" s="4">
        <v>1791</v>
      </c>
      <c r="E168" s="14">
        <v>259</v>
      </c>
      <c r="F168" s="100"/>
      <c r="G168" s="15">
        <f>ROUND(E168*$C168,0)</f>
        <v>463869</v>
      </c>
      <c r="H168" s="15"/>
      <c r="I168" s="15">
        <f t="shared" ref="I168:I175" si="54">SUM(G168:H168)</f>
        <v>463869</v>
      </c>
      <c r="M168" s="15"/>
      <c r="Q168" s="15"/>
      <c r="S168" s="11" t="s">
        <v>313</v>
      </c>
      <c r="T168" s="12"/>
      <c r="U168" s="138"/>
      <c r="V168" s="139"/>
    </row>
    <row r="169" spans="1:22">
      <c r="A169" s="345" t="s">
        <v>87</v>
      </c>
      <c r="B169" s="340"/>
      <c r="C169" s="4">
        <v>9053509</v>
      </c>
      <c r="E169" s="14">
        <v>2.2200000000000002</v>
      </c>
      <c r="F169" s="100"/>
      <c r="G169" s="15">
        <f>ROUND(E169*$C169,0)</f>
        <v>20098790</v>
      </c>
      <c r="H169" s="15"/>
      <c r="I169" s="15">
        <f t="shared" si="54"/>
        <v>20098790</v>
      </c>
      <c r="K169" s="31"/>
      <c r="L169" s="100"/>
      <c r="M169" s="15"/>
      <c r="O169" s="31"/>
      <c r="P169" s="100"/>
      <c r="Q169" s="15"/>
      <c r="S169" s="70" t="s">
        <v>14</v>
      </c>
      <c r="T169" s="17">
        <f>Q176+SUM(Q450:Q454)</f>
        <v>7877279.4785000002</v>
      </c>
      <c r="U169" s="138"/>
      <c r="V169" s="139"/>
    </row>
    <row r="170" spans="1:22">
      <c r="A170" s="345" t="s">
        <v>88</v>
      </c>
      <c r="B170" s="340"/>
      <c r="C170" s="4">
        <v>3715246</v>
      </c>
      <c r="E170" s="14">
        <v>13.96</v>
      </c>
      <c r="F170" s="100"/>
      <c r="G170" s="15">
        <f>ROUND(E170*$C170,0)</f>
        <v>51864834</v>
      </c>
      <c r="H170" s="15">
        <v>0</v>
      </c>
      <c r="I170" s="15">
        <f t="shared" si="54"/>
        <v>51864834</v>
      </c>
      <c r="K170" s="103">
        <v>1.3899999999999999E-2</v>
      </c>
      <c r="L170" s="100"/>
      <c r="M170" s="15">
        <f>$I170*K170</f>
        <v>720921.19259999995</v>
      </c>
      <c r="O170" s="31">
        <f>$T$172</f>
        <v>2.9499999999999998E-2</v>
      </c>
      <c r="P170" s="100"/>
      <c r="Q170" s="15">
        <f>$I170*O170</f>
        <v>1530012.6029999999</v>
      </c>
      <c r="S170" s="71" t="s">
        <v>16</v>
      </c>
      <c r="T170" s="18">
        <f>('Exhibit-RMP(RMM-1) page 2'!K25+'Exhibit-RMP(RMM-1) page 2'!K33*SUM('Exhibit-RMP(RMM-2)'!G450:G454)/SUM('Exhibit-RMP(RMM-2)'!G442:G443,'Exhibit-RMP(RMM-2)'!G445:G447,'Exhibit-RMP(RMM-2)'!G450:G454))*1000</f>
        <v>7867164.2976783933</v>
      </c>
      <c r="U170" s="138">
        <f>I170*K170-M170</f>
        <v>0</v>
      </c>
      <c r="V170" s="139">
        <f>I170*O170-Q170</f>
        <v>0</v>
      </c>
    </row>
    <row r="171" spans="1:22">
      <c r="A171" s="345" t="s">
        <v>89</v>
      </c>
      <c r="B171" s="340"/>
      <c r="C171" s="4">
        <v>5150021</v>
      </c>
      <c r="E171" s="14">
        <v>9.4700000000000006</v>
      </c>
      <c r="F171" s="100"/>
      <c r="G171" s="15">
        <f>ROUND(E171*$C171,0)</f>
        <v>48770699</v>
      </c>
      <c r="H171" s="15">
        <v>0</v>
      </c>
      <c r="I171" s="15">
        <f t="shared" si="54"/>
        <v>48770699</v>
      </c>
      <c r="K171" s="103">
        <v>1.3899999999999999E-2</v>
      </c>
      <c r="L171" s="100"/>
      <c r="M171" s="15">
        <f>$I171*K171</f>
        <v>677912.71609999996</v>
      </c>
      <c r="O171" s="31">
        <f>$T$172</f>
        <v>2.9499999999999998E-2</v>
      </c>
      <c r="P171" s="100"/>
      <c r="Q171" s="15">
        <f>$I171*O171</f>
        <v>1438735.6205</v>
      </c>
      <c r="S171" s="72" t="s">
        <v>18</v>
      </c>
      <c r="T171" s="19">
        <f>T170-T169</f>
        <v>-10115.180821606889</v>
      </c>
      <c r="U171" s="138">
        <f>I171*K171-M171</f>
        <v>0</v>
      </c>
      <c r="V171" s="139">
        <f>I171*O171-Q171</f>
        <v>0</v>
      </c>
    </row>
    <row r="172" spans="1:22">
      <c r="A172" s="345" t="s">
        <v>92</v>
      </c>
      <c r="B172" s="340"/>
      <c r="C172" s="4">
        <v>507349132</v>
      </c>
      <c r="E172" s="118">
        <v>4.6531000000000002</v>
      </c>
      <c r="F172" s="102" t="s">
        <v>11</v>
      </c>
      <c r="G172" s="15">
        <f t="shared" ref="G172:G174" si="55">ROUND(E172*$C172/100,0)</f>
        <v>23607462</v>
      </c>
      <c r="H172" s="15">
        <v>0</v>
      </c>
      <c r="I172" s="15">
        <f t="shared" si="54"/>
        <v>23607462</v>
      </c>
      <c r="K172" s="103">
        <v>1.3899999999999999E-2</v>
      </c>
      <c r="L172" s="100"/>
      <c r="M172" s="15">
        <f>$I172*K172</f>
        <v>328143.7218</v>
      </c>
      <c r="O172" s="31">
        <f>$T$172</f>
        <v>2.9499999999999998E-2</v>
      </c>
      <c r="P172" s="100"/>
      <c r="Q172" s="15">
        <f>$I172*O172</f>
        <v>696420.12899999996</v>
      </c>
      <c r="S172" s="75" t="s">
        <v>21</v>
      </c>
      <c r="T172" s="82">
        <f>ROUND(T170/SUM(I170:I174,I450:I454),$T$12)+T175</f>
        <v>2.9499999999999998E-2</v>
      </c>
      <c r="U172" s="138">
        <f>I172*K172-M172</f>
        <v>0</v>
      </c>
      <c r="V172" s="139">
        <f>I172*O172-Q172</f>
        <v>0</v>
      </c>
    </row>
    <row r="173" spans="1:22">
      <c r="A173" s="345" t="s">
        <v>93</v>
      </c>
      <c r="B173" s="340"/>
      <c r="C173" s="4">
        <v>1382941034</v>
      </c>
      <c r="E173" s="118">
        <v>3.4988999999999999</v>
      </c>
      <c r="F173" s="102" t="s">
        <v>11</v>
      </c>
      <c r="G173" s="15">
        <f t="shared" si="55"/>
        <v>48387724</v>
      </c>
      <c r="H173" s="15">
        <v>0</v>
      </c>
      <c r="I173" s="15">
        <f t="shared" si="54"/>
        <v>48387724</v>
      </c>
      <c r="K173" s="103">
        <v>1.3899999999999999E-2</v>
      </c>
      <c r="L173" s="100"/>
      <c r="M173" s="15">
        <f>$I173*K173</f>
        <v>672589.36359999992</v>
      </c>
      <c r="O173" s="31">
        <f>$T$172</f>
        <v>2.9499999999999998E-2</v>
      </c>
      <c r="P173" s="100"/>
      <c r="Q173" s="15">
        <f>$I173*O173</f>
        <v>1427437.858</v>
      </c>
      <c r="S173" s="32" t="s">
        <v>45</v>
      </c>
      <c r="T173" s="33">
        <f>'Exhibit-RMP(RMM-1) page 1'!S49</f>
        <v>36819.375625517539</v>
      </c>
      <c r="U173" s="138">
        <f>I173*K173-M173</f>
        <v>0</v>
      </c>
      <c r="V173" s="139">
        <f>I173*O173-Q173</f>
        <v>0</v>
      </c>
    </row>
    <row r="174" spans="1:22">
      <c r="A174" s="345" t="s">
        <v>90</v>
      </c>
      <c r="B174" s="340"/>
      <c r="C174" s="4">
        <v>3137145374.7653074</v>
      </c>
      <c r="E174" s="355">
        <v>2.9224999999999999</v>
      </c>
      <c r="F174" s="102" t="s">
        <v>11</v>
      </c>
      <c r="G174" s="15">
        <f t="shared" si="55"/>
        <v>91683074</v>
      </c>
      <c r="H174" s="15">
        <v>0</v>
      </c>
      <c r="I174" s="15">
        <f t="shared" si="54"/>
        <v>91683074</v>
      </c>
      <c r="K174" s="103">
        <v>1.3899999999999999E-2</v>
      </c>
      <c r="L174" s="100"/>
      <c r="M174" s="15">
        <f>$I174*K174</f>
        <v>1274394.7286</v>
      </c>
      <c r="O174" s="31">
        <f>$T$172</f>
        <v>2.9499999999999998E-2</v>
      </c>
      <c r="P174" s="100"/>
      <c r="Q174" s="15">
        <f>$I174*O174</f>
        <v>2704650.6829999997</v>
      </c>
      <c r="S174" s="32" t="s">
        <v>46</v>
      </c>
      <c r="T174" s="33">
        <f>'Exhibit-RMP(RMM-1) page 2'!K49</f>
        <v>36786.108768751568</v>
      </c>
      <c r="U174" s="138">
        <f>I174*K174-M174</f>
        <v>0</v>
      </c>
      <c r="V174" s="139">
        <f>I174*O174-Q174</f>
        <v>0</v>
      </c>
    </row>
    <row r="175" spans="1:22">
      <c r="A175" s="345" t="s">
        <v>24</v>
      </c>
      <c r="B175" s="340"/>
      <c r="C175" s="23">
        <v>0</v>
      </c>
      <c r="G175" s="24">
        <v>0</v>
      </c>
      <c r="H175" s="24"/>
      <c r="I175" s="24">
        <f t="shared" si="54"/>
        <v>0</v>
      </c>
      <c r="M175" s="24"/>
      <c r="Q175" s="24"/>
      <c r="S175" s="34" t="s">
        <v>26</v>
      </c>
      <c r="T175" s="39">
        <v>0</v>
      </c>
      <c r="U175" s="138"/>
      <c r="V175" s="139"/>
    </row>
    <row r="176" spans="1:22" ht="16" thickBot="1">
      <c r="A176" s="345" t="s">
        <v>25</v>
      </c>
      <c r="B176" s="340"/>
      <c r="C176" s="29">
        <v>5027435540.7653065</v>
      </c>
      <c r="E176" s="174"/>
      <c r="G176" s="28">
        <f>SUM(G168:G175)</f>
        <v>284876452</v>
      </c>
      <c r="H176" s="28">
        <f>SUM(H168:H175)</f>
        <v>0</v>
      </c>
      <c r="I176" s="28">
        <f>SUM(I168:I175)</f>
        <v>284876452</v>
      </c>
      <c r="K176" s="113"/>
      <c r="M176" s="28">
        <f>SUM(M168:M175)</f>
        <v>3673961.7226999998</v>
      </c>
      <c r="O176" s="113"/>
      <c r="Q176" s="28">
        <f>SUM(Q168:Q175)</f>
        <v>7797256.8935000002</v>
      </c>
      <c r="U176" s="138"/>
      <c r="V176" s="139"/>
    </row>
    <row r="177" spans="1:22" ht="16" thickTop="1">
      <c r="A177" s="160"/>
      <c r="B177" s="340"/>
      <c r="C177" s="4"/>
      <c r="G177" s="92"/>
      <c r="H177" s="92"/>
      <c r="I177" s="92"/>
    </row>
    <row r="178" spans="1:22">
      <c r="A178" s="344" t="s">
        <v>302</v>
      </c>
      <c r="B178" s="340"/>
      <c r="C178" s="4"/>
      <c r="E178" s="30"/>
      <c r="F178" s="115"/>
      <c r="G178" s="92"/>
      <c r="H178" s="92"/>
      <c r="I178" s="92"/>
      <c r="K178" s="108"/>
      <c r="L178" s="109"/>
      <c r="O178" s="108"/>
      <c r="P178" s="109"/>
    </row>
    <row r="179" spans="1:22">
      <c r="A179" s="345" t="s">
        <v>7</v>
      </c>
      <c r="B179" s="340"/>
      <c r="C179" s="4">
        <v>108</v>
      </c>
      <c r="E179" s="14">
        <v>259</v>
      </c>
      <c r="F179" s="100"/>
      <c r="G179" s="15">
        <f>ROUND(E179*$C179,0)</f>
        <v>27972</v>
      </c>
      <c r="H179" s="15"/>
      <c r="I179" s="15">
        <f t="shared" ref="I179:I183" si="56">SUM(G179:H179)</f>
        <v>27972</v>
      </c>
      <c r="M179" s="15"/>
      <c r="Q179" s="15"/>
      <c r="S179" s="70" t="s">
        <v>14</v>
      </c>
      <c r="T179" s="17">
        <f>Q184</f>
        <v>89684.654999999999</v>
      </c>
      <c r="U179" s="138"/>
      <c r="V179" s="139"/>
    </row>
    <row r="180" spans="1:22">
      <c r="A180" s="345" t="s">
        <v>94</v>
      </c>
      <c r="B180" s="340"/>
      <c r="C180" s="4">
        <v>235118</v>
      </c>
      <c r="E180" s="14">
        <v>2.2200000000000002</v>
      </c>
      <c r="F180" s="100"/>
      <c r="G180" s="15">
        <f>ROUND(E180*$C180,0)</f>
        <v>521962</v>
      </c>
      <c r="H180" s="15"/>
      <c r="I180" s="15">
        <f t="shared" si="56"/>
        <v>521962</v>
      </c>
      <c r="K180" s="106"/>
      <c r="L180" s="115"/>
      <c r="M180" s="15"/>
      <c r="O180" s="106"/>
      <c r="P180" s="115"/>
      <c r="Q180" s="15"/>
      <c r="S180" s="71" t="s">
        <v>16</v>
      </c>
      <c r="T180" s="18">
        <f>'Exhibit-RMP(RMM-1) page 2'!K26*1000</f>
        <v>89733.18251442106</v>
      </c>
      <c r="U180" s="138"/>
      <c r="V180" s="139"/>
    </row>
    <row r="181" spans="1:22">
      <c r="A181" s="345" t="s">
        <v>95</v>
      </c>
      <c r="B181" s="340"/>
      <c r="C181" s="4">
        <v>23805248</v>
      </c>
      <c r="E181" s="112">
        <v>8.6029</v>
      </c>
      <c r="F181" s="102" t="s">
        <v>11</v>
      </c>
      <c r="G181" s="15">
        <f>ROUND(E181*$C181/100,0)</f>
        <v>2047942</v>
      </c>
      <c r="H181" s="15">
        <v>0</v>
      </c>
      <c r="I181" s="15">
        <f t="shared" si="56"/>
        <v>2047942</v>
      </c>
      <c r="K181" s="103">
        <v>1.54E-2</v>
      </c>
      <c r="L181" s="102"/>
      <c r="M181" s="15">
        <f>$I181*K181</f>
        <v>31538.306800000002</v>
      </c>
      <c r="O181" s="31">
        <f>$T$182</f>
        <v>3.27E-2</v>
      </c>
      <c r="P181" s="102"/>
      <c r="Q181" s="15">
        <f>$I181*O181</f>
        <v>66967.703399999999</v>
      </c>
      <c r="S181" s="72" t="s">
        <v>18</v>
      </c>
      <c r="T181" s="19">
        <f>T180-T179</f>
        <v>48.527514421060914</v>
      </c>
      <c r="U181" s="138">
        <f>I181*K181-M181</f>
        <v>0</v>
      </c>
      <c r="V181" s="139">
        <f>I181*O181-Q181</f>
        <v>0</v>
      </c>
    </row>
    <row r="182" spans="1:22">
      <c r="A182" s="345" t="s">
        <v>90</v>
      </c>
      <c r="B182" s="340"/>
      <c r="C182" s="4">
        <v>18785533.425473027</v>
      </c>
      <c r="E182" s="112">
        <v>3.6981000000000002</v>
      </c>
      <c r="F182" s="102" t="s">
        <v>11</v>
      </c>
      <c r="G182" s="15">
        <f>ROUND(E182*$C182/100,0)</f>
        <v>694708</v>
      </c>
      <c r="H182" s="15">
        <v>0</v>
      </c>
      <c r="I182" s="15">
        <f t="shared" si="56"/>
        <v>694708</v>
      </c>
      <c r="K182" s="103">
        <v>1.54E-2</v>
      </c>
      <c r="L182" s="102"/>
      <c r="M182" s="15">
        <f>$I182*K182</f>
        <v>10698.503200000001</v>
      </c>
      <c r="O182" s="31">
        <f>$T$182</f>
        <v>3.27E-2</v>
      </c>
      <c r="P182" s="102"/>
      <c r="Q182" s="15">
        <f>$I182*O182</f>
        <v>22716.9516</v>
      </c>
      <c r="S182" s="75" t="s">
        <v>21</v>
      </c>
      <c r="T182" s="76">
        <f>ROUND(T180/SUM(I181:I182),$T$12)</f>
        <v>3.27E-2</v>
      </c>
      <c r="U182" s="138">
        <f>I182*K182-M182</f>
        <v>0</v>
      </c>
      <c r="V182" s="139">
        <f>I182*O182-Q182</f>
        <v>0</v>
      </c>
    </row>
    <row r="183" spans="1:22">
      <c r="A183" s="345" t="s">
        <v>24</v>
      </c>
      <c r="B183" s="340"/>
      <c r="C183" s="23">
        <v>0</v>
      </c>
      <c r="G183" s="24">
        <v>0</v>
      </c>
      <c r="H183" s="24"/>
      <c r="I183" s="24">
        <f t="shared" si="56"/>
        <v>0</v>
      </c>
      <c r="M183" s="24"/>
      <c r="Q183" s="24"/>
      <c r="U183" s="138"/>
      <c r="V183" s="139"/>
    </row>
    <row r="184" spans="1:22" ht="16" thickBot="1">
      <c r="A184" s="345" t="s">
        <v>25</v>
      </c>
      <c r="B184" s="340"/>
      <c r="C184" s="29">
        <v>42590781.425473027</v>
      </c>
      <c r="E184" s="174"/>
      <c r="G184" s="28">
        <f>SUM(G179:G183)</f>
        <v>3292584</v>
      </c>
      <c r="H184" s="28">
        <f>SUM(H179:H183)</f>
        <v>0</v>
      </c>
      <c r="I184" s="28">
        <f>SUM(I179:I183)</f>
        <v>3292584</v>
      </c>
      <c r="K184" s="113"/>
      <c r="M184" s="28">
        <f>SUM(M179:M183)</f>
        <v>42236.810000000005</v>
      </c>
      <c r="O184" s="113"/>
      <c r="Q184" s="28">
        <f>SUM(Q179:Q183)</f>
        <v>89684.654999999999</v>
      </c>
    </row>
    <row r="185" spans="1:22" ht="16" thickTop="1">
      <c r="A185" s="160"/>
      <c r="B185" s="340"/>
      <c r="C185" s="4"/>
      <c r="G185" s="92"/>
      <c r="H185" s="92"/>
      <c r="I185" s="92"/>
    </row>
    <row r="186" spans="1:22">
      <c r="A186" s="344" t="s">
        <v>96</v>
      </c>
      <c r="B186" s="340"/>
      <c r="G186" s="92"/>
      <c r="H186" s="92"/>
      <c r="I186" s="92"/>
    </row>
    <row r="187" spans="1:22">
      <c r="A187" s="345" t="s">
        <v>97</v>
      </c>
      <c r="B187" s="340"/>
      <c r="C187" s="4">
        <v>6</v>
      </c>
      <c r="E187" s="105">
        <v>125</v>
      </c>
      <c r="F187" s="20"/>
      <c r="G187" s="15">
        <f>ROUND(E187*$C187,0)</f>
        <v>750</v>
      </c>
      <c r="H187" s="15"/>
      <c r="I187" s="15">
        <f t="shared" ref="I187:I193" si="57">SUM(G187:H187)</f>
        <v>750</v>
      </c>
      <c r="K187" s="106"/>
      <c r="L187" s="20"/>
      <c r="M187" s="15"/>
      <c r="O187" s="106"/>
      <c r="P187" s="20"/>
      <c r="Q187" s="15"/>
      <c r="S187" s="70" t="s">
        <v>14</v>
      </c>
      <c r="T187" s="17">
        <f>Q200+Q216</f>
        <v>307802.7892</v>
      </c>
      <c r="U187" s="138"/>
      <c r="V187" s="139"/>
    </row>
    <row r="188" spans="1:22">
      <c r="A188" s="345" t="s">
        <v>98</v>
      </c>
      <c r="B188" s="340"/>
      <c r="C188" s="4">
        <v>2778.3333333333335</v>
      </c>
      <c r="E188" s="105">
        <v>38</v>
      </c>
      <c r="F188" s="20"/>
      <c r="G188" s="15">
        <f>ROUND(E188*$C188,0)</f>
        <v>105577</v>
      </c>
      <c r="H188" s="15"/>
      <c r="I188" s="15">
        <f t="shared" si="57"/>
        <v>105577</v>
      </c>
      <c r="K188" s="106"/>
      <c r="L188" s="20"/>
      <c r="M188" s="15"/>
      <c r="O188" s="106"/>
      <c r="P188" s="20"/>
      <c r="Q188" s="15"/>
      <c r="S188" s="71" t="s">
        <v>16</v>
      </c>
      <c r="T188" s="18">
        <f>'Exhibit-RMP(RMM-1) page 2'!K30*1000</f>
        <v>307239.648965222</v>
      </c>
      <c r="U188" s="138"/>
      <c r="V188" s="139"/>
    </row>
    <row r="189" spans="1:22">
      <c r="A189" s="345" t="s">
        <v>99</v>
      </c>
      <c r="B189" s="340"/>
      <c r="C189" s="4">
        <v>12565</v>
      </c>
      <c r="E189" s="105">
        <v>14</v>
      </c>
      <c r="F189" s="20"/>
      <c r="G189" s="15">
        <f>ROUND(E189*$C189,0)</f>
        <v>175910</v>
      </c>
      <c r="H189" s="15"/>
      <c r="I189" s="15">
        <f t="shared" si="57"/>
        <v>175910</v>
      </c>
      <c r="K189" s="106"/>
      <c r="L189" s="20"/>
      <c r="M189" s="15"/>
      <c r="O189" s="106"/>
      <c r="P189" s="20"/>
      <c r="Q189" s="15"/>
      <c r="S189" s="72" t="s">
        <v>18</v>
      </c>
      <c r="T189" s="19">
        <f>T188-T187</f>
        <v>-563.14023477799492</v>
      </c>
      <c r="U189" s="138"/>
      <c r="V189" s="139"/>
    </row>
    <row r="190" spans="1:22">
      <c r="A190" s="345" t="s">
        <v>100</v>
      </c>
      <c r="B190" s="340"/>
      <c r="C190" s="4">
        <v>323633</v>
      </c>
      <c r="E190" s="105">
        <v>7.33</v>
      </c>
      <c r="F190" s="20"/>
      <c r="G190" s="15">
        <f>ROUND(E190*$C190,0)</f>
        <v>2372230</v>
      </c>
      <c r="H190" s="15">
        <v>0</v>
      </c>
      <c r="I190" s="15">
        <f t="shared" si="57"/>
        <v>2372230</v>
      </c>
      <c r="K190" s="103">
        <v>1.0200000000000001E-2</v>
      </c>
      <c r="L190" s="20"/>
      <c r="M190" s="15">
        <f>$I190*K190</f>
        <v>24196.746000000003</v>
      </c>
      <c r="O190" s="106">
        <f>$T$190</f>
        <v>2.18E-2</v>
      </c>
      <c r="P190" s="20"/>
      <c r="Q190" s="15">
        <f>$I190*O190</f>
        <v>51714.614000000001</v>
      </c>
      <c r="S190" s="75" t="s">
        <v>21</v>
      </c>
      <c r="T190" s="76">
        <f>ROUND(T188/SUM(I190,I192:I193,I197,I206,I208:I209,I213),$T$12)</f>
        <v>2.18E-2</v>
      </c>
      <c r="U190" s="138">
        <f>I190*K190-M190</f>
        <v>0</v>
      </c>
      <c r="V190" s="139">
        <f>I190*O190-Q190</f>
        <v>0</v>
      </c>
    </row>
    <row r="191" spans="1:22">
      <c r="A191" s="345" t="s">
        <v>32</v>
      </c>
      <c r="B191" s="340"/>
      <c r="C191" s="4">
        <v>10067</v>
      </c>
      <c r="E191" s="105">
        <v>-2.0499999999999998</v>
      </c>
      <c r="F191" s="20"/>
      <c r="G191" s="15">
        <f>ROUND(E191*$C191,0)</f>
        <v>-20637</v>
      </c>
      <c r="H191" s="15"/>
      <c r="I191" s="15">
        <f t="shared" si="57"/>
        <v>-20637</v>
      </c>
      <c r="K191" s="106"/>
      <c r="L191" s="20"/>
      <c r="M191" s="15"/>
      <c r="O191" s="106"/>
      <c r="P191" s="20"/>
      <c r="Q191" s="15"/>
      <c r="U191" s="138">
        <f>I191*K191-M191</f>
        <v>0</v>
      </c>
      <c r="V191" s="139">
        <f>I191*O191-Q191</f>
        <v>0</v>
      </c>
    </row>
    <row r="192" spans="1:22">
      <c r="A192" s="345" t="s">
        <v>101</v>
      </c>
      <c r="B192" s="340"/>
      <c r="C192" s="4">
        <v>71130178</v>
      </c>
      <c r="E192" s="112">
        <v>7.2971000000000004</v>
      </c>
      <c r="F192" s="102" t="s">
        <v>11</v>
      </c>
      <c r="G192" s="15">
        <f>ROUND(E192*$C192/100,0)</f>
        <v>5190440</v>
      </c>
      <c r="H192" s="15">
        <v>0</v>
      </c>
      <c r="I192" s="15">
        <f t="shared" si="57"/>
        <v>5190440</v>
      </c>
      <c r="K192" s="103">
        <v>1.0200000000000001E-2</v>
      </c>
      <c r="L192" s="102"/>
      <c r="M192" s="15">
        <f>$I192*K192</f>
        <v>52942.488000000005</v>
      </c>
      <c r="O192" s="106">
        <f>$T$190</f>
        <v>2.18E-2</v>
      </c>
      <c r="P192" s="102"/>
      <c r="Q192" s="15">
        <f>$I192*O192</f>
        <v>113151.592</v>
      </c>
      <c r="U192" s="138"/>
      <c r="V192" s="139"/>
    </row>
    <row r="193" spans="1:22">
      <c r="A193" s="345" t="s">
        <v>102</v>
      </c>
      <c r="B193" s="340"/>
      <c r="C193" s="23">
        <v>51830436</v>
      </c>
      <c r="E193" s="112">
        <v>5.3936000000000002</v>
      </c>
      <c r="F193" s="102" t="s">
        <v>11</v>
      </c>
      <c r="G193" s="24">
        <f>ROUND(E193*$C193/100,0)</f>
        <v>2795526</v>
      </c>
      <c r="H193" s="24">
        <v>0</v>
      </c>
      <c r="I193" s="24">
        <f t="shared" si="57"/>
        <v>2795526</v>
      </c>
      <c r="K193" s="103">
        <v>1.0200000000000001E-2</v>
      </c>
      <c r="L193" s="102"/>
      <c r="M193" s="24">
        <f>$I193*K193</f>
        <v>28514.365200000004</v>
      </c>
      <c r="O193" s="106">
        <f>$T$190</f>
        <v>2.18E-2</v>
      </c>
      <c r="P193" s="102"/>
      <c r="Q193" s="24">
        <f>$I193*O193</f>
        <v>60942.466800000002</v>
      </c>
      <c r="U193" s="138"/>
      <c r="V193" s="139"/>
    </row>
    <row r="194" spans="1:22">
      <c r="A194" s="345" t="s">
        <v>103</v>
      </c>
      <c r="B194" s="340"/>
      <c r="C194" s="40">
        <v>122960614</v>
      </c>
      <c r="E194" s="176"/>
      <c r="G194" s="24">
        <f>SUM(G187:G193)</f>
        <v>10619796</v>
      </c>
      <c r="H194" s="24">
        <f>SUM(H187:H193)</f>
        <v>0</v>
      </c>
      <c r="I194" s="24">
        <f>SUM(I187:I193)</f>
        <v>10619796</v>
      </c>
      <c r="K194" s="126"/>
      <c r="M194" s="24">
        <f>SUM(M187:M193)</f>
        <v>105653.59920000001</v>
      </c>
      <c r="O194" s="126"/>
      <c r="Q194" s="24">
        <f>SUM(Q187:Q193)</f>
        <v>225808.6728</v>
      </c>
    </row>
    <row r="195" spans="1:22">
      <c r="A195" s="345" t="s">
        <v>104</v>
      </c>
      <c r="B195" s="340"/>
      <c r="C195" s="4"/>
      <c r="G195" s="92"/>
      <c r="H195" s="92"/>
      <c r="I195" s="92"/>
      <c r="K195" s="126"/>
      <c r="O195" s="126"/>
    </row>
    <row r="196" spans="1:22">
      <c r="A196" s="345" t="s">
        <v>428</v>
      </c>
      <c r="B196" s="340"/>
      <c r="C196" s="16">
        <v>5886</v>
      </c>
      <c r="E196" s="20">
        <v>14</v>
      </c>
      <c r="F196" s="20"/>
      <c r="G196" s="21">
        <f>ROUND(E196*$C196,0)</f>
        <v>82404</v>
      </c>
      <c r="H196" s="21"/>
      <c r="I196" s="21">
        <f t="shared" ref="I196:I197" si="58">SUM(G196:H196)</f>
        <v>82404</v>
      </c>
      <c r="K196" s="121"/>
      <c r="L196" s="20"/>
      <c r="M196" s="21"/>
      <c r="O196" s="121"/>
      <c r="P196" s="20"/>
      <c r="Q196" s="21"/>
    </row>
    <row r="197" spans="1:22">
      <c r="A197" s="345" t="s">
        <v>105</v>
      </c>
      <c r="B197" s="340"/>
      <c r="C197" s="23">
        <v>50172778</v>
      </c>
      <c r="E197" s="30">
        <v>4.9983000000000004</v>
      </c>
      <c r="F197" s="102" t="s">
        <v>11</v>
      </c>
      <c r="G197" s="24">
        <f>ROUND(E197*$C197/100,0)</f>
        <v>2507786</v>
      </c>
      <c r="H197" s="24">
        <v>0</v>
      </c>
      <c r="I197" s="24">
        <f t="shared" si="58"/>
        <v>2507786</v>
      </c>
      <c r="K197" s="103">
        <v>1.0200000000000001E-2</v>
      </c>
      <c r="L197" s="102"/>
      <c r="M197" s="24">
        <f>$I197*K197</f>
        <v>25579.417200000004</v>
      </c>
      <c r="O197" s="106">
        <f>$T$190</f>
        <v>2.18E-2</v>
      </c>
      <c r="P197" s="102"/>
      <c r="Q197" s="24">
        <f>$I197*O197</f>
        <v>54669.734799999998</v>
      </c>
      <c r="U197" s="138">
        <f>I197*K197-M197</f>
        <v>0</v>
      </c>
      <c r="V197" s="139">
        <f>I197*O197-Q197</f>
        <v>0</v>
      </c>
    </row>
    <row r="198" spans="1:22">
      <c r="A198" s="345" t="s">
        <v>106</v>
      </c>
      <c r="B198" s="340"/>
      <c r="C198" s="23">
        <v>50172778</v>
      </c>
      <c r="E198" s="176"/>
      <c r="G198" s="24">
        <f>G196+G197</f>
        <v>2590190</v>
      </c>
      <c r="H198" s="24">
        <f>H196+H197</f>
        <v>0</v>
      </c>
      <c r="I198" s="24">
        <f>I196+I197</f>
        <v>2590190</v>
      </c>
      <c r="K198" s="126"/>
      <c r="M198" s="24">
        <f>M196+M197</f>
        <v>25579.417200000004</v>
      </c>
      <c r="O198" s="126"/>
      <c r="Q198" s="24">
        <f>Q196+Q197</f>
        <v>54669.734799999998</v>
      </c>
    </row>
    <row r="199" spans="1:22">
      <c r="A199" s="345" t="s">
        <v>24</v>
      </c>
      <c r="B199" s="340"/>
      <c r="C199" s="23">
        <v>0</v>
      </c>
      <c r="G199" s="24">
        <v>0</v>
      </c>
      <c r="H199" s="24"/>
      <c r="I199" s="24">
        <f>SUM(G199:H199)</f>
        <v>0</v>
      </c>
      <c r="K199" s="126"/>
      <c r="M199" s="24"/>
      <c r="O199" s="126"/>
      <c r="Q199" s="24"/>
    </row>
    <row r="200" spans="1:22" ht="16" thickBot="1">
      <c r="A200" s="345" t="s">
        <v>107</v>
      </c>
      <c r="B200" s="340"/>
      <c r="C200" s="29">
        <v>173133392</v>
      </c>
      <c r="E200" s="174"/>
      <c r="G200" s="28">
        <f>G198+G194+G199</f>
        <v>13209986</v>
      </c>
      <c r="H200" s="28">
        <f>H198+H194+H199</f>
        <v>0</v>
      </c>
      <c r="I200" s="28">
        <f>I198+I194+I199</f>
        <v>13209986</v>
      </c>
      <c r="K200" s="113"/>
      <c r="M200" s="28">
        <f>M198+M194+M199</f>
        <v>131233.01640000002</v>
      </c>
      <c r="O200" s="113"/>
      <c r="Q200" s="28">
        <f>Q198+Q194+Q199</f>
        <v>280478.40759999998</v>
      </c>
    </row>
    <row r="201" spans="1:22" ht="16" thickTop="1">
      <c r="A201" s="160"/>
      <c r="B201" s="340"/>
      <c r="C201" s="4"/>
      <c r="G201" s="92"/>
      <c r="H201" s="92"/>
      <c r="I201" s="92"/>
      <c r="K201" s="108"/>
      <c r="L201" s="109"/>
      <c r="O201" s="108"/>
      <c r="P201" s="109"/>
    </row>
    <row r="202" spans="1:22">
      <c r="A202" s="344" t="s">
        <v>108</v>
      </c>
      <c r="B202" s="340"/>
      <c r="C202" s="4"/>
      <c r="G202" s="92"/>
      <c r="H202" s="92"/>
      <c r="I202" s="92"/>
    </row>
    <row r="203" spans="1:22">
      <c r="A203" s="345" t="s">
        <v>97</v>
      </c>
      <c r="B203" s="340"/>
      <c r="C203" s="4">
        <v>5</v>
      </c>
      <c r="E203" s="105">
        <v>125</v>
      </c>
      <c r="F203" s="20"/>
      <c r="G203" s="15">
        <f>ROUND(E203*$C203,0)</f>
        <v>625</v>
      </c>
      <c r="H203" s="15"/>
      <c r="I203" s="15">
        <f t="shared" ref="I203:I209" si="59">SUM(G203:H203)</f>
        <v>625</v>
      </c>
      <c r="M203" s="15"/>
      <c r="Q203" s="15"/>
    </row>
    <row r="204" spans="1:22">
      <c r="A204" s="345" t="s">
        <v>98</v>
      </c>
      <c r="B204" s="340"/>
      <c r="C204" s="4">
        <v>256</v>
      </c>
      <c r="E204" s="105">
        <v>38</v>
      </c>
      <c r="F204" s="20"/>
      <c r="G204" s="15">
        <f>ROUND(E204*$C204,0)</f>
        <v>9728</v>
      </c>
      <c r="H204" s="15"/>
      <c r="I204" s="15">
        <f t="shared" si="59"/>
        <v>9728</v>
      </c>
      <c r="K204" s="106"/>
      <c r="L204" s="20"/>
      <c r="M204" s="15"/>
      <c r="O204" s="106"/>
      <c r="P204" s="20"/>
      <c r="Q204" s="15"/>
    </row>
    <row r="205" spans="1:22">
      <c r="A205" s="345" t="s">
        <v>109</v>
      </c>
      <c r="B205" s="340"/>
      <c r="C205" s="16">
        <v>1143</v>
      </c>
      <c r="E205" s="105">
        <v>14</v>
      </c>
      <c r="F205" s="20"/>
      <c r="G205" s="15">
        <f>ROUND(E205*$C205,0)</f>
        <v>16002</v>
      </c>
      <c r="H205" s="15"/>
      <c r="I205" s="15">
        <f t="shared" si="59"/>
        <v>16002</v>
      </c>
      <c r="K205" s="106"/>
      <c r="L205" s="20"/>
      <c r="M205" s="15"/>
      <c r="O205" s="106"/>
      <c r="P205" s="20"/>
      <c r="Q205" s="15"/>
    </row>
    <row r="206" spans="1:22">
      <c r="A206" s="345" t="s">
        <v>100</v>
      </c>
      <c r="B206" s="340"/>
      <c r="C206" s="16">
        <v>37541</v>
      </c>
      <c r="E206" s="105">
        <v>7.33</v>
      </c>
      <c r="F206" s="20"/>
      <c r="G206" s="15">
        <f>ROUND(E206*$C206,0)</f>
        <v>275176</v>
      </c>
      <c r="H206" s="15">
        <v>0</v>
      </c>
      <c r="I206" s="15">
        <f t="shared" si="59"/>
        <v>275176</v>
      </c>
      <c r="K206" s="103">
        <v>1.0200000000000001E-2</v>
      </c>
      <c r="L206" s="20"/>
      <c r="M206" s="15">
        <f>$I206*K206</f>
        <v>2806.7952</v>
      </c>
      <c r="O206" s="106">
        <f>$T$190</f>
        <v>2.18E-2</v>
      </c>
      <c r="P206" s="20"/>
      <c r="Q206" s="15">
        <f>$I206*O206</f>
        <v>5998.8368</v>
      </c>
      <c r="U206" s="138">
        <f>I206*K206-M206</f>
        <v>0</v>
      </c>
      <c r="V206" s="139">
        <f>I206*O206-Q206</f>
        <v>0</v>
      </c>
    </row>
    <row r="207" spans="1:22">
      <c r="A207" s="345" t="s">
        <v>110</v>
      </c>
      <c r="B207" s="340"/>
      <c r="C207" s="16">
        <v>1037</v>
      </c>
      <c r="E207" s="105">
        <v>-2.0499999999999998</v>
      </c>
      <c r="F207" s="20"/>
      <c r="G207" s="15">
        <f>ROUND(E207*$C207,0)</f>
        <v>-2126</v>
      </c>
      <c r="H207" s="15"/>
      <c r="I207" s="15">
        <f t="shared" si="59"/>
        <v>-2126</v>
      </c>
      <c r="K207" s="106"/>
      <c r="L207" s="20"/>
      <c r="M207" s="15"/>
      <c r="O207" s="106"/>
      <c r="P207" s="20"/>
      <c r="Q207" s="15"/>
      <c r="U207" s="138"/>
      <c r="V207" s="139"/>
    </row>
    <row r="208" spans="1:22">
      <c r="A208" s="345" t="s">
        <v>95</v>
      </c>
      <c r="B208" s="340"/>
      <c r="C208" s="16">
        <v>2262299</v>
      </c>
      <c r="E208" s="112">
        <v>14.416399999999999</v>
      </c>
      <c r="F208" s="102" t="s">
        <v>11</v>
      </c>
      <c r="G208" s="15">
        <f>ROUND(E208*$C208/100,0)</f>
        <v>326142</v>
      </c>
      <c r="H208" s="15">
        <v>0</v>
      </c>
      <c r="I208" s="15">
        <f t="shared" si="59"/>
        <v>326142</v>
      </c>
      <c r="K208" s="103">
        <v>1.0200000000000001E-2</v>
      </c>
      <c r="L208" s="102"/>
      <c r="M208" s="15">
        <f>$I208*K208</f>
        <v>3326.6484</v>
      </c>
      <c r="O208" s="106">
        <f>$T$190</f>
        <v>2.18E-2</v>
      </c>
      <c r="P208" s="102"/>
      <c r="Q208" s="15">
        <f>$I208*O208</f>
        <v>7109.8955999999998</v>
      </c>
      <c r="U208" s="138">
        <f>I208*K208-M208</f>
        <v>0</v>
      </c>
      <c r="V208" s="139">
        <f>I208*O208-Q208</f>
        <v>0</v>
      </c>
    </row>
    <row r="209" spans="1:22">
      <c r="A209" s="345" t="s">
        <v>90</v>
      </c>
      <c r="B209" s="340"/>
      <c r="C209" s="23">
        <v>8574215</v>
      </c>
      <c r="E209" s="30">
        <v>4.1542000000000003</v>
      </c>
      <c r="F209" s="102" t="s">
        <v>11</v>
      </c>
      <c r="G209" s="24">
        <f>ROUND(E209*$C209/100,0)</f>
        <v>356190</v>
      </c>
      <c r="H209" s="24">
        <v>0</v>
      </c>
      <c r="I209" s="24">
        <f t="shared" si="59"/>
        <v>356190</v>
      </c>
      <c r="K209" s="103">
        <v>1.0200000000000001E-2</v>
      </c>
      <c r="L209" s="102"/>
      <c r="M209" s="24">
        <f>$I209*K209</f>
        <v>3633.1380000000004</v>
      </c>
      <c r="O209" s="106">
        <f>$T$190</f>
        <v>2.18E-2</v>
      </c>
      <c r="P209" s="102"/>
      <c r="Q209" s="24">
        <f>$I209*O209</f>
        <v>7764.942</v>
      </c>
      <c r="U209" s="138">
        <f>I209*K209-M209</f>
        <v>0</v>
      </c>
      <c r="V209" s="139">
        <f>I209*O209-Q209</f>
        <v>0</v>
      </c>
    </row>
    <row r="210" spans="1:22">
      <c r="A210" s="345" t="s">
        <v>103</v>
      </c>
      <c r="B210" s="340"/>
      <c r="C210" s="23">
        <v>10836514</v>
      </c>
      <c r="E210" s="176"/>
      <c r="G210" s="24">
        <f>SUM(G203:G209)</f>
        <v>981737</v>
      </c>
      <c r="H210" s="24">
        <f>SUM(H203:H209)</f>
        <v>0</v>
      </c>
      <c r="I210" s="24">
        <f>SUM(I203:I209)</f>
        <v>981737</v>
      </c>
      <c r="K210" s="126"/>
      <c r="M210" s="24">
        <f>SUM(M203:M209)</f>
        <v>9766.5816000000013</v>
      </c>
      <c r="O210" s="126"/>
      <c r="Q210" s="24">
        <f>SUM(Q203:Q209)</f>
        <v>20873.6744</v>
      </c>
    </row>
    <row r="211" spans="1:22">
      <c r="A211" s="345" t="s">
        <v>104</v>
      </c>
      <c r="B211" s="340"/>
      <c r="C211" s="4"/>
      <c r="G211" s="92"/>
      <c r="H211" s="92"/>
      <c r="I211" s="92"/>
      <c r="K211" s="126"/>
      <c r="O211" s="126"/>
    </row>
    <row r="212" spans="1:22">
      <c r="A212" s="345" t="s">
        <v>428</v>
      </c>
      <c r="B212" s="340"/>
      <c r="C212" s="16">
        <v>570</v>
      </c>
      <c r="E212" s="20">
        <v>14</v>
      </c>
      <c r="F212" s="20"/>
      <c r="G212" s="21">
        <f>ROUND(E212*$C212,0)</f>
        <v>7980</v>
      </c>
      <c r="H212" s="21"/>
      <c r="I212" s="21">
        <f t="shared" ref="I212:I213" si="60">SUM(G212:H212)</f>
        <v>7980</v>
      </c>
      <c r="K212" s="121"/>
      <c r="L212" s="20"/>
      <c r="M212" s="21"/>
      <c r="O212" s="121"/>
      <c r="P212" s="20"/>
      <c r="Q212" s="21"/>
    </row>
    <row r="213" spans="1:22">
      <c r="A213" s="345" t="s">
        <v>105</v>
      </c>
      <c r="B213" s="340"/>
      <c r="C213" s="23">
        <v>5920094</v>
      </c>
      <c r="E213" s="30">
        <v>4.9983000000000004</v>
      </c>
      <c r="F213" s="102" t="s">
        <v>11</v>
      </c>
      <c r="G213" s="24">
        <f>ROUND(E213*$C213/100,0)</f>
        <v>295904</v>
      </c>
      <c r="H213" s="24">
        <v>0</v>
      </c>
      <c r="I213" s="24">
        <f t="shared" si="60"/>
        <v>295904</v>
      </c>
      <c r="K213" s="103">
        <v>1.0200000000000001E-2</v>
      </c>
      <c r="L213" s="102"/>
      <c r="M213" s="24">
        <f>$I213*K213</f>
        <v>3018.2208000000001</v>
      </c>
      <c r="O213" s="106">
        <f>$T$190</f>
        <v>2.18E-2</v>
      </c>
      <c r="P213" s="102"/>
      <c r="Q213" s="24">
        <f>$I213*O213</f>
        <v>6450.7071999999998</v>
      </c>
      <c r="U213" s="138">
        <f>I213*K213-M213</f>
        <v>0</v>
      </c>
      <c r="V213" s="139">
        <f>I213*O213-Q213</f>
        <v>0</v>
      </c>
    </row>
    <row r="214" spans="1:22">
      <c r="A214" s="345" t="s">
        <v>106</v>
      </c>
      <c r="B214" s="340"/>
      <c r="C214" s="23">
        <v>5920094</v>
      </c>
      <c r="E214" s="176"/>
      <c r="G214" s="24">
        <f>G212+G213</f>
        <v>303884</v>
      </c>
      <c r="H214" s="24">
        <f>H212+H213</f>
        <v>0</v>
      </c>
      <c r="I214" s="24">
        <f>I212+I213</f>
        <v>303884</v>
      </c>
      <c r="K214" s="126"/>
      <c r="M214" s="24">
        <f>M212+M213</f>
        <v>3018.2208000000001</v>
      </c>
      <c r="O214" s="126"/>
      <c r="Q214" s="24">
        <f>Q212+Q213</f>
        <v>6450.7071999999998</v>
      </c>
    </row>
    <row r="215" spans="1:22">
      <c r="A215" s="345" t="s">
        <v>24</v>
      </c>
      <c r="B215" s="340"/>
      <c r="C215" s="23">
        <v>0</v>
      </c>
      <c r="G215" s="24">
        <v>0</v>
      </c>
      <c r="H215" s="24"/>
      <c r="I215" s="24">
        <f>SUM(G215:H215)</f>
        <v>0</v>
      </c>
      <c r="K215" s="126"/>
      <c r="M215" s="24"/>
      <c r="O215" s="126"/>
      <c r="Q215" s="24"/>
    </row>
    <row r="216" spans="1:22" ht="16" thickBot="1">
      <c r="A216" s="345" t="s">
        <v>111</v>
      </c>
      <c r="B216" s="340"/>
      <c r="C216" s="29">
        <v>16756608</v>
      </c>
      <c r="E216" s="174"/>
      <c r="G216" s="28">
        <f>G214+G210+G215</f>
        <v>1285621</v>
      </c>
      <c r="H216" s="28">
        <f>H214+H210+H215</f>
        <v>0</v>
      </c>
      <c r="I216" s="28">
        <f>I214+I210+I215</f>
        <v>1285621</v>
      </c>
      <c r="K216" s="113"/>
      <c r="M216" s="28">
        <f>M214+M210+M215</f>
        <v>12784.8024</v>
      </c>
      <c r="O216" s="113"/>
      <c r="Q216" s="28">
        <f>Q214+Q210+Q215</f>
        <v>27324.381600000001</v>
      </c>
    </row>
    <row r="217" spans="1:22" ht="16" thickTop="1">
      <c r="A217" s="160"/>
      <c r="B217" s="340"/>
      <c r="C217" s="4"/>
      <c r="G217" s="92"/>
      <c r="H217" s="92"/>
      <c r="I217" s="92"/>
    </row>
    <row r="218" spans="1:22">
      <c r="A218" s="344" t="s">
        <v>112</v>
      </c>
      <c r="B218" s="160"/>
      <c r="C218" s="4"/>
      <c r="G218" s="92"/>
      <c r="H218" s="92"/>
      <c r="I218" s="92"/>
      <c r="K218" s="108"/>
      <c r="L218" s="109"/>
      <c r="O218" s="108"/>
      <c r="P218" s="109"/>
    </row>
    <row r="219" spans="1:22">
      <c r="A219" s="349" t="s">
        <v>303</v>
      </c>
      <c r="B219" s="160"/>
      <c r="C219" s="16"/>
      <c r="E219" s="100"/>
      <c r="F219" s="100"/>
      <c r="G219" s="21"/>
      <c r="H219" s="21"/>
      <c r="I219" s="21"/>
      <c r="M219" s="21"/>
      <c r="Q219" s="21"/>
    </row>
    <row r="220" spans="1:22">
      <c r="A220" s="345" t="s">
        <v>114</v>
      </c>
      <c r="B220" s="160"/>
      <c r="C220" s="4">
        <v>34757</v>
      </c>
      <c r="E220" s="14">
        <v>11.8</v>
      </c>
      <c r="F220" s="100"/>
      <c r="G220" s="15">
        <f t="shared" ref="G220:G234" si="61">ROUND(C220*E220,0)</f>
        <v>410133</v>
      </c>
      <c r="H220" s="15">
        <v>0</v>
      </c>
      <c r="I220" s="15">
        <f t="shared" ref="I220:I234" si="62">SUM(G220:H220)</f>
        <v>410133</v>
      </c>
      <c r="K220" s="103">
        <v>5.0000000000000001E-3</v>
      </c>
      <c r="L220" s="100"/>
      <c r="M220" s="15">
        <f t="shared" ref="M220:M234" si="63">$I220*K220</f>
        <v>2050.665</v>
      </c>
      <c r="O220" s="31">
        <f t="shared" ref="O220:O234" si="64">$T$121</f>
        <v>1.06E-2</v>
      </c>
      <c r="P220" s="100"/>
      <c r="Q220" s="15">
        <f t="shared" ref="Q220:Q234" si="65">$I220*O220</f>
        <v>4347.4098000000004</v>
      </c>
      <c r="U220" s="138">
        <f t="shared" ref="U220:U234" si="66">I220*K220-M220</f>
        <v>0</v>
      </c>
      <c r="V220" s="139">
        <f t="shared" ref="V220:V234" si="67">I220*O220-Q220</f>
        <v>0</v>
      </c>
    </row>
    <row r="221" spans="1:22" s="164" customFormat="1">
      <c r="A221" s="345" t="s">
        <v>115</v>
      </c>
      <c r="B221" s="160"/>
      <c r="C221" s="4">
        <v>218738</v>
      </c>
      <c r="D221" s="167"/>
      <c r="E221" s="14">
        <v>12.78</v>
      </c>
      <c r="F221" s="100"/>
      <c r="G221" s="15">
        <f t="shared" si="61"/>
        <v>2795472</v>
      </c>
      <c r="H221" s="15">
        <v>0</v>
      </c>
      <c r="I221" s="15">
        <f t="shared" si="62"/>
        <v>2795472</v>
      </c>
      <c r="J221" s="5"/>
      <c r="K221" s="103">
        <v>5.0000000000000001E-3</v>
      </c>
      <c r="L221" s="100"/>
      <c r="M221" s="15">
        <f t="shared" si="63"/>
        <v>13977.36</v>
      </c>
      <c r="N221" s="5"/>
      <c r="O221" s="31">
        <f t="shared" si="64"/>
        <v>1.06E-2</v>
      </c>
      <c r="P221" s="100"/>
      <c r="Q221" s="15">
        <f t="shared" si="65"/>
        <v>29632.003199999999</v>
      </c>
      <c r="U221" s="138">
        <f t="shared" si="66"/>
        <v>0</v>
      </c>
      <c r="V221" s="139">
        <f t="shared" si="67"/>
        <v>0</v>
      </c>
    </row>
    <row r="222" spans="1:22" s="164" customFormat="1">
      <c r="A222" s="345" t="s">
        <v>116</v>
      </c>
      <c r="B222" s="160"/>
      <c r="C222" s="4">
        <v>132</v>
      </c>
      <c r="D222" s="167"/>
      <c r="E222" s="14">
        <v>11.5</v>
      </c>
      <c r="F222" s="100"/>
      <c r="G222" s="15">
        <f t="shared" si="61"/>
        <v>1518</v>
      </c>
      <c r="H222" s="15">
        <v>0</v>
      </c>
      <c r="I222" s="15">
        <f t="shared" si="62"/>
        <v>1518</v>
      </c>
      <c r="J222" s="5"/>
      <c r="K222" s="103">
        <v>5.0000000000000001E-3</v>
      </c>
      <c r="L222" s="100"/>
      <c r="M222" s="15">
        <f t="shared" si="63"/>
        <v>7.59</v>
      </c>
      <c r="N222" s="5"/>
      <c r="O222" s="31">
        <f t="shared" si="64"/>
        <v>1.06E-2</v>
      </c>
      <c r="P222" s="100"/>
      <c r="Q222" s="15">
        <f t="shared" si="65"/>
        <v>16.090800000000002</v>
      </c>
      <c r="U222" s="138">
        <f t="shared" si="66"/>
        <v>0</v>
      </c>
      <c r="V222" s="139">
        <f t="shared" si="67"/>
        <v>0</v>
      </c>
    </row>
    <row r="223" spans="1:22" s="164" customFormat="1">
      <c r="A223" s="345" t="s">
        <v>117</v>
      </c>
      <c r="B223" s="160"/>
      <c r="C223" s="4">
        <v>409</v>
      </c>
      <c r="D223" s="167"/>
      <c r="E223" s="14">
        <v>46.54</v>
      </c>
      <c r="F223" s="100"/>
      <c r="G223" s="15">
        <f t="shared" si="61"/>
        <v>19035</v>
      </c>
      <c r="H223" s="15">
        <v>0</v>
      </c>
      <c r="I223" s="15">
        <f t="shared" si="62"/>
        <v>19035</v>
      </c>
      <c r="J223" s="5"/>
      <c r="K223" s="103">
        <v>5.0000000000000001E-3</v>
      </c>
      <c r="L223" s="100"/>
      <c r="M223" s="15">
        <f t="shared" si="63"/>
        <v>95.174999999999997</v>
      </c>
      <c r="N223" s="5"/>
      <c r="O223" s="31">
        <f t="shared" si="64"/>
        <v>1.06E-2</v>
      </c>
      <c r="P223" s="100"/>
      <c r="Q223" s="15">
        <f t="shared" si="65"/>
        <v>201.77100000000002</v>
      </c>
      <c r="U223" s="138">
        <f t="shared" si="66"/>
        <v>0</v>
      </c>
      <c r="V223" s="139">
        <f t="shared" si="67"/>
        <v>0</v>
      </c>
    </row>
    <row r="224" spans="1:22" s="164" customFormat="1">
      <c r="A224" s="345" t="s">
        <v>118</v>
      </c>
      <c r="B224" s="160"/>
      <c r="C224" s="4">
        <v>60</v>
      </c>
      <c r="D224" s="167"/>
      <c r="E224" s="14">
        <v>38.049999999999997</v>
      </c>
      <c r="F224" s="100"/>
      <c r="G224" s="15">
        <f t="shared" si="61"/>
        <v>2283</v>
      </c>
      <c r="H224" s="15">
        <v>0</v>
      </c>
      <c r="I224" s="15">
        <f t="shared" si="62"/>
        <v>2283</v>
      </c>
      <c r="J224" s="5"/>
      <c r="K224" s="103">
        <v>5.0000000000000001E-3</v>
      </c>
      <c r="L224" s="100"/>
      <c r="M224" s="15">
        <f t="shared" si="63"/>
        <v>11.415000000000001</v>
      </c>
      <c r="N224" s="5"/>
      <c r="O224" s="31">
        <f t="shared" si="64"/>
        <v>1.06E-2</v>
      </c>
      <c r="P224" s="100"/>
      <c r="Q224" s="15">
        <f t="shared" si="65"/>
        <v>24.1998</v>
      </c>
      <c r="U224" s="138">
        <f t="shared" si="66"/>
        <v>0</v>
      </c>
      <c r="V224" s="139">
        <f t="shared" si="67"/>
        <v>0</v>
      </c>
    </row>
    <row r="225" spans="1:22" s="164" customFormat="1">
      <c r="A225" s="345" t="s">
        <v>119</v>
      </c>
      <c r="B225" s="160"/>
      <c r="C225" s="4">
        <v>21158</v>
      </c>
      <c r="D225" s="167"/>
      <c r="E225" s="14">
        <v>16.940000000000001</v>
      </c>
      <c r="F225" s="100"/>
      <c r="G225" s="15">
        <f t="shared" si="61"/>
        <v>358417</v>
      </c>
      <c r="H225" s="15">
        <v>0</v>
      </c>
      <c r="I225" s="15">
        <f t="shared" si="62"/>
        <v>358417</v>
      </c>
      <c r="J225" s="5"/>
      <c r="K225" s="103">
        <v>5.0000000000000001E-3</v>
      </c>
      <c r="L225" s="100"/>
      <c r="M225" s="15">
        <f t="shared" si="63"/>
        <v>1792.085</v>
      </c>
      <c r="N225" s="5"/>
      <c r="O225" s="31">
        <f t="shared" si="64"/>
        <v>1.06E-2</v>
      </c>
      <c r="P225" s="100"/>
      <c r="Q225" s="15">
        <f t="shared" si="65"/>
        <v>3799.2202000000002</v>
      </c>
      <c r="U225" s="138">
        <f t="shared" si="66"/>
        <v>0</v>
      </c>
      <c r="V225" s="139">
        <f t="shared" si="67"/>
        <v>0</v>
      </c>
    </row>
    <row r="226" spans="1:22" s="164" customFormat="1">
      <c r="A226" s="345" t="s">
        <v>120</v>
      </c>
      <c r="B226" s="160"/>
      <c r="C226" s="4">
        <v>96</v>
      </c>
      <c r="D226" s="167"/>
      <c r="E226" s="14">
        <v>15.25</v>
      </c>
      <c r="F226" s="100"/>
      <c r="G226" s="15">
        <f t="shared" si="61"/>
        <v>1464</v>
      </c>
      <c r="H226" s="15">
        <v>0</v>
      </c>
      <c r="I226" s="15">
        <f t="shared" si="62"/>
        <v>1464</v>
      </c>
      <c r="J226" s="5"/>
      <c r="K226" s="103">
        <v>5.0000000000000001E-3</v>
      </c>
      <c r="L226" s="100"/>
      <c r="M226" s="15">
        <f t="shared" si="63"/>
        <v>7.32</v>
      </c>
      <c r="N226" s="5"/>
      <c r="O226" s="31">
        <f t="shared" si="64"/>
        <v>1.06E-2</v>
      </c>
      <c r="P226" s="100"/>
      <c r="Q226" s="15">
        <f t="shared" si="65"/>
        <v>15.5184</v>
      </c>
      <c r="U226" s="138">
        <f t="shared" si="66"/>
        <v>0</v>
      </c>
      <c r="V226" s="139">
        <f t="shared" si="67"/>
        <v>0</v>
      </c>
    </row>
    <row r="227" spans="1:22" s="164" customFormat="1">
      <c r="A227" s="345" t="s">
        <v>121</v>
      </c>
      <c r="B227" s="160"/>
      <c r="C227" s="4">
        <v>2421</v>
      </c>
      <c r="D227" s="167"/>
      <c r="E227" s="14">
        <v>47.83</v>
      </c>
      <c r="F227" s="100"/>
      <c r="G227" s="15">
        <f t="shared" si="61"/>
        <v>115796</v>
      </c>
      <c r="H227" s="15">
        <v>0</v>
      </c>
      <c r="I227" s="15">
        <f t="shared" si="62"/>
        <v>115796</v>
      </c>
      <c r="J227" s="5"/>
      <c r="K227" s="103">
        <v>5.0000000000000001E-3</v>
      </c>
      <c r="L227" s="100"/>
      <c r="M227" s="15">
        <f t="shared" si="63"/>
        <v>578.98</v>
      </c>
      <c r="N227" s="5"/>
      <c r="O227" s="31">
        <f t="shared" si="64"/>
        <v>1.06E-2</v>
      </c>
      <c r="P227" s="100"/>
      <c r="Q227" s="15">
        <f t="shared" si="65"/>
        <v>1227.4376</v>
      </c>
      <c r="U227" s="138">
        <f t="shared" si="66"/>
        <v>0</v>
      </c>
      <c r="V227" s="139">
        <f t="shared" si="67"/>
        <v>0</v>
      </c>
    </row>
    <row r="228" spans="1:22" s="164" customFormat="1">
      <c r="A228" s="345" t="s">
        <v>122</v>
      </c>
      <c r="B228" s="160"/>
      <c r="C228" s="4">
        <v>886</v>
      </c>
      <c r="D228" s="167"/>
      <c r="E228" s="14">
        <v>39.340000000000003</v>
      </c>
      <c r="F228" s="100"/>
      <c r="G228" s="15">
        <f t="shared" si="61"/>
        <v>34855</v>
      </c>
      <c r="H228" s="15">
        <v>0</v>
      </c>
      <c r="I228" s="15">
        <f t="shared" si="62"/>
        <v>34855</v>
      </c>
      <c r="J228" s="5"/>
      <c r="K228" s="103">
        <v>5.0000000000000001E-3</v>
      </c>
      <c r="L228" s="100"/>
      <c r="M228" s="15">
        <f t="shared" si="63"/>
        <v>174.27500000000001</v>
      </c>
      <c r="N228" s="5"/>
      <c r="O228" s="31">
        <f t="shared" si="64"/>
        <v>1.06E-2</v>
      </c>
      <c r="P228" s="100"/>
      <c r="Q228" s="15">
        <f t="shared" si="65"/>
        <v>369.46300000000002</v>
      </c>
      <c r="U228" s="138">
        <f t="shared" si="66"/>
        <v>0</v>
      </c>
      <c r="V228" s="139">
        <f t="shared" si="67"/>
        <v>0</v>
      </c>
    </row>
    <row r="229" spans="1:22" s="164" customFormat="1">
      <c r="A229" s="345" t="s">
        <v>123</v>
      </c>
      <c r="B229" s="160"/>
      <c r="C229" s="4">
        <v>26178</v>
      </c>
      <c r="D229" s="167"/>
      <c r="E229" s="14">
        <v>21.14</v>
      </c>
      <c r="F229" s="100"/>
      <c r="G229" s="15">
        <f t="shared" si="61"/>
        <v>553403</v>
      </c>
      <c r="H229" s="15">
        <v>0</v>
      </c>
      <c r="I229" s="15">
        <f t="shared" si="62"/>
        <v>553403</v>
      </c>
      <c r="J229" s="5"/>
      <c r="K229" s="103">
        <v>5.0000000000000001E-3</v>
      </c>
      <c r="L229" s="100"/>
      <c r="M229" s="15">
        <f t="shared" si="63"/>
        <v>2767.0149999999999</v>
      </c>
      <c r="N229" s="5"/>
      <c r="O229" s="31">
        <f t="shared" si="64"/>
        <v>1.06E-2</v>
      </c>
      <c r="P229" s="100"/>
      <c r="Q229" s="15">
        <f t="shared" si="65"/>
        <v>5866.0717999999997</v>
      </c>
      <c r="U229" s="138">
        <f t="shared" si="66"/>
        <v>0</v>
      </c>
      <c r="V229" s="139">
        <f t="shared" si="67"/>
        <v>0</v>
      </c>
    </row>
    <row r="230" spans="1:22" s="164" customFormat="1">
      <c r="A230" s="345" t="s">
        <v>124</v>
      </c>
      <c r="B230" s="160"/>
      <c r="C230" s="4">
        <v>12</v>
      </c>
      <c r="D230" s="167"/>
      <c r="E230" s="14">
        <v>19.03</v>
      </c>
      <c r="F230" s="100"/>
      <c r="G230" s="15">
        <f t="shared" si="61"/>
        <v>228</v>
      </c>
      <c r="H230" s="15">
        <v>0</v>
      </c>
      <c r="I230" s="15">
        <f t="shared" si="62"/>
        <v>228</v>
      </c>
      <c r="J230" s="5"/>
      <c r="K230" s="103">
        <v>5.0000000000000001E-3</v>
      </c>
      <c r="L230" s="100"/>
      <c r="M230" s="15">
        <f t="shared" si="63"/>
        <v>1.1400000000000001</v>
      </c>
      <c r="N230" s="5"/>
      <c r="O230" s="31">
        <f t="shared" si="64"/>
        <v>1.06E-2</v>
      </c>
      <c r="P230" s="100"/>
      <c r="Q230" s="15">
        <f t="shared" si="65"/>
        <v>2.4167999999999998</v>
      </c>
      <c r="U230" s="138">
        <f t="shared" si="66"/>
        <v>0</v>
      </c>
      <c r="V230" s="139">
        <f t="shared" si="67"/>
        <v>0</v>
      </c>
    </row>
    <row r="231" spans="1:22" s="164" customFormat="1">
      <c r="A231" s="345" t="s">
        <v>125</v>
      </c>
      <c r="B231" s="160"/>
      <c r="C231" s="4">
        <v>1253</v>
      </c>
      <c r="D231" s="167"/>
      <c r="E231" s="14">
        <v>51.48</v>
      </c>
      <c r="F231" s="100"/>
      <c r="G231" s="15">
        <f t="shared" si="61"/>
        <v>64504</v>
      </c>
      <c r="H231" s="15">
        <v>0</v>
      </c>
      <c r="I231" s="15">
        <f t="shared" si="62"/>
        <v>64504</v>
      </c>
      <c r="J231" s="5"/>
      <c r="K231" s="103">
        <v>5.0000000000000001E-3</v>
      </c>
      <c r="L231" s="100"/>
      <c r="M231" s="15">
        <f t="shared" si="63"/>
        <v>322.52</v>
      </c>
      <c r="N231" s="5"/>
      <c r="O231" s="31">
        <f t="shared" si="64"/>
        <v>1.06E-2</v>
      </c>
      <c r="P231" s="100"/>
      <c r="Q231" s="15">
        <f t="shared" si="65"/>
        <v>683.74239999999998</v>
      </c>
      <c r="U231" s="138">
        <f t="shared" si="66"/>
        <v>0</v>
      </c>
      <c r="V231" s="139">
        <f t="shared" si="67"/>
        <v>0</v>
      </c>
    </row>
    <row r="232" spans="1:22" s="164" customFormat="1">
      <c r="A232" s="345" t="s">
        <v>126</v>
      </c>
      <c r="B232" s="160"/>
      <c r="C232" s="4">
        <v>0</v>
      </c>
      <c r="D232" s="167"/>
      <c r="E232" s="14">
        <v>43.01</v>
      </c>
      <c r="F232" s="100"/>
      <c r="G232" s="15">
        <f t="shared" si="61"/>
        <v>0</v>
      </c>
      <c r="H232" s="15">
        <v>0</v>
      </c>
      <c r="I232" s="15">
        <f t="shared" si="62"/>
        <v>0</v>
      </c>
      <c r="J232" s="5"/>
      <c r="K232" s="103">
        <v>5.0000000000000001E-3</v>
      </c>
      <c r="L232" s="100"/>
      <c r="M232" s="15">
        <f t="shared" si="63"/>
        <v>0</v>
      </c>
      <c r="N232" s="5"/>
      <c r="O232" s="31">
        <f t="shared" si="64"/>
        <v>1.06E-2</v>
      </c>
      <c r="P232" s="100"/>
      <c r="Q232" s="15">
        <f t="shared" si="65"/>
        <v>0</v>
      </c>
      <c r="U232" s="138">
        <f t="shared" si="66"/>
        <v>0</v>
      </c>
      <c r="V232" s="139">
        <f t="shared" si="67"/>
        <v>0</v>
      </c>
    </row>
    <row r="233" spans="1:22" s="164" customFormat="1">
      <c r="A233" s="345" t="s">
        <v>127</v>
      </c>
      <c r="B233" s="160"/>
      <c r="C233" s="4">
        <v>11406</v>
      </c>
      <c r="D233" s="167"/>
      <c r="E233" s="14">
        <v>26.02</v>
      </c>
      <c r="F233" s="100"/>
      <c r="G233" s="15">
        <f t="shared" si="61"/>
        <v>296784</v>
      </c>
      <c r="H233" s="15">
        <v>0</v>
      </c>
      <c r="I233" s="15">
        <f t="shared" si="62"/>
        <v>296784</v>
      </c>
      <c r="J233" s="5"/>
      <c r="K233" s="103">
        <v>5.0000000000000001E-3</v>
      </c>
      <c r="L233" s="100"/>
      <c r="M233" s="15">
        <f t="shared" si="63"/>
        <v>1483.92</v>
      </c>
      <c r="N233" s="5"/>
      <c r="O233" s="31">
        <f t="shared" si="64"/>
        <v>1.06E-2</v>
      </c>
      <c r="P233" s="100"/>
      <c r="Q233" s="15">
        <f t="shared" si="65"/>
        <v>3145.9104000000002</v>
      </c>
      <c r="U233" s="138">
        <f t="shared" si="66"/>
        <v>0</v>
      </c>
      <c r="V233" s="139">
        <f t="shared" si="67"/>
        <v>0</v>
      </c>
    </row>
    <row r="234" spans="1:22" s="164" customFormat="1">
      <c r="A234" s="345" t="s">
        <v>128</v>
      </c>
      <c r="B234" s="160"/>
      <c r="C234" s="4">
        <v>0</v>
      </c>
      <c r="D234" s="167"/>
      <c r="E234" s="14">
        <v>51.54</v>
      </c>
      <c r="F234" s="100"/>
      <c r="G234" s="15">
        <f t="shared" si="61"/>
        <v>0</v>
      </c>
      <c r="H234" s="15">
        <v>0</v>
      </c>
      <c r="I234" s="15">
        <f t="shared" si="62"/>
        <v>0</v>
      </c>
      <c r="J234" s="5"/>
      <c r="K234" s="103">
        <v>5.0000000000000001E-3</v>
      </c>
      <c r="L234" s="100"/>
      <c r="M234" s="15">
        <f t="shared" si="63"/>
        <v>0</v>
      </c>
      <c r="N234" s="5"/>
      <c r="O234" s="31">
        <f t="shared" si="64"/>
        <v>1.06E-2</v>
      </c>
      <c r="P234" s="100"/>
      <c r="Q234" s="15">
        <f t="shared" si="65"/>
        <v>0</v>
      </c>
      <c r="U234" s="138">
        <f t="shared" si="66"/>
        <v>0</v>
      </c>
      <c r="V234" s="139">
        <f t="shared" si="67"/>
        <v>0</v>
      </c>
    </row>
    <row r="235" spans="1:22" s="164" customFormat="1">
      <c r="A235" s="349" t="s">
        <v>304</v>
      </c>
      <c r="B235" s="160"/>
      <c r="C235" s="4"/>
      <c r="D235" s="167"/>
      <c r="E235" s="105"/>
      <c r="F235" s="20"/>
      <c r="G235" s="15"/>
      <c r="H235" s="15"/>
      <c r="I235" s="15"/>
      <c r="J235" s="5"/>
      <c r="K235" s="106"/>
      <c r="L235" s="20"/>
      <c r="M235" s="15"/>
      <c r="N235" s="5"/>
      <c r="O235" s="106"/>
      <c r="P235" s="20"/>
      <c r="Q235" s="15"/>
      <c r="U235" s="138"/>
      <c r="V235" s="139"/>
    </row>
    <row r="236" spans="1:22" s="160" customFormat="1">
      <c r="A236" s="345" t="s">
        <v>130</v>
      </c>
      <c r="C236" s="4">
        <v>36</v>
      </c>
      <c r="D236" s="167"/>
      <c r="E236" s="14">
        <v>48.74</v>
      </c>
      <c r="F236" s="100"/>
      <c r="G236" s="15">
        <f t="shared" ref="G236:G246" si="68">ROUND(C236*E236,0)</f>
        <v>1755</v>
      </c>
      <c r="H236" s="15">
        <v>0</v>
      </c>
      <c r="I236" s="15">
        <f t="shared" ref="I236:I246" si="69">SUM(G236:H236)</f>
        <v>1755</v>
      </c>
      <c r="J236" s="5"/>
      <c r="K236" s="103">
        <v>5.0000000000000001E-3</v>
      </c>
      <c r="L236" s="100"/>
      <c r="M236" s="15">
        <f t="shared" ref="M236:M246" si="70">$I236*K236</f>
        <v>8.7750000000000004</v>
      </c>
      <c r="N236" s="5"/>
      <c r="O236" s="31">
        <f t="shared" ref="O236:O246" si="71">$T$121</f>
        <v>1.06E-2</v>
      </c>
      <c r="P236" s="100"/>
      <c r="Q236" s="15">
        <f t="shared" ref="Q236:Q246" si="72">$I236*O236</f>
        <v>18.603000000000002</v>
      </c>
      <c r="U236" s="138">
        <f t="shared" ref="U236:U246" si="73">I236*K236-M236</f>
        <v>0</v>
      </c>
      <c r="V236" s="139">
        <f t="shared" ref="V236:V246" si="74">I236*O236-Q236</f>
        <v>0</v>
      </c>
    </row>
    <row r="237" spans="1:22" s="164" customFormat="1">
      <c r="A237" s="345" t="s">
        <v>131</v>
      </c>
      <c r="B237" s="160"/>
      <c r="C237" s="4">
        <v>602</v>
      </c>
      <c r="D237" s="167"/>
      <c r="E237" s="14">
        <v>40.270000000000003</v>
      </c>
      <c r="F237" s="100"/>
      <c r="G237" s="15">
        <f t="shared" si="68"/>
        <v>24243</v>
      </c>
      <c r="H237" s="15">
        <v>0</v>
      </c>
      <c r="I237" s="15">
        <f t="shared" si="69"/>
        <v>24243</v>
      </c>
      <c r="J237" s="5"/>
      <c r="K237" s="103">
        <v>5.0000000000000001E-3</v>
      </c>
      <c r="L237" s="100"/>
      <c r="M237" s="15">
        <f t="shared" si="70"/>
        <v>121.215</v>
      </c>
      <c r="N237" s="5"/>
      <c r="O237" s="31">
        <f t="shared" si="71"/>
        <v>1.06E-2</v>
      </c>
      <c r="P237" s="100"/>
      <c r="Q237" s="15">
        <f t="shared" si="72"/>
        <v>256.97579999999999</v>
      </c>
      <c r="U237" s="138">
        <f t="shared" si="73"/>
        <v>0</v>
      </c>
      <c r="V237" s="139">
        <f t="shared" si="74"/>
        <v>0</v>
      </c>
    </row>
    <row r="238" spans="1:22" s="164" customFormat="1">
      <c r="A238" s="345" t="s">
        <v>132</v>
      </c>
      <c r="B238" s="160"/>
      <c r="C238" s="4">
        <v>127</v>
      </c>
      <c r="D238" s="167"/>
      <c r="E238" s="14">
        <v>20.13</v>
      </c>
      <c r="F238" s="100"/>
      <c r="G238" s="15">
        <f t="shared" si="68"/>
        <v>2557</v>
      </c>
      <c r="H238" s="15">
        <v>0</v>
      </c>
      <c r="I238" s="15">
        <f t="shared" si="69"/>
        <v>2557</v>
      </c>
      <c r="J238" s="5"/>
      <c r="K238" s="103">
        <v>5.0000000000000001E-3</v>
      </c>
      <c r="L238" s="100"/>
      <c r="M238" s="15">
        <f t="shared" si="70"/>
        <v>12.785</v>
      </c>
      <c r="N238" s="5"/>
      <c r="O238" s="31">
        <f t="shared" si="71"/>
        <v>1.06E-2</v>
      </c>
      <c r="P238" s="100"/>
      <c r="Q238" s="15">
        <f t="shared" si="72"/>
        <v>27.104199999999999</v>
      </c>
      <c r="U238" s="138">
        <f t="shared" si="73"/>
        <v>0</v>
      </c>
      <c r="V238" s="139">
        <f t="shared" si="74"/>
        <v>0</v>
      </c>
    </row>
    <row r="239" spans="1:22" s="164" customFormat="1">
      <c r="A239" s="345" t="s">
        <v>133</v>
      </c>
      <c r="B239" s="160"/>
      <c r="C239" s="4">
        <v>0</v>
      </c>
      <c r="D239" s="167"/>
      <c r="E239" s="14">
        <v>50.65</v>
      </c>
      <c r="F239" s="100"/>
      <c r="G239" s="15">
        <f t="shared" si="68"/>
        <v>0</v>
      </c>
      <c r="H239" s="15">
        <v>0</v>
      </c>
      <c r="I239" s="15">
        <f t="shared" si="69"/>
        <v>0</v>
      </c>
      <c r="J239" s="5"/>
      <c r="K239" s="103">
        <v>5.0000000000000001E-3</v>
      </c>
      <c r="L239" s="100"/>
      <c r="M239" s="15">
        <f t="shared" si="70"/>
        <v>0</v>
      </c>
      <c r="N239" s="5"/>
      <c r="O239" s="31">
        <f t="shared" si="71"/>
        <v>1.06E-2</v>
      </c>
      <c r="P239" s="100"/>
      <c r="Q239" s="15">
        <f t="shared" si="72"/>
        <v>0</v>
      </c>
      <c r="U239" s="138">
        <f t="shared" si="73"/>
        <v>0</v>
      </c>
      <c r="V239" s="139">
        <f t="shared" si="74"/>
        <v>0</v>
      </c>
    </row>
    <row r="240" spans="1:22" s="164" customFormat="1">
      <c r="A240" s="345" t="s">
        <v>134</v>
      </c>
      <c r="B240" s="160"/>
      <c r="C240" s="4">
        <v>1598</v>
      </c>
      <c r="D240" s="167"/>
      <c r="E240" s="14">
        <v>42.17</v>
      </c>
      <c r="F240" s="100"/>
      <c r="G240" s="15">
        <f t="shared" si="68"/>
        <v>67388</v>
      </c>
      <c r="H240" s="15">
        <v>0</v>
      </c>
      <c r="I240" s="15">
        <f t="shared" si="69"/>
        <v>67388</v>
      </c>
      <c r="J240" s="5"/>
      <c r="K240" s="103">
        <v>5.0000000000000001E-3</v>
      </c>
      <c r="L240" s="100"/>
      <c r="M240" s="15">
        <f t="shared" si="70"/>
        <v>336.94</v>
      </c>
      <c r="N240" s="5"/>
      <c r="O240" s="31">
        <f t="shared" si="71"/>
        <v>1.06E-2</v>
      </c>
      <c r="P240" s="100"/>
      <c r="Q240" s="15">
        <f t="shared" si="72"/>
        <v>714.31280000000004</v>
      </c>
      <c r="U240" s="138">
        <f t="shared" si="73"/>
        <v>0</v>
      </c>
      <c r="V240" s="139">
        <f t="shared" si="74"/>
        <v>0</v>
      </c>
    </row>
    <row r="241" spans="1:22" s="160" customFormat="1">
      <c r="A241" s="345" t="s">
        <v>135</v>
      </c>
      <c r="C241" s="4">
        <v>386</v>
      </c>
      <c r="D241" s="167"/>
      <c r="E241" s="14">
        <v>22.13</v>
      </c>
      <c r="F241" s="100"/>
      <c r="G241" s="15">
        <f t="shared" si="68"/>
        <v>8542</v>
      </c>
      <c r="H241" s="15">
        <v>0</v>
      </c>
      <c r="I241" s="15">
        <f t="shared" si="69"/>
        <v>8542</v>
      </c>
      <c r="J241" s="5"/>
      <c r="K241" s="103">
        <v>5.0000000000000001E-3</v>
      </c>
      <c r="L241" s="100"/>
      <c r="M241" s="15">
        <f t="shared" si="70"/>
        <v>42.71</v>
      </c>
      <c r="N241" s="5"/>
      <c r="O241" s="31">
        <f t="shared" si="71"/>
        <v>1.06E-2</v>
      </c>
      <c r="P241" s="100"/>
      <c r="Q241" s="15">
        <f t="shared" si="72"/>
        <v>90.545199999999994</v>
      </c>
      <c r="U241" s="138">
        <f t="shared" si="73"/>
        <v>0</v>
      </c>
      <c r="V241" s="139">
        <f t="shared" si="74"/>
        <v>0</v>
      </c>
    </row>
    <row r="242" spans="1:22" s="164" customFormat="1">
      <c r="A242" s="345" t="s">
        <v>136</v>
      </c>
      <c r="B242" s="160"/>
      <c r="C242" s="4">
        <v>41</v>
      </c>
      <c r="D242" s="167"/>
      <c r="E242" s="14">
        <v>53.69</v>
      </c>
      <c r="F242" s="100"/>
      <c r="G242" s="15">
        <f t="shared" si="68"/>
        <v>2201</v>
      </c>
      <c r="H242" s="15">
        <v>0</v>
      </c>
      <c r="I242" s="15">
        <f t="shared" si="69"/>
        <v>2201</v>
      </c>
      <c r="J242" s="5"/>
      <c r="K242" s="103">
        <v>5.0000000000000001E-3</v>
      </c>
      <c r="L242" s="100"/>
      <c r="M242" s="15">
        <f t="shared" si="70"/>
        <v>11.005000000000001</v>
      </c>
      <c r="N242" s="5"/>
      <c r="O242" s="31">
        <f t="shared" si="71"/>
        <v>1.06E-2</v>
      </c>
      <c r="P242" s="100"/>
      <c r="Q242" s="15">
        <f t="shared" si="72"/>
        <v>23.3306</v>
      </c>
      <c r="U242" s="138">
        <f t="shared" si="73"/>
        <v>0</v>
      </c>
      <c r="V242" s="139">
        <f t="shared" si="74"/>
        <v>0</v>
      </c>
    </row>
    <row r="243" spans="1:22" s="164" customFormat="1">
      <c r="A243" s="345" t="s">
        <v>137</v>
      </c>
      <c r="B243" s="160"/>
      <c r="C243" s="4">
        <v>365</v>
      </c>
      <c r="D243" s="167"/>
      <c r="E243" s="14">
        <v>45.2</v>
      </c>
      <c r="F243" s="100"/>
      <c r="G243" s="15">
        <f t="shared" si="68"/>
        <v>16498</v>
      </c>
      <c r="H243" s="15">
        <v>0</v>
      </c>
      <c r="I243" s="15">
        <f t="shared" si="69"/>
        <v>16498</v>
      </c>
      <c r="J243" s="5"/>
      <c r="K243" s="103">
        <v>5.0000000000000001E-3</v>
      </c>
      <c r="L243" s="100"/>
      <c r="M243" s="15">
        <f t="shared" si="70"/>
        <v>82.49</v>
      </c>
      <c r="N243" s="5"/>
      <c r="O243" s="31">
        <f t="shared" si="71"/>
        <v>1.06E-2</v>
      </c>
      <c r="P243" s="100"/>
      <c r="Q243" s="15">
        <f t="shared" si="72"/>
        <v>174.87880000000001</v>
      </c>
      <c r="U243" s="138">
        <f t="shared" si="73"/>
        <v>0</v>
      </c>
      <c r="V243" s="139">
        <f t="shared" si="74"/>
        <v>0</v>
      </c>
    </row>
    <row r="244" spans="1:22" s="160" customFormat="1">
      <c r="A244" s="345" t="s">
        <v>138</v>
      </c>
      <c r="C244" s="4">
        <v>61</v>
      </c>
      <c r="D244" s="167"/>
      <c r="E244" s="100">
        <v>25.78</v>
      </c>
      <c r="F244" s="100"/>
      <c r="G244" s="15">
        <f t="shared" si="68"/>
        <v>1573</v>
      </c>
      <c r="H244" s="15">
        <v>0</v>
      </c>
      <c r="I244" s="15">
        <f t="shared" si="69"/>
        <v>1573</v>
      </c>
      <c r="J244" s="5"/>
      <c r="K244" s="103">
        <v>5.0000000000000001E-3</v>
      </c>
      <c r="L244" s="100"/>
      <c r="M244" s="15">
        <f t="shared" si="70"/>
        <v>7.8650000000000002</v>
      </c>
      <c r="N244" s="5"/>
      <c r="O244" s="31">
        <f t="shared" si="71"/>
        <v>1.06E-2</v>
      </c>
      <c r="P244" s="100"/>
      <c r="Q244" s="15">
        <f t="shared" si="72"/>
        <v>16.6738</v>
      </c>
      <c r="U244" s="138">
        <f t="shared" si="73"/>
        <v>0</v>
      </c>
      <c r="V244" s="139">
        <f t="shared" si="74"/>
        <v>0</v>
      </c>
    </row>
    <row r="245" spans="1:22" s="164" customFormat="1">
      <c r="A245" s="345" t="s">
        <v>139</v>
      </c>
      <c r="B245" s="160"/>
      <c r="C245" s="4">
        <v>0</v>
      </c>
      <c r="D245" s="167"/>
      <c r="E245" s="100">
        <v>55.33</v>
      </c>
      <c r="F245" s="100"/>
      <c r="G245" s="15">
        <f t="shared" si="68"/>
        <v>0</v>
      </c>
      <c r="H245" s="15">
        <v>0</v>
      </c>
      <c r="I245" s="15">
        <f t="shared" si="69"/>
        <v>0</v>
      </c>
      <c r="J245" s="5"/>
      <c r="K245" s="103">
        <v>5.0000000000000001E-3</v>
      </c>
      <c r="L245" s="100"/>
      <c r="M245" s="15">
        <f t="shared" si="70"/>
        <v>0</v>
      </c>
      <c r="N245" s="5"/>
      <c r="O245" s="31">
        <f t="shared" si="71"/>
        <v>1.06E-2</v>
      </c>
      <c r="P245" s="100"/>
      <c r="Q245" s="15">
        <f t="shared" si="72"/>
        <v>0</v>
      </c>
      <c r="U245" s="138">
        <f t="shared" si="73"/>
        <v>0</v>
      </c>
      <c r="V245" s="139">
        <f t="shared" si="74"/>
        <v>0</v>
      </c>
    </row>
    <row r="246" spans="1:22" s="164" customFormat="1">
      <c r="A246" s="345" t="s">
        <v>140</v>
      </c>
      <c r="B246" s="160"/>
      <c r="C246" s="4">
        <v>0</v>
      </c>
      <c r="D246" s="167"/>
      <c r="E246" s="100">
        <v>46.86</v>
      </c>
      <c r="F246" s="100"/>
      <c r="G246" s="15">
        <f t="shared" si="68"/>
        <v>0</v>
      </c>
      <c r="H246" s="15">
        <v>0</v>
      </c>
      <c r="I246" s="15">
        <f t="shared" si="69"/>
        <v>0</v>
      </c>
      <c r="J246" s="5"/>
      <c r="K246" s="103">
        <v>5.0000000000000001E-3</v>
      </c>
      <c r="L246" s="100"/>
      <c r="M246" s="15">
        <f t="shared" si="70"/>
        <v>0</v>
      </c>
      <c r="N246" s="5"/>
      <c r="O246" s="31">
        <f t="shared" si="71"/>
        <v>1.06E-2</v>
      </c>
      <c r="P246" s="100"/>
      <c r="Q246" s="15">
        <f t="shared" si="72"/>
        <v>0</v>
      </c>
      <c r="U246" s="138">
        <f t="shared" si="73"/>
        <v>0</v>
      </c>
      <c r="V246" s="139">
        <f t="shared" si="74"/>
        <v>0</v>
      </c>
    </row>
    <row r="247" spans="1:22" s="160" customFormat="1">
      <c r="A247" s="349" t="s">
        <v>305</v>
      </c>
      <c r="C247" s="16"/>
      <c r="D247" s="167"/>
      <c r="E247" s="100"/>
      <c r="F247" s="100"/>
      <c r="G247" s="21"/>
      <c r="H247" s="21"/>
      <c r="I247" s="21"/>
      <c r="J247" s="5"/>
      <c r="K247" s="111"/>
      <c r="L247" s="100"/>
      <c r="M247" s="21"/>
      <c r="N247" s="5"/>
      <c r="O247" s="111"/>
      <c r="P247" s="100"/>
      <c r="Q247" s="21"/>
      <c r="U247" s="138"/>
      <c r="V247" s="139"/>
    </row>
    <row r="248" spans="1:22" s="164" customFormat="1">
      <c r="A248" s="345" t="s">
        <v>141</v>
      </c>
      <c r="B248" s="160"/>
      <c r="C248" s="4">
        <v>3279</v>
      </c>
      <c r="D248" s="167"/>
      <c r="E248" s="14">
        <v>11.09</v>
      </c>
      <c r="F248" s="100"/>
      <c r="G248" s="15">
        <f t="shared" ref="G248:G252" si="75">ROUND(C248*E248,0)</f>
        <v>36364</v>
      </c>
      <c r="H248" s="15">
        <v>0</v>
      </c>
      <c r="I248" s="15">
        <f t="shared" ref="I248:I252" si="76">SUM(G248:H248)</f>
        <v>36364</v>
      </c>
      <c r="J248" s="5"/>
      <c r="K248" s="103">
        <v>5.0000000000000001E-3</v>
      </c>
      <c r="L248" s="100"/>
      <c r="M248" s="15">
        <f>$I248*K248</f>
        <v>181.82</v>
      </c>
      <c r="N248" s="5"/>
      <c r="O248" s="31">
        <f>$T$121</f>
        <v>1.06E-2</v>
      </c>
      <c r="P248" s="100"/>
      <c r="Q248" s="15">
        <f>$I248*O248</f>
        <v>385.45839999999998</v>
      </c>
      <c r="U248" s="138">
        <f>I248*K248-M248</f>
        <v>0</v>
      </c>
      <c r="V248" s="139">
        <f>I248*O248-Q248</f>
        <v>0</v>
      </c>
    </row>
    <row r="249" spans="1:22" s="164" customFormat="1">
      <c r="A249" s="345" t="s">
        <v>56</v>
      </c>
      <c r="B249" s="160"/>
      <c r="C249" s="4">
        <v>9152</v>
      </c>
      <c r="D249" s="167"/>
      <c r="E249" s="14">
        <v>13.83</v>
      </c>
      <c r="F249" s="100"/>
      <c r="G249" s="15">
        <f t="shared" si="75"/>
        <v>126572</v>
      </c>
      <c r="H249" s="15">
        <v>0</v>
      </c>
      <c r="I249" s="15">
        <f t="shared" si="76"/>
        <v>126572</v>
      </c>
      <c r="J249" s="5"/>
      <c r="K249" s="103">
        <v>5.0000000000000001E-3</v>
      </c>
      <c r="L249" s="100"/>
      <c r="M249" s="15">
        <f>$I249*K249</f>
        <v>632.86</v>
      </c>
      <c r="N249" s="5"/>
      <c r="O249" s="31">
        <f>$T$121</f>
        <v>1.06E-2</v>
      </c>
      <c r="P249" s="100"/>
      <c r="Q249" s="15">
        <f>$I249*O249</f>
        <v>1341.6632</v>
      </c>
      <c r="U249" s="138">
        <f>I249*K249-M249</f>
        <v>0</v>
      </c>
      <c r="V249" s="139">
        <f>I249*O249-Q249</f>
        <v>0</v>
      </c>
    </row>
    <row r="250" spans="1:22" s="164" customFormat="1">
      <c r="A250" s="345" t="s">
        <v>142</v>
      </c>
      <c r="B250" s="160"/>
      <c r="C250" s="4">
        <v>186</v>
      </c>
      <c r="D250" s="167"/>
      <c r="E250" s="14">
        <v>19.399999999999999</v>
      </c>
      <c r="F250" s="100"/>
      <c r="G250" s="15">
        <f t="shared" si="75"/>
        <v>3608</v>
      </c>
      <c r="H250" s="15">
        <v>0</v>
      </c>
      <c r="I250" s="15">
        <f t="shared" si="76"/>
        <v>3608</v>
      </c>
      <c r="J250" s="5"/>
      <c r="K250" s="103">
        <v>5.0000000000000001E-3</v>
      </c>
      <c r="L250" s="100"/>
      <c r="M250" s="15">
        <f>$I250*K250</f>
        <v>18.04</v>
      </c>
      <c r="N250" s="5"/>
      <c r="O250" s="31">
        <f>$T$121</f>
        <v>1.06E-2</v>
      </c>
      <c r="P250" s="100"/>
      <c r="Q250" s="15">
        <f>$I250*O250</f>
        <v>38.244799999999998</v>
      </c>
      <c r="U250" s="138">
        <f>I250*K250-M250</f>
        <v>0</v>
      </c>
      <c r="V250" s="139">
        <f>I250*O250-Q250</f>
        <v>0</v>
      </c>
    </row>
    <row r="251" spans="1:22" s="164" customFormat="1">
      <c r="A251" s="345" t="s">
        <v>143</v>
      </c>
      <c r="B251" s="160"/>
      <c r="C251" s="4">
        <v>0</v>
      </c>
      <c r="D251" s="167"/>
      <c r="E251" s="14">
        <v>17.46</v>
      </c>
      <c r="F251" s="100"/>
      <c r="G251" s="15">
        <f t="shared" si="75"/>
        <v>0</v>
      </c>
      <c r="H251" s="15">
        <v>0</v>
      </c>
      <c r="I251" s="15">
        <f t="shared" si="76"/>
        <v>0</v>
      </c>
      <c r="J251" s="5"/>
      <c r="K251" s="103">
        <v>5.0000000000000001E-3</v>
      </c>
      <c r="L251" s="100"/>
      <c r="M251" s="15">
        <f>$I251*K251</f>
        <v>0</v>
      </c>
      <c r="N251" s="5"/>
      <c r="O251" s="31">
        <f>$T$121</f>
        <v>1.06E-2</v>
      </c>
      <c r="P251" s="100"/>
      <c r="Q251" s="15">
        <f>$I251*O251</f>
        <v>0</v>
      </c>
      <c r="U251" s="138">
        <f>I251*K251-M251</f>
        <v>0</v>
      </c>
      <c r="V251" s="139">
        <f>I251*O251-Q251</f>
        <v>0</v>
      </c>
    </row>
    <row r="252" spans="1:22" s="164" customFormat="1">
      <c r="A252" s="345" t="s">
        <v>58</v>
      </c>
      <c r="B252" s="160"/>
      <c r="C252" s="4">
        <v>996</v>
      </c>
      <c r="D252" s="167"/>
      <c r="E252" s="14">
        <v>24.43</v>
      </c>
      <c r="F252" s="100"/>
      <c r="G252" s="15">
        <f t="shared" si="75"/>
        <v>24332</v>
      </c>
      <c r="H252" s="15">
        <v>0</v>
      </c>
      <c r="I252" s="15">
        <f t="shared" si="76"/>
        <v>24332</v>
      </c>
      <c r="J252" s="5"/>
      <c r="K252" s="103">
        <v>5.0000000000000001E-3</v>
      </c>
      <c r="L252" s="100"/>
      <c r="M252" s="15">
        <f>$I252*K252</f>
        <v>121.66</v>
      </c>
      <c r="N252" s="5"/>
      <c r="O252" s="31">
        <f>$T$121</f>
        <v>1.06E-2</v>
      </c>
      <c r="P252" s="100"/>
      <c r="Q252" s="15">
        <f>$I252*O252</f>
        <v>257.91919999999999</v>
      </c>
      <c r="U252" s="138">
        <f>I252*K252-M252</f>
        <v>0</v>
      </c>
      <c r="V252" s="139">
        <f>I252*O252-Q252</f>
        <v>0</v>
      </c>
    </row>
    <row r="253" spans="1:22" s="164" customFormat="1">
      <c r="A253" s="349" t="s">
        <v>306</v>
      </c>
      <c r="B253" s="160"/>
      <c r="C253" s="4"/>
      <c r="D253" s="167"/>
      <c r="E253" s="168"/>
      <c r="F253" s="167"/>
      <c r="G253" s="15"/>
      <c r="H253" s="15"/>
      <c r="I253" s="15"/>
      <c r="J253" s="5"/>
      <c r="K253" s="91"/>
      <c r="L253" s="5"/>
      <c r="M253" s="15"/>
      <c r="N253" s="5"/>
      <c r="O253" s="91"/>
      <c r="P253" s="5"/>
      <c r="Q253" s="15"/>
      <c r="U253" s="138"/>
      <c r="V253" s="139"/>
    </row>
    <row r="254" spans="1:22" s="164" customFormat="1">
      <c r="A254" s="345" t="s">
        <v>144</v>
      </c>
      <c r="B254" s="160"/>
      <c r="C254" s="4">
        <v>0</v>
      </c>
      <c r="D254" s="167"/>
      <c r="E254" s="14">
        <v>11.99</v>
      </c>
      <c r="F254" s="100"/>
      <c r="G254" s="15">
        <f t="shared" ref="G254:G259" si="77">ROUND(C254*E254,0)</f>
        <v>0</v>
      </c>
      <c r="H254" s="15">
        <v>0</v>
      </c>
      <c r="I254" s="15">
        <f t="shared" ref="I254:I259" si="78">SUM(G254:H254)</f>
        <v>0</v>
      </c>
      <c r="J254" s="5"/>
      <c r="K254" s="103">
        <v>5.0000000000000001E-3</v>
      </c>
      <c r="L254" s="100"/>
      <c r="M254" s="15">
        <f t="shared" ref="M254:M259" si="79">$I254*K254</f>
        <v>0</v>
      </c>
      <c r="N254" s="5"/>
      <c r="O254" s="31">
        <f t="shared" ref="O254:O259" si="80">$T$121</f>
        <v>1.06E-2</v>
      </c>
      <c r="P254" s="100"/>
      <c r="Q254" s="15">
        <f t="shared" ref="Q254:Q259" si="81">$I254*O254</f>
        <v>0</v>
      </c>
      <c r="U254" s="138">
        <f t="shared" ref="U254:U263" si="82">I254*K254-M254</f>
        <v>0</v>
      </c>
      <c r="V254" s="139">
        <f t="shared" ref="V254:V263" si="83">I254*O254-Q254</f>
        <v>0</v>
      </c>
    </row>
    <row r="255" spans="1:22" s="164" customFormat="1">
      <c r="A255" s="345" t="s">
        <v>145</v>
      </c>
      <c r="B255" s="160"/>
      <c r="C255" s="4">
        <v>145</v>
      </c>
      <c r="D255" s="167"/>
      <c r="E255" s="14">
        <v>4.24</v>
      </c>
      <c r="F255" s="100"/>
      <c r="G255" s="15">
        <f t="shared" si="77"/>
        <v>615</v>
      </c>
      <c r="H255" s="15">
        <v>0</v>
      </c>
      <c r="I255" s="15">
        <f t="shared" si="78"/>
        <v>615</v>
      </c>
      <c r="J255" s="5"/>
      <c r="K255" s="103">
        <v>5.0000000000000001E-3</v>
      </c>
      <c r="L255" s="100"/>
      <c r="M255" s="15">
        <f t="shared" si="79"/>
        <v>3.0750000000000002</v>
      </c>
      <c r="N255" s="5"/>
      <c r="O255" s="31">
        <f t="shared" si="80"/>
        <v>1.06E-2</v>
      </c>
      <c r="P255" s="100"/>
      <c r="Q255" s="15">
        <f t="shared" si="81"/>
        <v>6.5190000000000001</v>
      </c>
      <c r="U255" s="138">
        <f t="shared" si="82"/>
        <v>0</v>
      </c>
      <c r="V255" s="139">
        <f t="shared" si="83"/>
        <v>0</v>
      </c>
    </row>
    <row r="256" spans="1:22" s="164" customFormat="1">
      <c r="A256" s="345" t="s">
        <v>146</v>
      </c>
      <c r="B256" s="160"/>
      <c r="C256" s="4">
        <v>32</v>
      </c>
      <c r="D256" s="167"/>
      <c r="E256" s="14">
        <v>17.11</v>
      </c>
      <c r="F256" s="100"/>
      <c r="G256" s="15">
        <f t="shared" si="77"/>
        <v>548</v>
      </c>
      <c r="H256" s="15">
        <v>0</v>
      </c>
      <c r="I256" s="15">
        <f t="shared" si="78"/>
        <v>548</v>
      </c>
      <c r="J256" s="5"/>
      <c r="K256" s="103">
        <v>5.0000000000000001E-3</v>
      </c>
      <c r="L256" s="100"/>
      <c r="M256" s="15">
        <f t="shared" si="79"/>
        <v>2.74</v>
      </c>
      <c r="N256" s="5"/>
      <c r="O256" s="31">
        <f t="shared" si="80"/>
        <v>1.06E-2</v>
      </c>
      <c r="P256" s="100"/>
      <c r="Q256" s="15">
        <f t="shared" si="81"/>
        <v>5.8087999999999997</v>
      </c>
      <c r="U256" s="138">
        <f t="shared" si="82"/>
        <v>0</v>
      </c>
      <c r="V256" s="139">
        <f t="shared" si="83"/>
        <v>0</v>
      </c>
    </row>
    <row r="257" spans="1:22" s="164" customFormat="1">
      <c r="A257" s="345" t="s">
        <v>141</v>
      </c>
      <c r="B257" s="160"/>
      <c r="C257" s="4">
        <v>162</v>
      </c>
      <c r="D257" s="167"/>
      <c r="E257" s="14">
        <v>20.43</v>
      </c>
      <c r="F257" s="100"/>
      <c r="G257" s="15">
        <f t="shared" si="77"/>
        <v>3310</v>
      </c>
      <c r="H257" s="15">
        <v>0</v>
      </c>
      <c r="I257" s="15">
        <f t="shared" si="78"/>
        <v>3310</v>
      </c>
      <c r="J257" s="5"/>
      <c r="K257" s="103">
        <v>5.0000000000000001E-3</v>
      </c>
      <c r="L257" s="100"/>
      <c r="M257" s="15">
        <f t="shared" si="79"/>
        <v>16.55</v>
      </c>
      <c r="N257" s="5"/>
      <c r="O257" s="31">
        <f t="shared" si="80"/>
        <v>1.06E-2</v>
      </c>
      <c r="P257" s="100"/>
      <c r="Q257" s="15">
        <f t="shared" si="81"/>
        <v>35.085999999999999</v>
      </c>
      <c r="U257" s="138">
        <f t="shared" si="82"/>
        <v>0</v>
      </c>
      <c r="V257" s="139">
        <f t="shared" si="83"/>
        <v>0</v>
      </c>
    </row>
    <row r="258" spans="1:22" s="164" customFormat="1">
      <c r="A258" s="345" t="s">
        <v>147</v>
      </c>
      <c r="B258" s="160"/>
      <c r="C258" s="4">
        <v>161</v>
      </c>
      <c r="D258" s="167"/>
      <c r="E258" s="14">
        <v>23.82</v>
      </c>
      <c r="F258" s="100"/>
      <c r="G258" s="15">
        <f t="shared" si="77"/>
        <v>3835</v>
      </c>
      <c r="H258" s="15">
        <v>0</v>
      </c>
      <c r="I258" s="15">
        <f t="shared" si="78"/>
        <v>3835</v>
      </c>
      <c r="J258" s="5"/>
      <c r="K258" s="103">
        <v>5.0000000000000001E-3</v>
      </c>
      <c r="L258" s="100"/>
      <c r="M258" s="15">
        <f t="shared" si="79"/>
        <v>19.175000000000001</v>
      </c>
      <c r="N258" s="5"/>
      <c r="O258" s="31">
        <f t="shared" si="80"/>
        <v>1.06E-2</v>
      </c>
      <c r="P258" s="100"/>
      <c r="Q258" s="15">
        <f t="shared" si="81"/>
        <v>40.651000000000003</v>
      </c>
      <c r="U258" s="138">
        <f t="shared" si="82"/>
        <v>0</v>
      </c>
      <c r="V258" s="139">
        <f t="shared" si="83"/>
        <v>0</v>
      </c>
    </row>
    <row r="259" spans="1:22" s="164" customFormat="1">
      <c r="A259" s="345" t="s">
        <v>142</v>
      </c>
      <c r="B259" s="160"/>
      <c r="C259" s="4">
        <v>24</v>
      </c>
      <c r="D259" s="167"/>
      <c r="E259" s="14">
        <v>31.47</v>
      </c>
      <c r="F259" s="100"/>
      <c r="G259" s="15">
        <f t="shared" si="77"/>
        <v>755</v>
      </c>
      <c r="H259" s="15">
        <v>0</v>
      </c>
      <c r="I259" s="15">
        <f t="shared" si="78"/>
        <v>755</v>
      </c>
      <c r="J259" s="5"/>
      <c r="K259" s="103">
        <v>5.0000000000000001E-3</v>
      </c>
      <c r="L259" s="100"/>
      <c r="M259" s="15">
        <f t="shared" si="79"/>
        <v>3.7749999999999999</v>
      </c>
      <c r="N259" s="5"/>
      <c r="O259" s="31">
        <f t="shared" si="80"/>
        <v>1.06E-2</v>
      </c>
      <c r="P259" s="100"/>
      <c r="Q259" s="15">
        <f t="shared" si="81"/>
        <v>8.0030000000000001</v>
      </c>
      <c r="U259" s="138">
        <f t="shared" si="82"/>
        <v>0</v>
      </c>
      <c r="V259" s="139">
        <f t="shared" si="83"/>
        <v>0</v>
      </c>
    </row>
    <row r="260" spans="1:22" s="164" customFormat="1">
      <c r="A260" s="349" t="s">
        <v>307</v>
      </c>
      <c r="B260" s="160"/>
      <c r="C260" s="16"/>
      <c r="D260" s="167"/>
      <c r="E260" s="100"/>
      <c r="F260" s="100"/>
      <c r="G260" s="21"/>
      <c r="H260" s="21"/>
      <c r="I260" s="21"/>
      <c r="J260" s="5"/>
      <c r="K260" s="111"/>
      <c r="L260" s="100"/>
      <c r="M260" s="21"/>
      <c r="N260" s="5"/>
      <c r="O260" s="111"/>
      <c r="P260" s="100"/>
      <c r="Q260" s="21"/>
      <c r="U260" s="138">
        <f t="shared" si="82"/>
        <v>0</v>
      </c>
      <c r="V260" s="139">
        <f t="shared" si="83"/>
        <v>0</v>
      </c>
    </row>
    <row r="261" spans="1:22" s="164" customFormat="1">
      <c r="A261" s="345" t="s">
        <v>148</v>
      </c>
      <c r="B261" s="160"/>
      <c r="C261" s="4">
        <v>12</v>
      </c>
      <c r="D261" s="167"/>
      <c r="E261" s="14">
        <v>27.85</v>
      </c>
      <c r="F261" s="100"/>
      <c r="G261" s="15">
        <f>ROUND(C261*E261,0)</f>
        <v>334</v>
      </c>
      <c r="H261" s="15">
        <v>0</v>
      </c>
      <c r="I261" s="15">
        <f>SUM(G261:H261)</f>
        <v>334</v>
      </c>
      <c r="J261" s="5"/>
      <c r="K261" s="103">
        <v>5.0000000000000001E-3</v>
      </c>
      <c r="L261" s="100"/>
      <c r="M261" s="15">
        <f>$I261*K261</f>
        <v>1.67</v>
      </c>
      <c r="N261" s="5"/>
      <c r="O261" s="31">
        <f>$T$121</f>
        <v>1.06E-2</v>
      </c>
      <c r="P261" s="100"/>
      <c r="Q261" s="15">
        <f>$I261*O261</f>
        <v>3.5404</v>
      </c>
      <c r="U261" s="138">
        <f t="shared" si="82"/>
        <v>0</v>
      </c>
      <c r="V261" s="139">
        <f t="shared" si="83"/>
        <v>0</v>
      </c>
    </row>
    <row r="262" spans="1:22" s="164" customFormat="1">
      <c r="A262" s="349" t="s">
        <v>149</v>
      </c>
      <c r="B262" s="160"/>
      <c r="C262" s="4"/>
      <c r="D262" s="167"/>
      <c r="E262" s="14"/>
      <c r="F262" s="100"/>
      <c r="G262" s="15"/>
      <c r="H262" s="15"/>
      <c r="I262" s="15"/>
      <c r="J262" s="5"/>
      <c r="K262" s="31"/>
      <c r="L262" s="100"/>
      <c r="M262" s="15"/>
      <c r="N262" s="5"/>
      <c r="O262" s="31"/>
      <c r="P262" s="100"/>
      <c r="Q262" s="15"/>
      <c r="U262" s="138">
        <f t="shared" si="82"/>
        <v>0</v>
      </c>
      <c r="V262" s="139">
        <f t="shared" si="83"/>
        <v>0</v>
      </c>
    </row>
    <row r="263" spans="1:22" s="164" customFormat="1">
      <c r="A263" s="345" t="s">
        <v>150</v>
      </c>
      <c r="B263" s="160"/>
      <c r="C263" s="4">
        <v>12</v>
      </c>
      <c r="D263" s="167"/>
      <c r="E263" s="14">
        <v>39.04</v>
      </c>
      <c r="F263" s="100"/>
      <c r="G263" s="37">
        <f>ROUND(C263*E263,0)</f>
        <v>468</v>
      </c>
      <c r="H263" s="37">
        <v>0</v>
      </c>
      <c r="I263" s="37">
        <f>SUM(G263:H263)</f>
        <v>468</v>
      </c>
      <c r="J263" s="5"/>
      <c r="K263" s="103">
        <v>5.0000000000000001E-3</v>
      </c>
      <c r="L263" s="100"/>
      <c r="M263" s="37">
        <f>$I263*K263</f>
        <v>2.34</v>
      </c>
      <c r="N263" s="5"/>
      <c r="O263" s="31">
        <f>$T$121</f>
        <v>1.06E-2</v>
      </c>
      <c r="P263" s="100"/>
      <c r="Q263" s="37">
        <f>$I263*O263</f>
        <v>4.9607999999999999</v>
      </c>
      <c r="U263" s="138">
        <f t="shared" si="82"/>
        <v>0</v>
      </c>
      <c r="V263" s="139">
        <f t="shared" si="83"/>
        <v>0</v>
      </c>
    </row>
    <row r="264" spans="1:22" s="164" customFormat="1">
      <c r="A264" s="345" t="s">
        <v>151</v>
      </c>
      <c r="B264" s="160"/>
      <c r="C264" s="23">
        <v>334883</v>
      </c>
      <c r="D264" s="167"/>
      <c r="E264" s="176"/>
      <c r="F264" s="167"/>
      <c r="G264" s="24">
        <f>SUM(G220:G263)</f>
        <v>4979390</v>
      </c>
      <c r="H264" s="24">
        <f>SUM(H220:H263)</f>
        <v>0</v>
      </c>
      <c r="I264" s="24">
        <f>SUM(I220:I263)</f>
        <v>4979390</v>
      </c>
      <c r="J264" s="5"/>
      <c r="K264" s="120"/>
      <c r="L264" s="5"/>
      <c r="M264" s="24">
        <f>SUM(M220:M263)</f>
        <v>24896.950000000004</v>
      </c>
      <c r="N264" s="5"/>
      <c r="O264" s="120"/>
      <c r="P264" s="5"/>
      <c r="Q264" s="24">
        <f>SUM(Q220:Q263)</f>
        <v>52781.534000000007</v>
      </c>
    </row>
    <row r="265" spans="1:22" s="164" customFormat="1" ht="16" thickBot="1">
      <c r="A265" s="345" t="s">
        <v>82</v>
      </c>
      <c r="B265" s="160"/>
      <c r="C265" s="43">
        <v>16496197.391013095</v>
      </c>
      <c r="D265" s="167"/>
      <c r="E265" s="174"/>
      <c r="F265" s="167"/>
      <c r="G265" s="436"/>
      <c r="H265" s="436"/>
      <c r="I265" s="436"/>
      <c r="J265" s="5"/>
      <c r="K265" s="113"/>
      <c r="L265" s="5"/>
      <c r="M265" s="436"/>
      <c r="N265" s="5"/>
      <c r="O265" s="113"/>
      <c r="P265" s="5"/>
      <c r="Q265" s="436"/>
    </row>
    <row r="266" spans="1:22" s="164" customFormat="1" ht="16" thickTop="1">
      <c r="A266" s="345" t="s">
        <v>84</v>
      </c>
      <c r="B266" s="160"/>
      <c r="C266" s="13">
        <v>809.41666666666663</v>
      </c>
      <c r="D266" s="167"/>
      <c r="E266" s="168"/>
      <c r="F266" s="167"/>
      <c r="G266" s="92"/>
      <c r="H266" s="92"/>
      <c r="I266" s="92"/>
      <c r="J266" s="5"/>
      <c r="K266" s="91"/>
      <c r="L266" s="5"/>
      <c r="M266" s="92"/>
      <c r="N266" s="5"/>
      <c r="O266" s="91"/>
      <c r="P266" s="5"/>
      <c r="Q266" s="92"/>
    </row>
    <row r="267" spans="1:22" s="164" customFormat="1">
      <c r="A267" s="345" t="s">
        <v>83</v>
      </c>
      <c r="B267" s="160"/>
      <c r="C267" s="45">
        <v>0</v>
      </c>
      <c r="D267" s="167"/>
      <c r="E267" s="176"/>
      <c r="F267" s="167"/>
      <c r="G267" s="24">
        <v>0</v>
      </c>
      <c r="H267" s="24"/>
      <c r="I267" s="24">
        <f>SUM(G267:H267)</f>
        <v>0</v>
      </c>
      <c r="J267" s="5"/>
      <c r="K267" s="120"/>
      <c r="L267" s="5"/>
      <c r="M267" s="24"/>
      <c r="N267" s="5"/>
      <c r="O267" s="120"/>
      <c r="P267" s="5"/>
      <c r="Q267" s="24"/>
    </row>
    <row r="268" spans="1:22" s="164" customFormat="1" ht="16" thickBot="1">
      <c r="A268" s="345" t="s">
        <v>152</v>
      </c>
      <c r="B268" s="160"/>
      <c r="C268" s="43">
        <v>16496197.391013095</v>
      </c>
      <c r="D268" s="167"/>
      <c r="E268" s="46"/>
      <c r="F268" s="122"/>
      <c r="G268" s="437">
        <f>G267+G264</f>
        <v>4979390</v>
      </c>
      <c r="H268" s="437">
        <f>H267+H264</f>
        <v>0</v>
      </c>
      <c r="I268" s="437">
        <f>I267+I264</f>
        <v>4979390</v>
      </c>
      <c r="J268" s="5"/>
      <c r="K268" s="123"/>
      <c r="L268" s="122"/>
      <c r="M268" s="437">
        <f>M267+M264</f>
        <v>24896.950000000004</v>
      </c>
      <c r="N268" s="5"/>
      <c r="O268" s="123"/>
      <c r="P268" s="122"/>
      <c r="Q268" s="437">
        <f>Q267+Q264</f>
        <v>52781.534000000007</v>
      </c>
    </row>
    <row r="269" spans="1:22" s="164" customFormat="1" ht="16" thickTop="1">
      <c r="A269" s="168"/>
      <c r="B269" s="168"/>
      <c r="C269" s="4"/>
      <c r="D269" s="167"/>
      <c r="E269" s="168"/>
      <c r="F269" s="167"/>
      <c r="G269" s="92"/>
      <c r="H269" s="92"/>
      <c r="I269" s="92"/>
      <c r="J269" s="5"/>
      <c r="K269" s="201"/>
      <c r="L269" s="201"/>
      <c r="M269" s="92"/>
      <c r="N269" s="5"/>
      <c r="O269" s="201"/>
      <c r="P269" s="201"/>
      <c r="Q269" s="92"/>
    </row>
    <row r="270" spans="1:22" s="164" customFormat="1">
      <c r="A270" s="344" t="s">
        <v>153</v>
      </c>
      <c r="B270" s="160"/>
      <c r="C270" s="4"/>
      <c r="D270" s="167"/>
      <c r="E270" s="168"/>
      <c r="F270" s="167"/>
      <c r="G270" s="92"/>
      <c r="H270" s="92"/>
      <c r="I270" s="92"/>
      <c r="J270" s="5"/>
      <c r="K270" s="201"/>
      <c r="L270" s="201"/>
      <c r="M270" s="92"/>
      <c r="N270" s="5"/>
      <c r="O270" s="201"/>
      <c r="P270" s="201"/>
      <c r="Q270" s="92"/>
    </row>
    <row r="271" spans="1:22" s="164" customFormat="1">
      <c r="A271" s="356" t="s">
        <v>154</v>
      </c>
      <c r="B271" s="160"/>
      <c r="C271" s="4"/>
      <c r="D271" s="167"/>
      <c r="E271" s="168"/>
      <c r="F271" s="167"/>
      <c r="G271" s="15"/>
      <c r="H271" s="15"/>
      <c r="I271" s="15"/>
      <c r="J271" s="5"/>
      <c r="K271" s="108"/>
      <c r="L271" s="109"/>
      <c r="M271" s="15"/>
      <c r="N271" s="5"/>
      <c r="O271" s="108"/>
      <c r="P271" s="109"/>
      <c r="Q271" s="15"/>
    </row>
    <row r="272" spans="1:22" s="164" customFormat="1">
      <c r="A272" s="349" t="s">
        <v>155</v>
      </c>
      <c r="B272" s="160"/>
      <c r="C272" s="4"/>
      <c r="D272" s="167"/>
      <c r="E272" s="168"/>
      <c r="F272" s="167"/>
      <c r="G272" s="15"/>
      <c r="H272" s="15"/>
      <c r="I272" s="15"/>
      <c r="J272" s="5"/>
      <c r="K272" s="91"/>
      <c r="L272" s="5"/>
      <c r="M272" s="15"/>
      <c r="N272" s="5"/>
      <c r="O272" s="91"/>
      <c r="P272" s="5"/>
      <c r="Q272" s="15"/>
    </row>
    <row r="273" spans="1:22" s="164" customFormat="1">
      <c r="A273" s="345" t="s">
        <v>156</v>
      </c>
      <c r="B273" s="160"/>
      <c r="C273" s="4">
        <v>103438</v>
      </c>
      <c r="D273" s="167"/>
      <c r="E273" s="14">
        <v>1.83</v>
      </c>
      <c r="F273" s="100"/>
      <c r="G273" s="15">
        <f t="shared" ref="G273:G277" si="84">ROUND(C273*E273,0)</f>
        <v>189292</v>
      </c>
      <c r="H273" s="15">
        <v>0</v>
      </c>
      <c r="I273" s="15">
        <f t="shared" ref="I273:I277" si="85">SUM(G273:H273)</f>
        <v>189292</v>
      </c>
      <c r="J273" s="5"/>
      <c r="K273" s="103">
        <v>5.0000000000000001E-3</v>
      </c>
      <c r="L273" s="100"/>
      <c r="M273" s="15">
        <f>$I273*K273</f>
        <v>946.46</v>
      </c>
      <c r="N273" s="5"/>
      <c r="O273" s="31">
        <f>$T$121</f>
        <v>1.06E-2</v>
      </c>
      <c r="P273" s="100"/>
      <c r="Q273" s="15">
        <f>$I273*O273</f>
        <v>2006.4952000000001</v>
      </c>
      <c r="U273" s="138">
        <f>I273*K273-M273</f>
        <v>0</v>
      </c>
      <c r="V273" s="139">
        <f>I273*O273-Q273</f>
        <v>0</v>
      </c>
    </row>
    <row r="274" spans="1:22" s="164" customFormat="1">
      <c r="A274" s="345" t="s">
        <v>157</v>
      </c>
      <c r="B274" s="160"/>
      <c r="C274" s="4">
        <v>159006</v>
      </c>
      <c r="D274" s="167"/>
      <c r="E274" s="14">
        <v>2.5</v>
      </c>
      <c r="F274" s="100"/>
      <c r="G274" s="15">
        <f t="shared" si="84"/>
        <v>397515</v>
      </c>
      <c r="H274" s="15">
        <v>0</v>
      </c>
      <c r="I274" s="15">
        <f t="shared" si="85"/>
        <v>397515</v>
      </c>
      <c r="J274" s="5"/>
      <c r="K274" s="103">
        <v>5.0000000000000001E-3</v>
      </c>
      <c r="L274" s="100"/>
      <c r="M274" s="15">
        <f>$I274*K274</f>
        <v>1987.575</v>
      </c>
      <c r="N274" s="5"/>
      <c r="O274" s="31">
        <f>$T$121</f>
        <v>1.06E-2</v>
      </c>
      <c r="P274" s="100"/>
      <c r="Q274" s="15">
        <f>$I274*O274</f>
        <v>4213.6589999999997</v>
      </c>
      <c r="U274" s="138">
        <f>I274*K274-M274</f>
        <v>0</v>
      </c>
      <c r="V274" s="139">
        <f>I274*O274-Q274</f>
        <v>0</v>
      </c>
    </row>
    <row r="275" spans="1:22" s="164" customFormat="1">
      <c r="A275" s="345" t="s">
        <v>158</v>
      </c>
      <c r="B275" s="160"/>
      <c r="C275" s="4">
        <v>134332</v>
      </c>
      <c r="D275" s="167"/>
      <c r="E275" s="14">
        <v>3.66</v>
      </c>
      <c r="F275" s="100"/>
      <c r="G275" s="15">
        <f t="shared" si="84"/>
        <v>491655</v>
      </c>
      <c r="H275" s="15">
        <v>0</v>
      </c>
      <c r="I275" s="15">
        <f t="shared" si="85"/>
        <v>491655</v>
      </c>
      <c r="J275" s="5"/>
      <c r="K275" s="103">
        <v>5.0000000000000001E-3</v>
      </c>
      <c r="L275" s="100"/>
      <c r="M275" s="15">
        <f>$I275*K275</f>
        <v>2458.2750000000001</v>
      </c>
      <c r="N275" s="5"/>
      <c r="O275" s="31">
        <f>$T$121</f>
        <v>1.06E-2</v>
      </c>
      <c r="P275" s="100"/>
      <c r="Q275" s="15">
        <f>$I275*O275</f>
        <v>5211.5429999999997</v>
      </c>
      <c r="U275" s="138">
        <f>I275*K275-M275</f>
        <v>0</v>
      </c>
      <c r="V275" s="139">
        <f>I275*O275-Q275</f>
        <v>0</v>
      </c>
    </row>
    <row r="276" spans="1:22" s="164" customFormat="1">
      <c r="A276" s="345" t="s">
        <v>159</v>
      </c>
      <c r="B276" s="160"/>
      <c r="C276" s="4">
        <v>48293</v>
      </c>
      <c r="D276" s="167"/>
      <c r="E276" s="14">
        <v>6.52</v>
      </c>
      <c r="F276" s="100"/>
      <c r="G276" s="15">
        <f t="shared" si="84"/>
        <v>314870</v>
      </c>
      <c r="H276" s="15">
        <v>0</v>
      </c>
      <c r="I276" s="15">
        <f t="shared" si="85"/>
        <v>314870</v>
      </c>
      <c r="J276" s="5"/>
      <c r="K276" s="103">
        <v>5.0000000000000001E-3</v>
      </c>
      <c r="L276" s="100"/>
      <c r="M276" s="15">
        <f>$I276*K276</f>
        <v>1574.3500000000001</v>
      </c>
      <c r="N276" s="5"/>
      <c r="O276" s="31">
        <f>$T$121</f>
        <v>1.06E-2</v>
      </c>
      <c r="P276" s="100"/>
      <c r="Q276" s="15">
        <f>$I276*O276</f>
        <v>3337.6219999999998</v>
      </c>
      <c r="U276" s="138">
        <f>I276*K276-M276</f>
        <v>0</v>
      </c>
      <c r="V276" s="139">
        <f>I276*O276-Q276</f>
        <v>0</v>
      </c>
    </row>
    <row r="277" spans="1:22" s="164" customFormat="1">
      <c r="A277" s="345" t="s">
        <v>160</v>
      </c>
      <c r="B277" s="160"/>
      <c r="C277" s="4">
        <v>65553</v>
      </c>
      <c r="D277" s="167"/>
      <c r="E277" s="14">
        <v>10.02</v>
      </c>
      <c r="F277" s="100"/>
      <c r="G277" s="15">
        <f t="shared" si="84"/>
        <v>656841</v>
      </c>
      <c r="H277" s="15">
        <v>0</v>
      </c>
      <c r="I277" s="15">
        <f t="shared" si="85"/>
        <v>656841</v>
      </c>
      <c r="J277" s="5"/>
      <c r="K277" s="103">
        <v>5.0000000000000001E-3</v>
      </c>
      <c r="L277" s="100"/>
      <c r="M277" s="15">
        <f>$I277*K277</f>
        <v>3284.2049999999999</v>
      </c>
      <c r="N277" s="5"/>
      <c r="O277" s="31">
        <f>$T$121</f>
        <v>1.06E-2</v>
      </c>
      <c r="P277" s="100"/>
      <c r="Q277" s="15">
        <f>$I277*O277</f>
        <v>6962.5146000000004</v>
      </c>
      <c r="U277" s="138">
        <f>I277*K277-M277</f>
        <v>0</v>
      </c>
      <c r="V277" s="139">
        <f>I277*O277-Q277</f>
        <v>0</v>
      </c>
    </row>
    <row r="278" spans="1:22" s="164" customFormat="1">
      <c r="A278" s="349" t="s">
        <v>129</v>
      </c>
      <c r="B278" s="160"/>
      <c r="C278" s="4"/>
      <c r="D278" s="167"/>
      <c r="E278" s="105"/>
      <c r="F278" s="20"/>
      <c r="G278" s="15"/>
      <c r="H278" s="15"/>
      <c r="I278" s="15"/>
      <c r="J278" s="5"/>
      <c r="K278" s="106"/>
      <c r="L278" s="20"/>
      <c r="M278" s="15"/>
      <c r="N278" s="5"/>
      <c r="O278" s="106"/>
      <c r="P278" s="20"/>
      <c r="Q278" s="15"/>
      <c r="U278" s="138"/>
      <c r="V278" s="139"/>
    </row>
    <row r="279" spans="1:22" s="164" customFormat="1">
      <c r="A279" s="345" t="s">
        <v>161</v>
      </c>
      <c r="B279" s="160"/>
      <c r="C279" s="4">
        <v>6583</v>
      </c>
      <c r="D279" s="167"/>
      <c r="E279" s="14">
        <v>2.5499999999999998</v>
      </c>
      <c r="F279" s="100"/>
      <c r="G279" s="15">
        <f t="shared" ref="G279:G282" si="86">ROUND(C279*E279,0)</f>
        <v>16787</v>
      </c>
      <c r="H279" s="15">
        <v>0</v>
      </c>
      <c r="I279" s="15">
        <f t="shared" ref="I279:I283" si="87">SUM(G279:H279)</f>
        <v>16787</v>
      </c>
      <c r="J279" s="5"/>
      <c r="K279" s="103">
        <v>5.0000000000000001E-3</v>
      </c>
      <c r="L279" s="100"/>
      <c r="M279" s="15">
        <f>$I279*K279</f>
        <v>83.935000000000002</v>
      </c>
      <c r="N279" s="5"/>
      <c r="O279" s="31">
        <f>$T$121</f>
        <v>1.06E-2</v>
      </c>
      <c r="P279" s="100"/>
      <c r="Q279" s="15">
        <f>$I279*O279</f>
        <v>177.94220000000001</v>
      </c>
      <c r="U279" s="138">
        <f>I279*K279-M279</f>
        <v>0</v>
      </c>
      <c r="V279" s="139">
        <f>I279*O279-Q279</f>
        <v>0</v>
      </c>
    </row>
    <row r="280" spans="1:22" s="164" customFormat="1">
      <c r="A280" s="345" t="s">
        <v>162</v>
      </c>
      <c r="B280" s="160"/>
      <c r="C280" s="4">
        <v>18818</v>
      </c>
      <c r="D280" s="167"/>
      <c r="E280" s="14">
        <v>4.46</v>
      </c>
      <c r="F280" s="100"/>
      <c r="G280" s="15">
        <f t="shared" si="86"/>
        <v>83928</v>
      </c>
      <c r="H280" s="15">
        <v>0</v>
      </c>
      <c r="I280" s="15">
        <f t="shared" si="87"/>
        <v>83928</v>
      </c>
      <c r="J280" s="5"/>
      <c r="K280" s="103">
        <v>5.0000000000000001E-3</v>
      </c>
      <c r="L280" s="100"/>
      <c r="M280" s="15">
        <f>$I280*K280</f>
        <v>419.64</v>
      </c>
      <c r="N280" s="5"/>
      <c r="O280" s="31">
        <f>$T$121</f>
        <v>1.06E-2</v>
      </c>
      <c r="P280" s="100"/>
      <c r="Q280" s="15">
        <f>$I280*O280</f>
        <v>889.63679999999999</v>
      </c>
      <c r="U280" s="138">
        <f>I280*K280-M280</f>
        <v>0</v>
      </c>
      <c r="V280" s="139">
        <f>I280*O280-Q280</f>
        <v>0</v>
      </c>
    </row>
    <row r="281" spans="1:22" s="164" customFormat="1">
      <c r="A281" s="345" t="s">
        <v>163</v>
      </c>
      <c r="B281" s="160"/>
      <c r="C281" s="4">
        <v>28281</v>
      </c>
      <c r="D281" s="167"/>
      <c r="E281" s="14">
        <v>6.17</v>
      </c>
      <c r="F281" s="100"/>
      <c r="G281" s="15">
        <f t="shared" si="86"/>
        <v>174494</v>
      </c>
      <c r="H281" s="15">
        <v>0</v>
      </c>
      <c r="I281" s="15">
        <f t="shared" si="87"/>
        <v>174494</v>
      </c>
      <c r="J281" s="5"/>
      <c r="K281" s="103">
        <v>5.0000000000000001E-3</v>
      </c>
      <c r="L281" s="100"/>
      <c r="M281" s="15">
        <f>$I281*K281</f>
        <v>872.47</v>
      </c>
      <c r="N281" s="5"/>
      <c r="O281" s="31">
        <f>$T$121</f>
        <v>1.06E-2</v>
      </c>
      <c r="P281" s="100"/>
      <c r="Q281" s="15">
        <f>$I281*O281</f>
        <v>1849.6364000000001</v>
      </c>
      <c r="U281" s="138">
        <f>I281*K281-M281</f>
        <v>0</v>
      </c>
      <c r="V281" s="139">
        <f>I281*O281-Q281</f>
        <v>0</v>
      </c>
    </row>
    <row r="282" spans="1:22" s="164" customFormat="1">
      <c r="A282" s="345" t="s">
        <v>164</v>
      </c>
      <c r="B282" s="160"/>
      <c r="C282" s="4">
        <v>27914</v>
      </c>
      <c r="D282" s="167"/>
      <c r="E282" s="100">
        <v>9.77</v>
      </c>
      <c r="F282" s="100"/>
      <c r="G282" s="15">
        <f t="shared" si="86"/>
        <v>272720</v>
      </c>
      <c r="H282" s="15">
        <v>0</v>
      </c>
      <c r="I282" s="15">
        <f t="shared" si="87"/>
        <v>272720</v>
      </c>
      <c r="J282" s="5"/>
      <c r="K282" s="103">
        <v>5.0000000000000001E-3</v>
      </c>
      <c r="L282" s="100"/>
      <c r="M282" s="15">
        <f>$I282*K282</f>
        <v>1363.6000000000001</v>
      </c>
      <c r="N282" s="5"/>
      <c r="O282" s="31">
        <f>$T$121</f>
        <v>1.06E-2</v>
      </c>
      <c r="P282" s="100"/>
      <c r="Q282" s="15">
        <f>$I282*O282</f>
        <v>2890.8319999999999</v>
      </c>
      <c r="U282" s="138">
        <f>I282*K282-M282</f>
        <v>0</v>
      </c>
      <c r="V282" s="139">
        <f>I282*O282-Q282</f>
        <v>0</v>
      </c>
    </row>
    <row r="283" spans="1:22" s="164" customFormat="1">
      <c r="A283" s="349" t="s">
        <v>165</v>
      </c>
      <c r="B283" s="160"/>
      <c r="C283" s="48">
        <v>10059553</v>
      </c>
      <c r="D283" s="167"/>
      <c r="E283" s="367">
        <v>6.5278999999999998</v>
      </c>
      <c r="F283" s="102" t="s">
        <v>11</v>
      </c>
      <c r="G283" s="37">
        <f>ROUND(C283*E283/100,0)</f>
        <v>656678</v>
      </c>
      <c r="H283" s="37">
        <v>0</v>
      </c>
      <c r="I283" s="37">
        <f t="shared" si="87"/>
        <v>656678</v>
      </c>
      <c r="J283" s="5"/>
      <c r="K283" s="103">
        <v>5.0000000000000001E-3</v>
      </c>
      <c r="L283" s="100"/>
      <c r="M283" s="37">
        <f>$I283*K283</f>
        <v>3283.39</v>
      </c>
      <c r="N283" s="5"/>
      <c r="O283" s="31">
        <f>$T$121</f>
        <v>1.06E-2</v>
      </c>
      <c r="P283" s="100"/>
      <c r="Q283" s="37">
        <f>$I283*O283</f>
        <v>6960.7867999999999</v>
      </c>
      <c r="U283" s="138">
        <f>I283*K283-M283</f>
        <v>0</v>
      </c>
      <c r="V283" s="139">
        <f>I283*O283-Q283</f>
        <v>0</v>
      </c>
    </row>
    <row r="284" spans="1:22" s="164" customFormat="1">
      <c r="A284" s="349" t="s">
        <v>166</v>
      </c>
      <c r="B284" s="160"/>
      <c r="C284" s="16">
        <v>49653569.797972836</v>
      </c>
      <c r="D284" s="167"/>
      <c r="E284" s="167"/>
      <c r="F284" s="167"/>
      <c r="G284" s="21">
        <f>SUM(G273:G283)</f>
        <v>3254780</v>
      </c>
      <c r="H284" s="21">
        <f>SUM(H273:H283)</f>
        <v>0</v>
      </c>
      <c r="I284" s="21">
        <f>SUM(I273:I283)</f>
        <v>3254780</v>
      </c>
      <c r="J284" s="5"/>
      <c r="K284" s="125"/>
      <c r="L284" s="100"/>
      <c r="M284" s="21">
        <f>SUM(M273:M283)</f>
        <v>16273.899999999998</v>
      </c>
      <c r="N284" s="5"/>
      <c r="O284" s="125"/>
      <c r="P284" s="100"/>
      <c r="Q284" s="21">
        <f>SUM(Q273:Q283)</f>
        <v>34500.667999999998</v>
      </c>
    </row>
    <row r="285" spans="1:22" s="164" customFormat="1">
      <c r="A285" s="349" t="s">
        <v>83</v>
      </c>
      <c r="B285" s="160"/>
      <c r="C285" s="16"/>
      <c r="D285" s="167"/>
      <c r="E285" s="124"/>
      <c r="F285" s="102"/>
      <c r="G285" s="21"/>
      <c r="H285" s="21"/>
      <c r="I285" s="21"/>
      <c r="J285" s="5"/>
      <c r="K285" s="125"/>
      <c r="L285" s="100"/>
      <c r="M285" s="21"/>
      <c r="N285" s="5"/>
      <c r="O285" s="125"/>
      <c r="P285" s="100"/>
      <c r="Q285" s="21"/>
    </row>
    <row r="286" spans="1:22" s="164" customFormat="1">
      <c r="A286" s="349" t="s">
        <v>152</v>
      </c>
      <c r="B286" s="160"/>
      <c r="C286" s="48">
        <v>49653569.797972836</v>
      </c>
      <c r="D286" s="167"/>
      <c r="E286" s="367"/>
      <c r="F286" s="102"/>
      <c r="G286" s="37">
        <f>SUM(G284:G285)</f>
        <v>3254780</v>
      </c>
      <c r="H286" s="37">
        <f>SUM(H284:H285)</f>
        <v>0</v>
      </c>
      <c r="I286" s="37">
        <f>SUM(I284:I285)</f>
        <v>3254780</v>
      </c>
      <c r="J286" s="5"/>
      <c r="K286" s="125"/>
      <c r="L286" s="100"/>
      <c r="M286" s="37">
        <f>SUM(M284:M285)</f>
        <v>16273.899999999998</v>
      </c>
      <c r="N286" s="5"/>
      <c r="O286" s="125"/>
      <c r="P286" s="100"/>
      <c r="Q286" s="37">
        <f>SUM(Q284:Q285)</f>
        <v>34500.667999999998</v>
      </c>
    </row>
    <row r="287" spans="1:22" s="164" customFormat="1">
      <c r="A287" s="349" t="s">
        <v>308</v>
      </c>
      <c r="B287" s="160"/>
      <c r="C287" s="16">
        <v>519</v>
      </c>
      <c r="D287" s="167"/>
      <c r="E287" s="167"/>
      <c r="F287" s="167"/>
      <c r="G287" s="21"/>
      <c r="H287" s="21"/>
      <c r="I287" s="21"/>
      <c r="J287" s="5"/>
      <c r="K287" s="91"/>
      <c r="L287" s="5"/>
      <c r="M287" s="21"/>
      <c r="N287" s="5"/>
      <c r="O287" s="91"/>
      <c r="P287" s="5"/>
      <c r="Q287" s="21"/>
    </row>
    <row r="288" spans="1:22" s="164" customFormat="1">
      <c r="A288" s="357" t="s">
        <v>167</v>
      </c>
      <c r="B288" s="160"/>
      <c r="C288" s="4"/>
      <c r="D288" s="167"/>
      <c r="E288" s="168"/>
      <c r="F288" s="167"/>
      <c r="G288" s="92"/>
      <c r="H288" s="92"/>
      <c r="I288" s="92"/>
      <c r="J288" s="5"/>
      <c r="K288" s="91"/>
      <c r="L288" s="5"/>
      <c r="M288" s="92"/>
      <c r="N288" s="5"/>
      <c r="O288" s="91"/>
      <c r="P288" s="5"/>
      <c r="Q288" s="92"/>
    </row>
    <row r="289" spans="1:22" s="164" customFormat="1">
      <c r="A289" s="349" t="s">
        <v>168</v>
      </c>
      <c r="B289" s="160"/>
      <c r="C289" s="4"/>
      <c r="D289" s="167"/>
      <c r="E289" s="168"/>
      <c r="F289" s="167"/>
      <c r="G289" s="15"/>
      <c r="H289" s="15"/>
      <c r="I289" s="15"/>
      <c r="J289" s="5"/>
      <c r="K289" s="201"/>
      <c r="L289" s="201"/>
      <c r="M289" s="15"/>
      <c r="N289" s="5"/>
      <c r="O289" s="201"/>
      <c r="P289" s="201"/>
      <c r="Q289" s="15"/>
    </row>
    <row r="290" spans="1:22" s="164" customFormat="1">
      <c r="A290" s="345" t="s">
        <v>169</v>
      </c>
      <c r="B290" s="160"/>
      <c r="C290" s="4">
        <v>76</v>
      </c>
      <c r="D290" s="167"/>
      <c r="E290" s="14">
        <v>8.9600000000000009</v>
      </c>
      <c r="F290" s="100"/>
      <c r="G290" s="15">
        <f>ROUND(C290*E290,0)</f>
        <v>681</v>
      </c>
      <c r="H290" s="15">
        <v>0</v>
      </c>
      <c r="I290" s="15">
        <f t="shared" ref="I290:I291" si="88">SUM(G290:H290)</f>
        <v>681</v>
      </c>
      <c r="J290" s="5"/>
      <c r="K290" s="103">
        <v>5.0000000000000001E-3</v>
      </c>
      <c r="L290" s="100"/>
      <c r="M290" s="15">
        <f>$I290*K290</f>
        <v>3.4050000000000002</v>
      </c>
      <c r="N290" s="5"/>
      <c r="O290" s="31">
        <f>$T$121</f>
        <v>1.06E-2</v>
      </c>
      <c r="P290" s="100"/>
      <c r="Q290" s="15">
        <f>$I290*O290</f>
        <v>7.2186000000000003</v>
      </c>
      <c r="U290" s="138">
        <f>I290*K290-M290</f>
        <v>0</v>
      </c>
      <c r="V290" s="139">
        <f>I290*O290-Q290</f>
        <v>0</v>
      </c>
    </row>
    <row r="291" spans="1:22" s="164" customFormat="1">
      <c r="A291" s="345" t="s">
        <v>141</v>
      </c>
      <c r="B291" s="160"/>
      <c r="C291" s="4">
        <v>91</v>
      </c>
      <c r="D291" s="167"/>
      <c r="E291" s="14">
        <v>12.19</v>
      </c>
      <c r="F291" s="100"/>
      <c r="G291" s="15">
        <f>ROUND(C291*E291,0)</f>
        <v>1109</v>
      </c>
      <c r="H291" s="15">
        <v>0</v>
      </c>
      <c r="I291" s="15">
        <f t="shared" si="88"/>
        <v>1109</v>
      </c>
      <c r="J291" s="5"/>
      <c r="K291" s="103">
        <v>5.0000000000000001E-3</v>
      </c>
      <c r="L291" s="100"/>
      <c r="M291" s="15">
        <f>$I291*K291</f>
        <v>5.5449999999999999</v>
      </c>
      <c r="N291" s="5"/>
      <c r="O291" s="31">
        <f>$T$121</f>
        <v>1.06E-2</v>
      </c>
      <c r="P291" s="100"/>
      <c r="Q291" s="15">
        <f>$I291*O291</f>
        <v>11.7554</v>
      </c>
      <c r="U291" s="138">
        <f>I291*K291-M291</f>
        <v>0</v>
      </c>
      <c r="V291" s="139">
        <f>I291*O291-Q291</f>
        <v>0</v>
      </c>
    </row>
    <row r="292" spans="1:22" s="164" customFormat="1">
      <c r="A292" s="349" t="s">
        <v>170</v>
      </c>
      <c r="B292" s="160"/>
      <c r="C292" s="4"/>
      <c r="D292" s="167"/>
      <c r="E292" s="14"/>
      <c r="F292" s="100"/>
      <c r="G292" s="15"/>
      <c r="H292" s="15"/>
      <c r="I292" s="15"/>
      <c r="J292" s="5"/>
      <c r="K292" s="31"/>
      <c r="L292" s="100"/>
      <c r="M292" s="15"/>
      <c r="N292" s="5"/>
      <c r="O292" s="31"/>
      <c r="P292" s="100"/>
      <c r="Q292" s="15"/>
      <c r="U292" s="138">
        <f>I292*K292-M292</f>
        <v>0</v>
      </c>
      <c r="V292" s="139">
        <f>I292*O292-Q292</f>
        <v>0</v>
      </c>
    </row>
    <row r="293" spans="1:22" s="164" customFormat="1">
      <c r="A293" s="345" t="s">
        <v>141</v>
      </c>
      <c r="B293" s="160"/>
      <c r="C293" s="4">
        <v>47</v>
      </c>
      <c r="D293" s="167"/>
      <c r="E293" s="14">
        <v>4.6399999999999997</v>
      </c>
      <c r="F293" s="100"/>
      <c r="G293" s="15">
        <f t="shared" ref="G293:G296" si="89">ROUND(C293*E293,0)</f>
        <v>218</v>
      </c>
      <c r="H293" s="15">
        <v>0</v>
      </c>
      <c r="I293" s="15">
        <f t="shared" ref="I293:I296" si="90">SUM(G293:H293)</f>
        <v>218</v>
      </c>
      <c r="J293" s="5"/>
      <c r="K293" s="103">
        <v>5.0000000000000001E-3</v>
      </c>
      <c r="L293" s="100"/>
      <c r="M293" s="15">
        <f>$I293*K293</f>
        <v>1.0900000000000001</v>
      </c>
      <c r="N293" s="5"/>
      <c r="O293" s="31">
        <f>$T$121</f>
        <v>1.06E-2</v>
      </c>
      <c r="P293" s="100"/>
      <c r="Q293" s="15">
        <f>$I293*O293</f>
        <v>2.3108</v>
      </c>
      <c r="U293" s="138"/>
      <c r="V293" s="139"/>
    </row>
    <row r="294" spans="1:22" s="164" customFormat="1">
      <c r="A294" s="345" t="s">
        <v>56</v>
      </c>
      <c r="B294" s="160"/>
      <c r="C294" s="16">
        <v>546</v>
      </c>
      <c r="D294" s="167"/>
      <c r="E294" s="14">
        <v>7</v>
      </c>
      <c r="F294" s="167"/>
      <c r="G294" s="15">
        <f t="shared" si="89"/>
        <v>3822</v>
      </c>
      <c r="H294" s="15">
        <v>0</v>
      </c>
      <c r="I294" s="15">
        <f t="shared" si="90"/>
        <v>3822</v>
      </c>
      <c r="J294" s="5"/>
      <c r="K294" s="103">
        <v>5.0000000000000001E-3</v>
      </c>
      <c r="L294" s="100"/>
      <c r="M294" s="15">
        <f>$I294*K294</f>
        <v>19.11</v>
      </c>
      <c r="N294" s="5"/>
      <c r="O294" s="31">
        <f>$T$121</f>
        <v>1.06E-2</v>
      </c>
      <c r="P294" s="100"/>
      <c r="Q294" s="15">
        <f>$I294*O294</f>
        <v>40.513199999999998</v>
      </c>
      <c r="U294" s="138">
        <f>I294*K294-M294</f>
        <v>0</v>
      </c>
      <c r="V294" s="139">
        <f>I294*O294-Q294</f>
        <v>0</v>
      </c>
    </row>
    <row r="295" spans="1:22" s="164" customFormat="1">
      <c r="A295" s="345" t="s">
        <v>58</v>
      </c>
      <c r="B295" s="160"/>
      <c r="C295" s="4">
        <v>140</v>
      </c>
      <c r="D295" s="167"/>
      <c r="E295" s="14">
        <v>13.33</v>
      </c>
      <c r="F295" s="100"/>
      <c r="G295" s="15">
        <f t="shared" si="89"/>
        <v>1866</v>
      </c>
      <c r="H295" s="15">
        <v>0</v>
      </c>
      <c r="I295" s="15">
        <f t="shared" si="90"/>
        <v>1866</v>
      </c>
      <c r="J295" s="5"/>
      <c r="K295" s="103">
        <v>5.0000000000000001E-3</v>
      </c>
      <c r="L295" s="100"/>
      <c r="M295" s="15">
        <f>$I295*K295</f>
        <v>9.33</v>
      </c>
      <c r="N295" s="5"/>
      <c r="O295" s="31">
        <f>$T$121</f>
        <v>1.06E-2</v>
      </c>
      <c r="P295" s="100"/>
      <c r="Q295" s="15">
        <f>$I295*O295</f>
        <v>19.779599999999999</v>
      </c>
      <c r="U295" s="138">
        <f>I295*K295-M295</f>
        <v>0</v>
      </c>
      <c r="V295" s="139">
        <f>I295*O295-Q295</f>
        <v>0</v>
      </c>
    </row>
    <row r="296" spans="1:22" s="164" customFormat="1">
      <c r="A296" s="345" t="s">
        <v>171</v>
      </c>
      <c r="B296" s="160"/>
      <c r="C296" s="4">
        <v>0</v>
      </c>
      <c r="D296" s="167"/>
      <c r="E296" s="14">
        <v>28.38</v>
      </c>
      <c r="F296" s="100"/>
      <c r="G296" s="15">
        <f t="shared" si="89"/>
        <v>0</v>
      </c>
      <c r="H296" s="15">
        <v>0</v>
      </c>
      <c r="I296" s="15">
        <f t="shared" si="90"/>
        <v>0</v>
      </c>
      <c r="J296" s="5"/>
      <c r="K296" s="103">
        <v>5.0000000000000001E-3</v>
      </c>
      <c r="L296" s="100"/>
      <c r="M296" s="15">
        <f>$I296*K296</f>
        <v>0</v>
      </c>
      <c r="N296" s="5"/>
      <c r="O296" s="31">
        <f>$T$121</f>
        <v>1.06E-2</v>
      </c>
      <c r="P296" s="100"/>
      <c r="Q296" s="15">
        <f>$I296*O296</f>
        <v>0</v>
      </c>
      <c r="U296" s="138">
        <f>I296*K296-M296</f>
        <v>0</v>
      </c>
      <c r="V296" s="139">
        <f>I296*O296-Q296</f>
        <v>0</v>
      </c>
    </row>
    <row r="297" spans="1:22" s="164" customFormat="1">
      <c r="A297" s="349" t="s">
        <v>172</v>
      </c>
      <c r="B297" s="160"/>
      <c r="C297" s="4"/>
      <c r="D297" s="167"/>
      <c r="E297" s="14"/>
      <c r="F297" s="100"/>
      <c r="G297" s="15"/>
      <c r="H297" s="15"/>
      <c r="I297" s="15"/>
      <c r="J297" s="5"/>
      <c r="K297" s="31"/>
      <c r="L297" s="100"/>
      <c r="M297" s="15"/>
      <c r="N297" s="5"/>
      <c r="O297" s="31"/>
      <c r="P297" s="100"/>
      <c r="Q297" s="15"/>
      <c r="U297" s="138">
        <f>I297*K297-M297</f>
        <v>0</v>
      </c>
      <c r="V297" s="139">
        <f>I297*O297-Q297</f>
        <v>0</v>
      </c>
    </row>
    <row r="298" spans="1:22" s="164" customFormat="1">
      <c r="A298" s="345" t="s">
        <v>156</v>
      </c>
      <c r="B298" s="160"/>
      <c r="C298" s="4">
        <v>34609</v>
      </c>
      <c r="D298" s="167"/>
      <c r="E298" s="14">
        <v>4.08</v>
      </c>
      <c r="F298" s="100"/>
      <c r="G298" s="15">
        <f>ROUND(C298*E298,0)</f>
        <v>141205</v>
      </c>
      <c r="H298" s="15">
        <v>0</v>
      </c>
      <c r="I298" s="15">
        <f t="shared" ref="I298:I307" si="91">SUM(G298:H298)</f>
        <v>141205</v>
      </c>
      <c r="J298" s="5"/>
      <c r="K298" s="103">
        <v>5.0000000000000001E-3</v>
      </c>
      <c r="L298" s="100"/>
      <c r="M298" s="15">
        <f t="shared" ref="M298:M307" si="92">$I298*K298</f>
        <v>706.02499999999998</v>
      </c>
      <c r="N298" s="5"/>
      <c r="O298" s="31">
        <f t="shared" ref="O298:O307" si="93">$T$121</f>
        <v>1.06E-2</v>
      </c>
      <c r="P298" s="100"/>
      <c r="Q298" s="15">
        <f t="shared" ref="Q298:Q307" si="94">$I298*O298</f>
        <v>1496.7729999999999</v>
      </c>
      <c r="U298" s="138">
        <f>I298*K298-M298</f>
        <v>0</v>
      </c>
      <c r="V298" s="139">
        <f>I298*O298-Q298</f>
        <v>0</v>
      </c>
    </row>
    <row r="299" spans="1:22" s="164" customFormat="1">
      <c r="A299" s="345" t="s">
        <v>157</v>
      </c>
      <c r="B299" s="160"/>
      <c r="C299" s="4">
        <v>15632</v>
      </c>
      <c r="D299" s="167"/>
      <c r="E299" s="14">
        <v>5.37</v>
      </c>
      <c r="F299" s="100"/>
      <c r="G299" s="15">
        <f>ROUND(C299*E299,0)</f>
        <v>83944</v>
      </c>
      <c r="H299" s="15">
        <v>0</v>
      </c>
      <c r="I299" s="15">
        <f t="shared" si="91"/>
        <v>83944</v>
      </c>
      <c r="J299" s="5"/>
      <c r="K299" s="103">
        <v>5.0000000000000001E-3</v>
      </c>
      <c r="L299" s="100"/>
      <c r="M299" s="15">
        <f t="shared" si="92"/>
        <v>419.72</v>
      </c>
      <c r="N299" s="5"/>
      <c r="O299" s="31">
        <f t="shared" si="93"/>
        <v>1.06E-2</v>
      </c>
      <c r="P299" s="100"/>
      <c r="Q299" s="15">
        <f t="shared" si="94"/>
        <v>889.80640000000005</v>
      </c>
      <c r="U299" s="138"/>
      <c r="V299" s="139"/>
    </row>
    <row r="300" spans="1:22" s="164" customFormat="1">
      <c r="A300" s="345" t="s">
        <v>173</v>
      </c>
      <c r="B300" s="160"/>
      <c r="C300" s="4">
        <v>8817</v>
      </c>
      <c r="D300" s="167"/>
      <c r="E300" s="14">
        <v>6.96</v>
      </c>
      <c r="F300" s="100"/>
      <c r="G300" s="15">
        <f t="shared" ref="G300:G312" si="95">ROUND(C300*E300,0)</f>
        <v>61366</v>
      </c>
      <c r="H300" s="15">
        <v>0</v>
      </c>
      <c r="I300" s="15">
        <f t="shared" si="91"/>
        <v>61366</v>
      </c>
      <c r="J300" s="5"/>
      <c r="K300" s="103">
        <v>5.0000000000000001E-3</v>
      </c>
      <c r="L300" s="100"/>
      <c r="M300" s="15">
        <f t="shared" si="92"/>
        <v>306.83</v>
      </c>
      <c r="N300" s="5"/>
      <c r="O300" s="31">
        <f t="shared" si="93"/>
        <v>1.06E-2</v>
      </c>
      <c r="P300" s="100"/>
      <c r="Q300" s="15">
        <f t="shared" si="94"/>
        <v>650.4796</v>
      </c>
      <c r="U300" s="138">
        <f t="shared" ref="U300:U315" si="96">I300*K300-M300</f>
        <v>0</v>
      </c>
      <c r="V300" s="139">
        <f t="shared" ref="V300:V315" si="97">I300*O300-Q300</f>
        <v>0</v>
      </c>
    </row>
    <row r="301" spans="1:22" s="164" customFormat="1">
      <c r="A301" s="345" t="s">
        <v>158</v>
      </c>
      <c r="B301" s="160"/>
      <c r="C301" s="4">
        <v>2548</v>
      </c>
      <c r="D301" s="167"/>
      <c r="E301" s="14">
        <v>6.52</v>
      </c>
      <c r="F301" s="100"/>
      <c r="G301" s="15">
        <f t="shared" si="95"/>
        <v>16613</v>
      </c>
      <c r="H301" s="15">
        <v>0</v>
      </c>
      <c r="I301" s="15">
        <f t="shared" si="91"/>
        <v>16613</v>
      </c>
      <c r="J301" s="5"/>
      <c r="K301" s="103">
        <v>5.0000000000000001E-3</v>
      </c>
      <c r="L301" s="100"/>
      <c r="M301" s="15">
        <f t="shared" si="92"/>
        <v>83.064999999999998</v>
      </c>
      <c r="N301" s="5"/>
      <c r="O301" s="31">
        <f t="shared" si="93"/>
        <v>1.06E-2</v>
      </c>
      <c r="P301" s="100"/>
      <c r="Q301" s="15">
        <f t="shared" si="94"/>
        <v>176.09780000000001</v>
      </c>
      <c r="U301" s="138">
        <f t="shared" si="96"/>
        <v>0</v>
      </c>
      <c r="V301" s="139">
        <f t="shared" si="97"/>
        <v>0</v>
      </c>
    </row>
    <row r="302" spans="1:22" s="164" customFormat="1">
      <c r="A302" s="345" t="s">
        <v>174</v>
      </c>
      <c r="B302" s="160"/>
      <c r="C302" s="4">
        <v>799</v>
      </c>
      <c r="D302" s="167"/>
      <c r="E302" s="14">
        <v>8.27</v>
      </c>
      <c r="F302" s="100"/>
      <c r="G302" s="15">
        <f t="shared" si="95"/>
        <v>6608</v>
      </c>
      <c r="H302" s="15">
        <v>0</v>
      </c>
      <c r="I302" s="15">
        <f t="shared" si="91"/>
        <v>6608</v>
      </c>
      <c r="J302" s="5"/>
      <c r="K302" s="103">
        <v>5.0000000000000001E-3</v>
      </c>
      <c r="L302" s="100"/>
      <c r="M302" s="15">
        <f t="shared" si="92"/>
        <v>33.04</v>
      </c>
      <c r="N302" s="5"/>
      <c r="O302" s="31">
        <f t="shared" si="93"/>
        <v>1.06E-2</v>
      </c>
      <c r="P302" s="100"/>
      <c r="Q302" s="15">
        <f t="shared" si="94"/>
        <v>70.044799999999995</v>
      </c>
      <c r="U302" s="138">
        <f t="shared" si="96"/>
        <v>0</v>
      </c>
      <c r="V302" s="139">
        <f t="shared" si="97"/>
        <v>0</v>
      </c>
    </row>
    <row r="303" spans="1:22" s="164" customFormat="1">
      <c r="A303" s="345" t="s">
        <v>175</v>
      </c>
      <c r="B303" s="160"/>
      <c r="C303" s="4">
        <v>0</v>
      </c>
      <c r="D303" s="167"/>
      <c r="E303" s="14">
        <v>8.26</v>
      </c>
      <c r="F303" s="100"/>
      <c r="G303" s="15">
        <f t="shared" si="95"/>
        <v>0</v>
      </c>
      <c r="H303" s="15">
        <v>0</v>
      </c>
      <c r="I303" s="15">
        <f t="shared" si="91"/>
        <v>0</v>
      </c>
      <c r="J303" s="5"/>
      <c r="K303" s="103">
        <v>5.0000000000000001E-3</v>
      </c>
      <c r="L303" s="100"/>
      <c r="M303" s="15">
        <f t="shared" si="92"/>
        <v>0</v>
      </c>
      <c r="N303" s="5"/>
      <c r="O303" s="31">
        <f t="shared" si="93"/>
        <v>1.06E-2</v>
      </c>
      <c r="P303" s="100"/>
      <c r="Q303" s="15">
        <f t="shared" si="94"/>
        <v>0</v>
      </c>
      <c r="U303" s="138">
        <f t="shared" si="96"/>
        <v>0</v>
      </c>
      <c r="V303" s="139">
        <f t="shared" si="97"/>
        <v>0</v>
      </c>
    </row>
    <row r="304" spans="1:22" s="164" customFormat="1">
      <c r="A304" s="345" t="s">
        <v>159</v>
      </c>
      <c r="B304" s="160"/>
      <c r="C304" s="4">
        <v>5601</v>
      </c>
      <c r="D304" s="167"/>
      <c r="E304" s="14">
        <v>9.59</v>
      </c>
      <c r="F304" s="100"/>
      <c r="G304" s="15">
        <f t="shared" si="95"/>
        <v>53714</v>
      </c>
      <c r="H304" s="15">
        <v>0</v>
      </c>
      <c r="I304" s="15">
        <f t="shared" si="91"/>
        <v>53714</v>
      </c>
      <c r="J304" s="5"/>
      <c r="K304" s="103">
        <v>5.0000000000000001E-3</v>
      </c>
      <c r="L304" s="100"/>
      <c r="M304" s="15">
        <f t="shared" si="92"/>
        <v>268.57</v>
      </c>
      <c r="N304" s="5"/>
      <c r="O304" s="31">
        <f t="shared" si="93"/>
        <v>1.06E-2</v>
      </c>
      <c r="P304" s="100"/>
      <c r="Q304" s="15">
        <f t="shared" si="94"/>
        <v>569.36839999999995</v>
      </c>
      <c r="U304" s="138">
        <f t="shared" si="96"/>
        <v>0</v>
      </c>
      <c r="V304" s="139">
        <f t="shared" si="97"/>
        <v>0</v>
      </c>
    </row>
    <row r="305" spans="1:22" s="164" customFormat="1">
      <c r="A305" s="345" t="s">
        <v>176</v>
      </c>
      <c r="B305" s="160"/>
      <c r="C305" s="4">
        <v>143</v>
      </c>
      <c r="D305" s="167"/>
      <c r="E305" s="14">
        <v>11.93</v>
      </c>
      <c r="F305" s="100"/>
      <c r="G305" s="15">
        <f t="shared" si="95"/>
        <v>1706</v>
      </c>
      <c r="H305" s="15">
        <v>0</v>
      </c>
      <c r="I305" s="15">
        <f t="shared" si="91"/>
        <v>1706</v>
      </c>
      <c r="J305" s="5"/>
      <c r="K305" s="103">
        <v>5.0000000000000001E-3</v>
      </c>
      <c r="L305" s="100"/>
      <c r="M305" s="15">
        <f t="shared" si="92"/>
        <v>8.5299999999999994</v>
      </c>
      <c r="N305" s="5"/>
      <c r="O305" s="31">
        <f t="shared" si="93"/>
        <v>1.06E-2</v>
      </c>
      <c r="P305" s="100"/>
      <c r="Q305" s="15">
        <f t="shared" si="94"/>
        <v>18.083600000000001</v>
      </c>
      <c r="U305" s="138">
        <f t="shared" si="96"/>
        <v>0</v>
      </c>
      <c r="V305" s="139">
        <f t="shared" si="97"/>
        <v>0</v>
      </c>
    </row>
    <row r="306" spans="1:22" s="164" customFormat="1">
      <c r="A306" s="345" t="s">
        <v>160</v>
      </c>
      <c r="B306" s="160"/>
      <c r="C306" s="4">
        <v>10133</v>
      </c>
      <c r="D306" s="167"/>
      <c r="E306" s="14">
        <v>14</v>
      </c>
      <c r="F306" s="100"/>
      <c r="G306" s="15">
        <f t="shared" si="95"/>
        <v>141862</v>
      </c>
      <c r="H306" s="15">
        <v>0</v>
      </c>
      <c r="I306" s="15">
        <f t="shared" si="91"/>
        <v>141862</v>
      </c>
      <c r="J306" s="5"/>
      <c r="K306" s="103">
        <v>5.0000000000000001E-3</v>
      </c>
      <c r="L306" s="100"/>
      <c r="M306" s="15">
        <f t="shared" si="92"/>
        <v>709.31000000000006</v>
      </c>
      <c r="N306" s="5"/>
      <c r="O306" s="31">
        <f t="shared" si="93"/>
        <v>1.06E-2</v>
      </c>
      <c r="P306" s="100"/>
      <c r="Q306" s="15">
        <f t="shared" si="94"/>
        <v>1503.7372</v>
      </c>
      <c r="U306" s="138">
        <f t="shared" si="96"/>
        <v>0</v>
      </c>
      <c r="V306" s="139">
        <f t="shared" si="97"/>
        <v>0</v>
      </c>
    </row>
    <row r="307" spans="1:22" s="164" customFormat="1">
      <c r="A307" s="345" t="s">
        <v>177</v>
      </c>
      <c r="B307" s="160"/>
      <c r="C307" s="4">
        <v>157</v>
      </c>
      <c r="D307" s="167"/>
      <c r="E307" s="14">
        <v>15.56</v>
      </c>
      <c r="F307" s="100"/>
      <c r="G307" s="15">
        <f t="shared" si="95"/>
        <v>2443</v>
      </c>
      <c r="H307" s="15">
        <v>0</v>
      </c>
      <c r="I307" s="15">
        <f t="shared" si="91"/>
        <v>2443</v>
      </c>
      <c r="J307" s="5"/>
      <c r="K307" s="103">
        <v>5.0000000000000001E-3</v>
      </c>
      <c r="L307" s="100"/>
      <c r="M307" s="15">
        <f t="shared" si="92"/>
        <v>12.215</v>
      </c>
      <c r="N307" s="5"/>
      <c r="O307" s="31">
        <f t="shared" si="93"/>
        <v>1.06E-2</v>
      </c>
      <c r="P307" s="100"/>
      <c r="Q307" s="15">
        <f t="shared" si="94"/>
        <v>25.895800000000001</v>
      </c>
      <c r="U307" s="138">
        <f t="shared" si="96"/>
        <v>0</v>
      </c>
      <c r="V307" s="139">
        <f t="shared" si="97"/>
        <v>0</v>
      </c>
    </row>
    <row r="308" spans="1:22" s="164" customFormat="1">
      <c r="A308" s="349" t="s">
        <v>129</v>
      </c>
      <c r="B308" s="160"/>
      <c r="C308" s="4"/>
      <c r="D308" s="167"/>
      <c r="E308" s="14"/>
      <c r="F308" s="100"/>
      <c r="G308" s="15"/>
      <c r="H308" s="15"/>
      <c r="I308" s="15"/>
      <c r="J308" s="5"/>
      <c r="K308" s="31"/>
      <c r="L308" s="100"/>
      <c r="M308" s="15"/>
      <c r="N308" s="5"/>
      <c r="O308" s="31"/>
      <c r="P308" s="100"/>
      <c r="Q308" s="15"/>
      <c r="U308" s="138">
        <f t="shared" si="96"/>
        <v>0</v>
      </c>
      <c r="V308" s="139">
        <f t="shared" si="97"/>
        <v>0</v>
      </c>
    </row>
    <row r="309" spans="1:22" s="164" customFormat="1">
      <c r="A309" s="345" t="s">
        <v>178</v>
      </c>
      <c r="B309" s="160"/>
      <c r="C309" s="4">
        <v>702</v>
      </c>
      <c r="D309" s="167"/>
      <c r="E309" s="14">
        <v>9.19</v>
      </c>
      <c r="F309" s="100"/>
      <c r="G309" s="15">
        <f t="shared" si="95"/>
        <v>6451</v>
      </c>
      <c r="H309" s="15">
        <v>0</v>
      </c>
      <c r="I309" s="15">
        <f t="shared" ref="I309:I315" si="98">SUM(G309:H309)</f>
        <v>6451</v>
      </c>
      <c r="J309" s="5"/>
      <c r="K309" s="103">
        <v>5.0000000000000001E-3</v>
      </c>
      <c r="L309" s="100"/>
      <c r="M309" s="15">
        <f t="shared" ref="M309:M315" si="99">$I309*K309</f>
        <v>32.255000000000003</v>
      </c>
      <c r="N309" s="5"/>
      <c r="O309" s="31">
        <f t="shared" ref="O309:O315" si="100">$T$121</f>
        <v>1.06E-2</v>
      </c>
      <c r="P309" s="100"/>
      <c r="Q309" s="15">
        <f t="shared" ref="Q309:Q315" si="101">$I309*O309</f>
        <v>68.380600000000001</v>
      </c>
      <c r="U309" s="138">
        <f t="shared" si="96"/>
        <v>0</v>
      </c>
      <c r="V309" s="139">
        <f t="shared" si="97"/>
        <v>0</v>
      </c>
    </row>
    <row r="310" spans="1:22" s="164" customFormat="1">
      <c r="A310" s="345" t="s">
        <v>162</v>
      </c>
      <c r="B310" s="160"/>
      <c r="C310" s="4">
        <v>1617</v>
      </c>
      <c r="D310" s="167"/>
      <c r="E310" s="14">
        <v>13.57</v>
      </c>
      <c r="F310" s="100"/>
      <c r="G310" s="15">
        <f t="shared" si="95"/>
        <v>21943</v>
      </c>
      <c r="H310" s="15">
        <v>0</v>
      </c>
      <c r="I310" s="15">
        <f t="shared" si="98"/>
        <v>21943</v>
      </c>
      <c r="J310" s="5"/>
      <c r="K310" s="103">
        <v>5.0000000000000001E-3</v>
      </c>
      <c r="L310" s="100"/>
      <c r="M310" s="15">
        <f t="shared" si="99"/>
        <v>109.715</v>
      </c>
      <c r="N310" s="5"/>
      <c r="O310" s="31">
        <f t="shared" si="100"/>
        <v>1.06E-2</v>
      </c>
      <c r="P310" s="100"/>
      <c r="Q310" s="15">
        <f t="shared" si="101"/>
        <v>232.5958</v>
      </c>
      <c r="U310" s="138">
        <f t="shared" si="96"/>
        <v>0</v>
      </c>
      <c r="V310" s="139">
        <f t="shared" si="97"/>
        <v>0</v>
      </c>
    </row>
    <row r="311" spans="1:22" s="164" customFormat="1">
      <c r="A311" s="345" t="s">
        <v>179</v>
      </c>
      <c r="B311" s="160"/>
      <c r="C311" s="4">
        <v>225</v>
      </c>
      <c r="D311" s="167"/>
      <c r="E311" s="14">
        <v>11.09</v>
      </c>
      <c r="F311" s="100"/>
      <c r="G311" s="15">
        <f t="shared" si="95"/>
        <v>2495</v>
      </c>
      <c r="H311" s="15">
        <v>0</v>
      </c>
      <c r="I311" s="15">
        <f t="shared" si="98"/>
        <v>2495</v>
      </c>
      <c r="J311" s="5"/>
      <c r="K311" s="103">
        <v>5.0000000000000001E-3</v>
      </c>
      <c r="L311" s="100"/>
      <c r="M311" s="15">
        <f t="shared" si="99"/>
        <v>12.475</v>
      </c>
      <c r="N311" s="5"/>
      <c r="O311" s="31">
        <f t="shared" si="100"/>
        <v>1.06E-2</v>
      </c>
      <c r="P311" s="100"/>
      <c r="Q311" s="15">
        <f t="shared" si="101"/>
        <v>26.446999999999999</v>
      </c>
      <c r="U311" s="138">
        <f t="shared" si="96"/>
        <v>0</v>
      </c>
      <c r="V311" s="139">
        <f t="shared" si="97"/>
        <v>0</v>
      </c>
    </row>
    <row r="312" spans="1:22" s="164" customFormat="1">
      <c r="A312" s="345" t="s">
        <v>163</v>
      </c>
      <c r="B312" s="160"/>
      <c r="C312" s="4">
        <v>518</v>
      </c>
      <c r="D312" s="167"/>
      <c r="E312" s="14">
        <v>13.71</v>
      </c>
      <c r="F312" s="100"/>
      <c r="G312" s="21">
        <f t="shared" si="95"/>
        <v>7102</v>
      </c>
      <c r="H312" s="21">
        <v>0</v>
      </c>
      <c r="I312" s="21">
        <f t="shared" si="98"/>
        <v>7102</v>
      </c>
      <c r="J312" s="5"/>
      <c r="K312" s="103">
        <v>5.0000000000000001E-3</v>
      </c>
      <c r="L312" s="100"/>
      <c r="M312" s="21">
        <f t="shared" si="99"/>
        <v>35.51</v>
      </c>
      <c r="N312" s="5"/>
      <c r="O312" s="31">
        <f t="shared" si="100"/>
        <v>1.06E-2</v>
      </c>
      <c r="P312" s="100"/>
      <c r="Q312" s="21">
        <f t="shared" si="101"/>
        <v>75.281199999999998</v>
      </c>
      <c r="U312" s="138">
        <f t="shared" si="96"/>
        <v>0</v>
      </c>
      <c r="V312" s="139">
        <f t="shared" si="97"/>
        <v>0</v>
      </c>
    </row>
    <row r="313" spans="1:22" s="164" customFormat="1">
      <c r="A313" s="345" t="s">
        <v>180</v>
      </c>
      <c r="B313" s="160"/>
      <c r="C313" s="4">
        <v>6034</v>
      </c>
      <c r="D313" s="167"/>
      <c r="E313" s="14">
        <v>14.13</v>
      </c>
      <c r="F313" s="100"/>
      <c r="G313" s="15">
        <f t="shared" ref="G313:G315" si="102">ROUND(C313*E313,0)</f>
        <v>85260</v>
      </c>
      <c r="H313" s="15">
        <v>0</v>
      </c>
      <c r="I313" s="15">
        <f t="shared" si="98"/>
        <v>85260</v>
      </c>
      <c r="J313" s="5"/>
      <c r="K313" s="103">
        <v>5.0000000000000001E-3</v>
      </c>
      <c r="L313" s="100"/>
      <c r="M313" s="15">
        <f t="shared" si="99"/>
        <v>426.3</v>
      </c>
      <c r="N313" s="5"/>
      <c r="O313" s="31">
        <f t="shared" si="100"/>
        <v>1.06E-2</v>
      </c>
      <c r="P313" s="100"/>
      <c r="Q313" s="15">
        <f t="shared" si="101"/>
        <v>903.75599999999997</v>
      </c>
      <c r="U313" s="138">
        <f t="shared" si="96"/>
        <v>0</v>
      </c>
      <c r="V313" s="139">
        <f t="shared" si="97"/>
        <v>0</v>
      </c>
    </row>
    <row r="314" spans="1:22" s="164" customFormat="1">
      <c r="A314" s="345" t="s">
        <v>164</v>
      </c>
      <c r="B314" s="160"/>
      <c r="C314" s="4">
        <v>544</v>
      </c>
      <c r="D314" s="167"/>
      <c r="E314" s="14">
        <v>14.58</v>
      </c>
      <c r="F314" s="100"/>
      <c r="G314" s="15">
        <f t="shared" si="102"/>
        <v>7932</v>
      </c>
      <c r="H314" s="15">
        <v>0</v>
      </c>
      <c r="I314" s="15">
        <f t="shared" si="98"/>
        <v>7932</v>
      </c>
      <c r="J314" s="5"/>
      <c r="K314" s="103">
        <v>5.0000000000000001E-3</v>
      </c>
      <c r="L314" s="100"/>
      <c r="M314" s="15">
        <f t="shared" si="99"/>
        <v>39.660000000000004</v>
      </c>
      <c r="N314" s="5"/>
      <c r="O314" s="31">
        <f t="shared" si="100"/>
        <v>1.06E-2</v>
      </c>
      <c r="P314" s="100"/>
      <c r="Q314" s="15">
        <f t="shared" si="101"/>
        <v>84.0792</v>
      </c>
      <c r="U314" s="138">
        <f t="shared" si="96"/>
        <v>0</v>
      </c>
      <c r="V314" s="139">
        <f t="shared" si="97"/>
        <v>0</v>
      </c>
    </row>
    <row r="315" spans="1:22" s="164" customFormat="1">
      <c r="A315" s="345" t="s">
        <v>181</v>
      </c>
      <c r="B315" s="160"/>
      <c r="C315" s="16">
        <v>669</v>
      </c>
      <c r="D315" s="167"/>
      <c r="E315" s="100">
        <v>15.79</v>
      </c>
      <c r="F315" s="100"/>
      <c r="G315" s="21">
        <f t="shared" si="102"/>
        <v>10564</v>
      </c>
      <c r="H315" s="21">
        <v>0</v>
      </c>
      <c r="I315" s="21">
        <f t="shared" si="98"/>
        <v>10564</v>
      </c>
      <c r="J315" s="5"/>
      <c r="K315" s="103">
        <v>5.0000000000000001E-3</v>
      </c>
      <c r="L315" s="100"/>
      <c r="M315" s="21">
        <f t="shared" si="99"/>
        <v>52.82</v>
      </c>
      <c r="N315" s="5"/>
      <c r="O315" s="31">
        <f t="shared" si="100"/>
        <v>1.06E-2</v>
      </c>
      <c r="P315" s="100"/>
      <c r="Q315" s="21">
        <f t="shared" si="101"/>
        <v>111.97839999999999</v>
      </c>
      <c r="U315" s="138">
        <f t="shared" si="96"/>
        <v>0</v>
      </c>
      <c r="V315" s="139">
        <f t="shared" si="97"/>
        <v>0</v>
      </c>
    </row>
    <row r="316" spans="1:22" s="164" customFormat="1">
      <c r="A316" s="349" t="s">
        <v>182</v>
      </c>
      <c r="B316" s="160"/>
      <c r="C316" s="4"/>
      <c r="D316" s="167"/>
      <c r="E316" s="14"/>
      <c r="F316" s="100"/>
      <c r="G316" s="15"/>
      <c r="H316" s="15"/>
      <c r="I316" s="15"/>
      <c r="J316" s="5"/>
      <c r="K316" s="31"/>
      <c r="L316" s="100"/>
      <c r="M316" s="15"/>
      <c r="N316" s="5"/>
      <c r="O316" s="31"/>
      <c r="P316" s="100"/>
      <c r="Q316" s="15"/>
      <c r="U316" s="138"/>
      <c r="V316" s="139"/>
    </row>
    <row r="317" spans="1:22" s="164" customFormat="1">
      <c r="A317" s="345" t="s">
        <v>183</v>
      </c>
      <c r="B317" s="160"/>
      <c r="C317" s="4">
        <v>0</v>
      </c>
      <c r="D317" s="167"/>
      <c r="E317" s="14">
        <v>3.75</v>
      </c>
      <c r="F317" s="100"/>
      <c r="G317" s="15">
        <f>ROUND(C317*E317,0)</f>
        <v>0</v>
      </c>
      <c r="H317" s="15">
        <v>0</v>
      </c>
      <c r="I317" s="15">
        <f t="shared" ref="I317:I318" si="103">SUM(G317:H317)</f>
        <v>0</v>
      </c>
      <c r="J317" s="5"/>
      <c r="K317" s="103">
        <v>5.0000000000000001E-3</v>
      </c>
      <c r="L317" s="100"/>
      <c r="M317" s="15">
        <f>$I317*K317</f>
        <v>0</v>
      </c>
      <c r="N317" s="5"/>
      <c r="O317" s="31">
        <f>$T$121</f>
        <v>1.06E-2</v>
      </c>
      <c r="P317" s="100"/>
      <c r="Q317" s="15">
        <f>$I317*O317</f>
        <v>0</v>
      </c>
      <c r="U317" s="138">
        <f>I317*K317-M317</f>
        <v>0</v>
      </c>
      <c r="V317" s="139">
        <f>I317*O317-Q317</f>
        <v>0</v>
      </c>
    </row>
    <row r="318" spans="1:22" s="164" customFormat="1">
      <c r="A318" s="345" t="s">
        <v>184</v>
      </c>
      <c r="B318" s="160"/>
      <c r="C318" s="4">
        <v>83</v>
      </c>
      <c r="D318" s="167"/>
      <c r="E318" s="14">
        <v>13.92</v>
      </c>
      <c r="F318" s="100"/>
      <c r="G318" s="21">
        <f>ROUND(C318*E318,0)</f>
        <v>1155</v>
      </c>
      <c r="H318" s="21">
        <v>0</v>
      </c>
      <c r="I318" s="21">
        <f t="shared" si="103"/>
        <v>1155</v>
      </c>
      <c r="J318" s="5"/>
      <c r="K318" s="103">
        <v>5.0000000000000001E-3</v>
      </c>
      <c r="L318" s="100"/>
      <c r="M318" s="21">
        <f>$I318*K318</f>
        <v>5.7750000000000004</v>
      </c>
      <c r="N318" s="5"/>
      <c r="O318" s="111">
        <f>$T$121</f>
        <v>1.06E-2</v>
      </c>
      <c r="P318" s="100"/>
      <c r="Q318" s="21">
        <f>$I318*O318</f>
        <v>12.243</v>
      </c>
      <c r="U318" s="138">
        <f>I318*K318-M318</f>
        <v>0</v>
      </c>
      <c r="V318" s="139">
        <f>I318*O318-Q318</f>
        <v>0</v>
      </c>
    </row>
    <row r="319" spans="1:22" s="164" customFormat="1">
      <c r="A319" s="349" t="s">
        <v>166</v>
      </c>
      <c r="B319" s="160"/>
      <c r="C319" s="23">
        <v>5219064.5578195509</v>
      </c>
      <c r="D319" s="167"/>
      <c r="E319" s="176"/>
      <c r="F319" s="167"/>
      <c r="G319" s="37">
        <f>SUM(G290:G318)</f>
        <v>660059</v>
      </c>
      <c r="H319" s="37">
        <f>SUM(H290:H318)</f>
        <v>0</v>
      </c>
      <c r="I319" s="37">
        <f>SUM(I290:I318)</f>
        <v>660059</v>
      </c>
      <c r="J319" s="5"/>
      <c r="K319" s="31"/>
      <c r="L319" s="100"/>
      <c r="M319" s="37">
        <f>SUM(M290:M318)</f>
        <v>3300.2950000000005</v>
      </c>
      <c r="N319" s="5"/>
      <c r="O319" s="31"/>
      <c r="P319" s="100"/>
      <c r="Q319" s="37">
        <f>SUM(Q290:Q318)</f>
        <v>6996.6254000000017</v>
      </c>
    </row>
    <row r="320" spans="1:22" s="164" customFormat="1">
      <c r="A320" s="349" t="s">
        <v>83</v>
      </c>
      <c r="B320" s="160"/>
      <c r="C320" s="16"/>
      <c r="D320" s="167"/>
      <c r="E320" s="14"/>
      <c r="F320" s="102"/>
      <c r="G320" s="21"/>
      <c r="H320" s="21"/>
      <c r="I320" s="21"/>
      <c r="J320" s="5"/>
      <c r="K320" s="125"/>
      <c r="L320" s="100"/>
      <c r="M320" s="21"/>
      <c r="N320" s="5"/>
      <c r="O320" s="125"/>
      <c r="P320" s="100"/>
      <c r="Q320" s="21"/>
    </row>
    <row r="321" spans="1:22" s="164" customFormat="1">
      <c r="A321" s="349" t="s">
        <v>152</v>
      </c>
      <c r="B321" s="160"/>
      <c r="C321" s="48">
        <v>5219064.5578195509</v>
      </c>
      <c r="D321" s="167"/>
      <c r="E321" s="175"/>
      <c r="F321" s="102"/>
      <c r="G321" s="37">
        <f>SUM(G319:G320)</f>
        <v>660059</v>
      </c>
      <c r="H321" s="37">
        <f>SUM(H319:H320)</f>
        <v>0</v>
      </c>
      <c r="I321" s="37">
        <f>SUM(I319:I320)</f>
        <v>660059</v>
      </c>
      <c r="J321" s="5"/>
      <c r="K321" s="125"/>
      <c r="L321" s="100"/>
      <c r="M321" s="37">
        <f>SUM(M319:M320)</f>
        <v>3300.2950000000005</v>
      </c>
      <c r="N321" s="5"/>
      <c r="O321" s="125"/>
      <c r="P321" s="100"/>
      <c r="Q321" s="37">
        <f>SUM(Q319:Q320)</f>
        <v>6996.6254000000017</v>
      </c>
    </row>
    <row r="322" spans="1:22" s="164" customFormat="1">
      <c r="A322" s="349" t="s">
        <v>308</v>
      </c>
      <c r="B322" s="160"/>
      <c r="C322" s="16">
        <v>221</v>
      </c>
      <c r="D322" s="167"/>
      <c r="E322" s="167"/>
      <c r="F322" s="167"/>
      <c r="G322" s="21"/>
      <c r="H322" s="21"/>
      <c r="I322" s="21"/>
      <c r="J322" s="5"/>
      <c r="K322" s="31"/>
      <c r="L322" s="100"/>
      <c r="M322" s="21"/>
      <c r="N322" s="5"/>
      <c r="O322" s="31"/>
      <c r="P322" s="100"/>
      <c r="Q322" s="21"/>
    </row>
    <row r="323" spans="1:22" s="164" customFormat="1">
      <c r="A323" s="357" t="s">
        <v>185</v>
      </c>
      <c r="B323" s="160"/>
      <c r="C323" s="4"/>
      <c r="D323" s="167"/>
      <c r="E323" s="14"/>
      <c r="F323" s="100"/>
      <c r="G323" s="92"/>
      <c r="H323" s="92"/>
      <c r="I323" s="92"/>
      <c r="J323" s="5"/>
      <c r="K323" s="201"/>
      <c r="L323" s="201"/>
      <c r="M323" s="92"/>
      <c r="N323" s="5"/>
      <c r="O323" s="201"/>
      <c r="P323" s="201"/>
      <c r="Q323" s="92"/>
    </row>
    <row r="324" spans="1:22" s="164" customFormat="1">
      <c r="A324" s="349" t="s">
        <v>168</v>
      </c>
      <c r="B324" s="160"/>
      <c r="C324" s="4"/>
      <c r="D324" s="167"/>
      <c r="E324" s="14"/>
      <c r="F324" s="100"/>
      <c r="G324" s="15"/>
      <c r="H324" s="15"/>
      <c r="I324" s="15"/>
      <c r="J324" s="5"/>
      <c r="K324" s="201"/>
      <c r="L324" s="201"/>
      <c r="M324" s="15"/>
      <c r="N324" s="5"/>
      <c r="O324" s="201"/>
      <c r="P324" s="201"/>
      <c r="Q324" s="15"/>
    </row>
    <row r="325" spans="1:22" s="164" customFormat="1">
      <c r="A325" s="345" t="s">
        <v>147</v>
      </c>
      <c r="B325" s="160"/>
      <c r="C325" s="4">
        <v>36</v>
      </c>
      <c r="D325" s="167"/>
      <c r="E325" s="14">
        <v>17.73</v>
      </c>
      <c r="F325" s="100"/>
      <c r="G325" s="15">
        <f>ROUND(C325*E325,0)</f>
        <v>638</v>
      </c>
      <c r="H325" s="15">
        <v>0</v>
      </c>
      <c r="I325" s="15">
        <f t="shared" ref="I325:I326" si="104">SUM(G325:H325)</f>
        <v>638</v>
      </c>
      <c r="J325" s="5"/>
      <c r="K325" s="103">
        <v>5.0000000000000001E-3</v>
      </c>
      <c r="L325" s="100"/>
      <c r="M325" s="15">
        <f>$I325*K325</f>
        <v>3.19</v>
      </c>
      <c r="N325" s="5"/>
      <c r="O325" s="31">
        <f>$T$121</f>
        <v>1.06E-2</v>
      </c>
      <c r="P325" s="100"/>
      <c r="Q325" s="15">
        <f>$I325*O325</f>
        <v>6.7628000000000004</v>
      </c>
      <c r="U325" s="138">
        <f>I325*K325-M325</f>
        <v>0</v>
      </c>
      <c r="V325" s="139">
        <f>I325*O325-Q325</f>
        <v>0</v>
      </c>
    </row>
    <row r="326" spans="1:22" s="164" customFormat="1">
      <c r="A326" s="345" t="s">
        <v>142</v>
      </c>
      <c r="B326" s="160"/>
      <c r="C326" s="4">
        <v>12</v>
      </c>
      <c r="D326" s="167"/>
      <c r="E326" s="14">
        <v>23.4</v>
      </c>
      <c r="F326" s="100"/>
      <c r="G326" s="15">
        <f>ROUND(C326*E326,0)</f>
        <v>281</v>
      </c>
      <c r="H326" s="15">
        <v>0</v>
      </c>
      <c r="I326" s="15">
        <f t="shared" si="104"/>
        <v>281</v>
      </c>
      <c r="J326" s="5"/>
      <c r="K326" s="103">
        <v>5.0000000000000001E-3</v>
      </c>
      <c r="L326" s="100"/>
      <c r="M326" s="15">
        <f>$I326*K326</f>
        <v>1.405</v>
      </c>
      <c r="N326" s="5"/>
      <c r="O326" s="31">
        <f>$T$121</f>
        <v>1.06E-2</v>
      </c>
      <c r="P326" s="100"/>
      <c r="Q326" s="15">
        <f>$I326*O326</f>
        <v>2.9786000000000001</v>
      </c>
      <c r="U326" s="138">
        <f>I326*K326-M326</f>
        <v>0</v>
      </c>
      <c r="V326" s="139">
        <f>I326*O326-Q326</f>
        <v>0</v>
      </c>
    </row>
    <row r="327" spans="1:22" s="164" customFormat="1">
      <c r="A327" s="349" t="s">
        <v>170</v>
      </c>
      <c r="B327" s="160"/>
      <c r="C327" s="4"/>
      <c r="D327" s="167"/>
      <c r="E327" s="168"/>
      <c r="F327" s="167"/>
      <c r="G327" s="92"/>
      <c r="H327" s="92"/>
      <c r="I327" s="92"/>
      <c r="J327" s="5"/>
      <c r="K327" s="91"/>
      <c r="L327" s="5"/>
      <c r="M327" s="92"/>
      <c r="N327" s="5"/>
      <c r="O327" s="91"/>
      <c r="P327" s="5"/>
      <c r="Q327" s="92"/>
      <c r="U327" s="138"/>
      <c r="V327" s="139"/>
    </row>
    <row r="328" spans="1:22" s="164" customFormat="1">
      <c r="A328" s="345" t="s">
        <v>56</v>
      </c>
      <c r="B328" s="160"/>
      <c r="C328" s="4">
        <v>42</v>
      </c>
      <c r="D328" s="167"/>
      <c r="E328" s="14">
        <v>8.0299999999999994</v>
      </c>
      <c r="F328" s="100"/>
      <c r="G328" s="15">
        <f t="shared" ref="G328:G330" si="105">ROUND(C328*E328,0)</f>
        <v>337</v>
      </c>
      <c r="H328" s="15">
        <v>0</v>
      </c>
      <c r="I328" s="15">
        <f t="shared" ref="I328:I330" si="106">SUM(G328:H328)</f>
        <v>337</v>
      </c>
      <c r="J328" s="5"/>
      <c r="K328" s="103">
        <v>5.0000000000000001E-3</v>
      </c>
      <c r="L328" s="100"/>
      <c r="M328" s="15">
        <f>$I328*K328</f>
        <v>1.6850000000000001</v>
      </c>
      <c r="N328" s="5"/>
      <c r="O328" s="31">
        <f>$T$121</f>
        <v>1.06E-2</v>
      </c>
      <c r="P328" s="100"/>
      <c r="Q328" s="15">
        <f>$I328*O328</f>
        <v>3.5722</v>
      </c>
      <c r="U328" s="138">
        <f>I328*K328-M328</f>
        <v>0</v>
      </c>
      <c r="V328" s="139">
        <f>I328*O328-Q328</f>
        <v>0</v>
      </c>
    </row>
    <row r="329" spans="1:22" s="164" customFormat="1">
      <c r="A329" s="345" t="s">
        <v>58</v>
      </c>
      <c r="B329" s="160"/>
      <c r="C329" s="4">
        <v>0</v>
      </c>
      <c r="D329" s="167"/>
      <c r="E329" s="14">
        <v>15.3</v>
      </c>
      <c r="F329" s="100"/>
      <c r="G329" s="15">
        <f t="shared" si="105"/>
        <v>0</v>
      </c>
      <c r="H329" s="15">
        <v>0</v>
      </c>
      <c r="I329" s="15">
        <f t="shared" si="106"/>
        <v>0</v>
      </c>
      <c r="J329" s="5"/>
      <c r="K329" s="103">
        <v>5.0000000000000001E-3</v>
      </c>
      <c r="L329" s="100"/>
      <c r="M329" s="15">
        <f>$I329*K329</f>
        <v>0</v>
      </c>
      <c r="N329" s="5"/>
      <c r="O329" s="31">
        <f>$T$121</f>
        <v>1.06E-2</v>
      </c>
      <c r="P329" s="100"/>
      <c r="Q329" s="15">
        <f>$I329*O329</f>
        <v>0</v>
      </c>
      <c r="U329" s="138">
        <f>I329*K329-M329</f>
        <v>0</v>
      </c>
      <c r="V329" s="139">
        <f>I329*O329-Q329</f>
        <v>0</v>
      </c>
    </row>
    <row r="330" spans="1:22" s="164" customFormat="1">
      <c r="A330" s="345" t="s">
        <v>171</v>
      </c>
      <c r="B330" s="160"/>
      <c r="C330" s="4">
        <v>96</v>
      </c>
      <c r="D330" s="167"/>
      <c r="E330" s="100">
        <v>32.479999999999997</v>
      </c>
      <c r="F330" s="100"/>
      <c r="G330" s="21">
        <f t="shared" si="105"/>
        <v>3118</v>
      </c>
      <c r="H330" s="21">
        <v>0</v>
      </c>
      <c r="I330" s="21">
        <f t="shared" si="106"/>
        <v>3118</v>
      </c>
      <c r="J330" s="5"/>
      <c r="K330" s="103">
        <v>5.0000000000000001E-3</v>
      </c>
      <c r="L330" s="100"/>
      <c r="M330" s="21">
        <f>$I330*K330</f>
        <v>15.59</v>
      </c>
      <c r="N330" s="5"/>
      <c r="O330" s="31">
        <f>$T$121</f>
        <v>1.06E-2</v>
      </c>
      <c r="P330" s="100"/>
      <c r="Q330" s="21">
        <f>$I330*O330</f>
        <v>33.050800000000002</v>
      </c>
      <c r="U330" s="138">
        <f>I330*K330-M330</f>
        <v>0</v>
      </c>
      <c r="V330" s="139">
        <f>I330*O330-Q330</f>
        <v>0</v>
      </c>
    </row>
    <row r="331" spans="1:22" s="164" customFormat="1" ht="14.25" customHeight="1">
      <c r="A331" s="349" t="s">
        <v>113</v>
      </c>
      <c r="B331" s="160"/>
      <c r="C331" s="4"/>
      <c r="D331" s="167"/>
      <c r="E331" s="105"/>
      <c r="F331" s="20"/>
      <c r="G331" s="15"/>
      <c r="H331" s="15"/>
      <c r="I331" s="15"/>
      <c r="J331" s="5"/>
      <c r="K331" s="106"/>
      <c r="L331" s="20"/>
      <c r="M331" s="15"/>
      <c r="N331" s="5"/>
      <c r="O331" s="106"/>
      <c r="P331" s="20"/>
      <c r="Q331" s="15"/>
      <c r="U331" s="138"/>
      <c r="V331" s="139"/>
    </row>
    <row r="332" spans="1:22" s="164" customFormat="1">
      <c r="A332" s="345" t="s">
        <v>156</v>
      </c>
      <c r="B332" s="160"/>
      <c r="C332" s="4">
        <v>4275</v>
      </c>
      <c r="D332" s="167"/>
      <c r="E332" s="14">
        <v>4.68</v>
      </c>
      <c r="F332" s="100"/>
      <c r="G332" s="15">
        <f t="shared" ref="G332:G337" si="107">ROUND(C332*E332,0)</f>
        <v>20007</v>
      </c>
      <c r="H332" s="15">
        <v>0</v>
      </c>
      <c r="I332" s="15">
        <f t="shared" ref="I332:I337" si="108">SUM(G332:H332)</f>
        <v>20007</v>
      </c>
      <c r="J332" s="5"/>
      <c r="K332" s="103">
        <v>5.0000000000000001E-3</v>
      </c>
      <c r="L332" s="100"/>
      <c r="M332" s="15">
        <f t="shared" ref="M332:M337" si="109">$I332*K332</f>
        <v>100.035</v>
      </c>
      <c r="N332" s="5"/>
      <c r="O332" s="31">
        <f t="shared" ref="O332:O337" si="110">$T$121</f>
        <v>1.06E-2</v>
      </c>
      <c r="P332" s="100"/>
      <c r="Q332" s="15">
        <f t="shared" ref="Q332:Q337" si="111">$I332*O332</f>
        <v>212.07419999999999</v>
      </c>
      <c r="U332" s="138">
        <f t="shared" ref="U332:U337" si="112">I332*K332-M332</f>
        <v>0</v>
      </c>
      <c r="V332" s="139">
        <f t="shared" ref="V332:V337" si="113">I332*O332-Q332</f>
        <v>0</v>
      </c>
    </row>
    <row r="333" spans="1:22" s="164" customFormat="1">
      <c r="A333" s="345" t="s">
        <v>157</v>
      </c>
      <c r="B333" s="160"/>
      <c r="C333" s="4">
        <v>14686</v>
      </c>
      <c r="D333" s="167"/>
      <c r="E333" s="14">
        <v>6.16</v>
      </c>
      <c r="F333" s="100"/>
      <c r="G333" s="15">
        <f t="shared" si="107"/>
        <v>90466</v>
      </c>
      <c r="H333" s="15">
        <v>0</v>
      </c>
      <c r="I333" s="15">
        <f t="shared" si="108"/>
        <v>90466</v>
      </c>
      <c r="J333" s="5"/>
      <c r="K333" s="103">
        <v>5.0000000000000001E-3</v>
      </c>
      <c r="L333" s="100"/>
      <c r="M333" s="15">
        <f t="shared" si="109"/>
        <v>452.33</v>
      </c>
      <c r="N333" s="5"/>
      <c r="O333" s="31">
        <f t="shared" si="110"/>
        <v>1.06E-2</v>
      </c>
      <c r="P333" s="100"/>
      <c r="Q333" s="15">
        <f t="shared" si="111"/>
        <v>958.93960000000004</v>
      </c>
      <c r="U333" s="138">
        <f t="shared" si="112"/>
        <v>0</v>
      </c>
      <c r="V333" s="139">
        <f t="shared" si="113"/>
        <v>0</v>
      </c>
    </row>
    <row r="334" spans="1:22" s="164" customFormat="1">
      <c r="A334" s="345" t="s">
        <v>158</v>
      </c>
      <c r="B334" s="160"/>
      <c r="C334" s="4">
        <v>1259</v>
      </c>
      <c r="D334" s="167"/>
      <c r="E334" s="14">
        <v>7.47</v>
      </c>
      <c r="F334" s="100"/>
      <c r="G334" s="15">
        <f t="shared" si="107"/>
        <v>9405</v>
      </c>
      <c r="H334" s="15">
        <v>0</v>
      </c>
      <c r="I334" s="15">
        <f t="shared" si="108"/>
        <v>9405</v>
      </c>
      <c r="J334" s="5"/>
      <c r="K334" s="103">
        <v>5.0000000000000001E-3</v>
      </c>
      <c r="L334" s="100"/>
      <c r="M334" s="15">
        <f t="shared" si="109"/>
        <v>47.024999999999999</v>
      </c>
      <c r="N334" s="5"/>
      <c r="O334" s="31">
        <f t="shared" si="110"/>
        <v>1.06E-2</v>
      </c>
      <c r="P334" s="100"/>
      <c r="Q334" s="15">
        <f t="shared" si="111"/>
        <v>99.692999999999998</v>
      </c>
      <c r="U334" s="138">
        <f t="shared" si="112"/>
        <v>0</v>
      </c>
      <c r="V334" s="139">
        <f t="shared" si="113"/>
        <v>0</v>
      </c>
    </row>
    <row r="335" spans="1:22" s="164" customFormat="1">
      <c r="A335" s="345" t="s">
        <v>66</v>
      </c>
      <c r="B335" s="160"/>
      <c r="C335" s="4">
        <v>0</v>
      </c>
      <c r="D335" s="167"/>
      <c r="E335" s="14">
        <v>9.44</v>
      </c>
      <c r="F335" s="100"/>
      <c r="G335" s="15">
        <f t="shared" si="107"/>
        <v>0</v>
      </c>
      <c r="H335" s="15">
        <v>0</v>
      </c>
      <c r="I335" s="15">
        <f t="shared" si="108"/>
        <v>0</v>
      </c>
      <c r="J335" s="5"/>
      <c r="K335" s="103">
        <v>5.0000000000000001E-3</v>
      </c>
      <c r="L335" s="100"/>
      <c r="M335" s="15">
        <f t="shared" si="109"/>
        <v>0</v>
      </c>
      <c r="N335" s="5"/>
      <c r="O335" s="31">
        <f t="shared" si="110"/>
        <v>1.06E-2</v>
      </c>
      <c r="P335" s="100"/>
      <c r="Q335" s="15">
        <f t="shared" si="111"/>
        <v>0</v>
      </c>
      <c r="U335" s="138">
        <f t="shared" si="112"/>
        <v>0</v>
      </c>
      <c r="V335" s="139">
        <f t="shared" si="113"/>
        <v>0</v>
      </c>
    </row>
    <row r="336" spans="1:22" s="164" customFormat="1">
      <c r="A336" s="345" t="s">
        <v>159</v>
      </c>
      <c r="B336" s="160"/>
      <c r="C336" s="4">
        <v>2408</v>
      </c>
      <c r="D336" s="167"/>
      <c r="E336" s="14">
        <v>10.99</v>
      </c>
      <c r="F336" s="100"/>
      <c r="G336" s="15">
        <f t="shared" si="107"/>
        <v>26464</v>
      </c>
      <c r="H336" s="15">
        <v>0</v>
      </c>
      <c r="I336" s="15">
        <f t="shared" si="108"/>
        <v>26464</v>
      </c>
      <c r="J336" s="5"/>
      <c r="K336" s="103">
        <v>5.0000000000000001E-3</v>
      </c>
      <c r="L336" s="100"/>
      <c r="M336" s="15">
        <f t="shared" si="109"/>
        <v>132.32</v>
      </c>
      <c r="N336" s="5"/>
      <c r="O336" s="31">
        <f t="shared" si="110"/>
        <v>1.06E-2</v>
      </c>
      <c r="P336" s="100"/>
      <c r="Q336" s="15">
        <f t="shared" si="111"/>
        <v>280.51839999999999</v>
      </c>
      <c r="U336" s="138">
        <f t="shared" si="112"/>
        <v>0</v>
      </c>
      <c r="V336" s="139">
        <f t="shared" si="113"/>
        <v>0</v>
      </c>
    </row>
    <row r="337" spans="1:22" s="164" customFormat="1">
      <c r="A337" s="345" t="s">
        <v>160</v>
      </c>
      <c r="B337" s="160"/>
      <c r="C337" s="4">
        <v>1967</v>
      </c>
      <c r="D337" s="167"/>
      <c r="E337" s="14">
        <v>16.02</v>
      </c>
      <c r="F337" s="100"/>
      <c r="G337" s="21">
        <f t="shared" si="107"/>
        <v>31511</v>
      </c>
      <c r="H337" s="21">
        <v>0</v>
      </c>
      <c r="I337" s="21">
        <f t="shared" si="108"/>
        <v>31511</v>
      </c>
      <c r="J337" s="5"/>
      <c r="K337" s="103">
        <v>5.0000000000000001E-3</v>
      </c>
      <c r="L337" s="100"/>
      <c r="M337" s="21">
        <f t="shared" si="109"/>
        <v>157.55500000000001</v>
      </c>
      <c r="N337" s="5"/>
      <c r="O337" s="31">
        <f t="shared" si="110"/>
        <v>1.06E-2</v>
      </c>
      <c r="P337" s="100"/>
      <c r="Q337" s="21">
        <f t="shared" si="111"/>
        <v>334.01659999999998</v>
      </c>
      <c r="U337" s="138">
        <f t="shared" si="112"/>
        <v>0</v>
      </c>
      <c r="V337" s="139">
        <f t="shared" si="113"/>
        <v>0</v>
      </c>
    </row>
    <row r="338" spans="1:22" s="164" customFormat="1">
      <c r="A338" s="349" t="s">
        <v>129</v>
      </c>
      <c r="B338" s="160"/>
      <c r="C338" s="4"/>
      <c r="D338" s="167"/>
      <c r="E338" s="168"/>
      <c r="F338" s="167"/>
      <c r="G338" s="92"/>
      <c r="H338" s="92"/>
      <c r="I338" s="92"/>
      <c r="J338" s="5"/>
      <c r="K338" s="91"/>
      <c r="L338" s="5"/>
      <c r="M338" s="92"/>
      <c r="N338" s="5"/>
      <c r="O338" s="91"/>
      <c r="P338" s="5"/>
      <c r="Q338" s="92"/>
      <c r="U338" s="138"/>
      <c r="V338" s="139"/>
    </row>
    <row r="339" spans="1:22" s="164" customFormat="1">
      <c r="A339" s="345" t="s">
        <v>162</v>
      </c>
      <c r="B339" s="160"/>
      <c r="C339" s="4">
        <v>1188</v>
      </c>
      <c r="D339" s="167"/>
      <c r="E339" s="14">
        <v>15.58</v>
      </c>
      <c r="F339" s="100"/>
      <c r="G339" s="15">
        <f t="shared" ref="G339:G342" si="114">ROUND(C339*E339,0)</f>
        <v>18509</v>
      </c>
      <c r="H339" s="15">
        <v>0</v>
      </c>
      <c r="I339" s="15">
        <f t="shared" ref="I339:I342" si="115">SUM(G339:H339)</f>
        <v>18509</v>
      </c>
      <c r="J339" s="5"/>
      <c r="K339" s="103">
        <v>5.0000000000000001E-3</v>
      </c>
      <c r="L339" s="100"/>
      <c r="M339" s="15">
        <f>$I339*K339</f>
        <v>92.545000000000002</v>
      </c>
      <c r="N339" s="5"/>
      <c r="O339" s="31">
        <f>$T$121</f>
        <v>1.06E-2</v>
      </c>
      <c r="P339" s="100"/>
      <c r="Q339" s="15">
        <f>$I339*O339</f>
        <v>196.19540000000001</v>
      </c>
      <c r="U339" s="138">
        <f>I339*K339-M339</f>
        <v>0</v>
      </c>
      <c r="V339" s="139">
        <f>I339*O339-Q339</f>
        <v>0</v>
      </c>
    </row>
    <row r="340" spans="1:22" s="164" customFormat="1">
      <c r="A340" s="345" t="s">
        <v>163</v>
      </c>
      <c r="B340" s="160"/>
      <c r="C340" s="4">
        <v>724</v>
      </c>
      <c r="D340" s="167"/>
      <c r="E340" s="14">
        <v>15.73</v>
      </c>
      <c r="F340" s="100"/>
      <c r="G340" s="15">
        <f t="shared" si="114"/>
        <v>11389</v>
      </c>
      <c r="H340" s="15">
        <v>0</v>
      </c>
      <c r="I340" s="15">
        <f t="shared" si="115"/>
        <v>11389</v>
      </c>
      <c r="J340" s="5"/>
      <c r="K340" s="103">
        <v>5.0000000000000001E-3</v>
      </c>
      <c r="L340" s="100"/>
      <c r="M340" s="15">
        <f>$I340*K340</f>
        <v>56.945</v>
      </c>
      <c r="N340" s="5"/>
      <c r="O340" s="31">
        <f>$T$121</f>
        <v>1.06E-2</v>
      </c>
      <c r="P340" s="100"/>
      <c r="Q340" s="15">
        <f>$I340*O340</f>
        <v>120.7234</v>
      </c>
      <c r="U340" s="138">
        <f>I340*K340-M340</f>
        <v>0</v>
      </c>
      <c r="V340" s="139">
        <f>I340*O340-Q340</f>
        <v>0</v>
      </c>
    </row>
    <row r="341" spans="1:22" s="164" customFormat="1">
      <c r="A341" s="345" t="s">
        <v>164</v>
      </c>
      <c r="B341" s="160"/>
      <c r="C341" s="4">
        <v>881</v>
      </c>
      <c r="D341" s="167"/>
      <c r="E341" s="14">
        <v>16.72</v>
      </c>
      <c r="F341" s="100"/>
      <c r="G341" s="15">
        <f t="shared" si="114"/>
        <v>14730</v>
      </c>
      <c r="H341" s="15">
        <v>0</v>
      </c>
      <c r="I341" s="15">
        <f t="shared" si="115"/>
        <v>14730</v>
      </c>
      <c r="J341" s="5"/>
      <c r="K341" s="103">
        <v>5.0000000000000001E-3</v>
      </c>
      <c r="L341" s="100"/>
      <c r="M341" s="15">
        <f>$I341*K341</f>
        <v>73.650000000000006</v>
      </c>
      <c r="N341" s="5"/>
      <c r="O341" s="31">
        <f>$T$121</f>
        <v>1.06E-2</v>
      </c>
      <c r="P341" s="100"/>
      <c r="Q341" s="15">
        <f>$I341*O341</f>
        <v>156.13800000000001</v>
      </c>
      <c r="U341" s="138">
        <f>I341*K341-M341</f>
        <v>0</v>
      </c>
      <c r="V341" s="139">
        <f>I341*O341-Q341</f>
        <v>0</v>
      </c>
    </row>
    <row r="342" spans="1:22" s="164" customFormat="1">
      <c r="A342" s="345" t="s">
        <v>186</v>
      </c>
      <c r="B342" s="160"/>
      <c r="C342" s="48">
        <v>96</v>
      </c>
      <c r="D342" s="167"/>
      <c r="E342" s="368">
        <v>33.049999999999997</v>
      </c>
      <c r="F342" s="100"/>
      <c r="G342" s="24">
        <f t="shared" si="114"/>
        <v>3173</v>
      </c>
      <c r="H342" s="24">
        <v>0</v>
      </c>
      <c r="I342" s="24">
        <f t="shared" si="115"/>
        <v>3173</v>
      </c>
      <c r="J342" s="5"/>
      <c r="K342" s="103">
        <v>5.0000000000000001E-3</v>
      </c>
      <c r="L342" s="100"/>
      <c r="M342" s="24">
        <f>$I342*K342</f>
        <v>15.865</v>
      </c>
      <c r="N342" s="5"/>
      <c r="O342" s="31">
        <f>$T$121</f>
        <v>1.06E-2</v>
      </c>
      <c r="P342" s="100"/>
      <c r="Q342" s="24">
        <f>$I342*O342</f>
        <v>33.633800000000001</v>
      </c>
      <c r="U342" s="138">
        <f>I342*K342-M342</f>
        <v>0</v>
      </c>
      <c r="V342" s="139">
        <f>I342*O342-Q342</f>
        <v>0</v>
      </c>
    </row>
    <row r="343" spans="1:22" s="164" customFormat="1">
      <c r="A343" s="349" t="s">
        <v>166</v>
      </c>
      <c r="B343" s="160"/>
      <c r="C343" s="16">
        <v>1644139.7735008644</v>
      </c>
      <c r="D343" s="167"/>
      <c r="E343" s="167"/>
      <c r="F343" s="167"/>
      <c r="G343" s="21">
        <f>SUM(G325:G342)</f>
        <v>230028</v>
      </c>
      <c r="H343" s="21">
        <f>SUM(H325:H342)</f>
        <v>0</v>
      </c>
      <c r="I343" s="21">
        <f>SUM(I325:I342)</f>
        <v>230028</v>
      </c>
      <c r="J343" s="5"/>
      <c r="K343" s="125"/>
      <c r="L343" s="100"/>
      <c r="M343" s="21">
        <f>SUM(M325:M342)</f>
        <v>1150.1400000000001</v>
      </c>
      <c r="N343" s="5"/>
      <c r="O343" s="125"/>
      <c r="P343" s="100"/>
      <c r="Q343" s="21">
        <f>SUM(Q325:Q342)</f>
        <v>2438.2967999999996</v>
      </c>
    </row>
    <row r="344" spans="1:22" s="164" customFormat="1">
      <c r="A344" s="349" t="s">
        <v>83</v>
      </c>
      <c r="B344" s="160"/>
      <c r="C344" s="16"/>
      <c r="D344" s="167"/>
      <c r="E344" s="100"/>
      <c r="F344" s="102"/>
      <c r="G344" s="21"/>
      <c r="H344" s="21"/>
      <c r="I344" s="21"/>
      <c r="J344" s="5"/>
      <c r="K344" s="125"/>
      <c r="L344" s="100"/>
      <c r="M344" s="21"/>
      <c r="N344" s="5"/>
      <c r="O344" s="125"/>
      <c r="P344" s="100"/>
      <c r="Q344" s="21"/>
    </row>
    <row r="345" spans="1:22" s="164" customFormat="1">
      <c r="A345" s="349" t="s">
        <v>152</v>
      </c>
      <c r="B345" s="160"/>
      <c r="C345" s="48">
        <v>1644139.7735008644</v>
      </c>
      <c r="D345" s="167"/>
      <c r="E345" s="368"/>
      <c r="F345" s="102"/>
      <c r="G345" s="37">
        <f>SUM(G343:G344)</f>
        <v>230028</v>
      </c>
      <c r="H345" s="37">
        <f>SUM(H343:H344)</f>
        <v>0</v>
      </c>
      <c r="I345" s="37">
        <f>SUM(I343:I344)</f>
        <v>230028</v>
      </c>
      <c r="J345" s="5"/>
      <c r="K345" s="125"/>
      <c r="L345" s="100"/>
      <c r="M345" s="37">
        <f>SUM(M343:M344)</f>
        <v>1150.1400000000001</v>
      </c>
      <c r="N345" s="5"/>
      <c r="O345" s="125"/>
      <c r="P345" s="100"/>
      <c r="Q345" s="37">
        <f>SUM(Q343:Q344)</f>
        <v>2438.2967999999996</v>
      </c>
    </row>
    <row r="346" spans="1:22" s="164" customFormat="1">
      <c r="A346" s="349" t="s">
        <v>308</v>
      </c>
      <c r="B346" s="160"/>
      <c r="C346" s="16">
        <v>99</v>
      </c>
      <c r="D346" s="167"/>
      <c r="E346" s="167"/>
      <c r="F346" s="167"/>
      <c r="G346" s="21"/>
      <c r="H346" s="21"/>
      <c r="I346" s="21"/>
      <c r="J346" s="5"/>
      <c r="K346" s="202"/>
      <c r="L346" s="201"/>
      <c r="M346" s="21"/>
      <c r="N346" s="5"/>
      <c r="O346" s="202"/>
      <c r="P346" s="201"/>
      <c r="Q346" s="21"/>
    </row>
    <row r="347" spans="1:22" s="164" customFormat="1">
      <c r="A347" s="345"/>
      <c r="B347" s="160"/>
      <c r="C347" s="48"/>
      <c r="D347" s="167"/>
      <c r="E347" s="100"/>
      <c r="F347" s="100"/>
      <c r="G347" s="24"/>
      <c r="H347" s="24"/>
      <c r="I347" s="24"/>
      <c r="J347" s="5"/>
      <c r="K347" s="111"/>
      <c r="L347" s="100"/>
      <c r="M347" s="24"/>
      <c r="N347" s="5"/>
      <c r="O347" s="111"/>
      <c r="P347" s="100"/>
      <c r="Q347" s="24"/>
    </row>
    <row r="348" spans="1:22" s="164" customFormat="1">
      <c r="A348" s="345" t="s">
        <v>187</v>
      </c>
      <c r="B348" s="160"/>
      <c r="C348" s="45">
        <v>56516774.129293256</v>
      </c>
      <c r="D348" s="167"/>
      <c r="E348" s="176"/>
      <c r="F348" s="167"/>
      <c r="G348" s="24">
        <f>G284+G319+G343</f>
        <v>4144867</v>
      </c>
      <c r="H348" s="24">
        <f>H284+H319+H343</f>
        <v>0</v>
      </c>
      <c r="I348" s="24">
        <f>I284+I319+I343</f>
        <v>4144867</v>
      </c>
      <c r="J348" s="5"/>
      <c r="K348" s="126"/>
      <c r="L348" s="5"/>
      <c r="M348" s="24">
        <f>M284+M319+M343</f>
        <v>20724.334999999999</v>
      </c>
      <c r="N348" s="5"/>
      <c r="O348" s="126"/>
      <c r="P348" s="5"/>
      <c r="Q348" s="24">
        <f>Q284+Q319+Q343</f>
        <v>43935.590199999999</v>
      </c>
    </row>
    <row r="349" spans="1:22" s="164" customFormat="1">
      <c r="A349" s="345" t="s">
        <v>84</v>
      </c>
      <c r="B349" s="160"/>
      <c r="C349" s="13">
        <v>839</v>
      </c>
      <c r="D349" s="167"/>
      <c r="E349" s="168"/>
      <c r="F349" s="167"/>
      <c r="G349" s="92"/>
      <c r="H349" s="92"/>
      <c r="I349" s="92"/>
      <c r="J349" s="5"/>
      <c r="K349" s="126"/>
      <c r="L349" s="5"/>
      <c r="M349" s="92"/>
      <c r="N349" s="5"/>
      <c r="O349" s="126"/>
      <c r="P349" s="5"/>
      <c r="Q349" s="92"/>
    </row>
    <row r="350" spans="1:22" s="164" customFormat="1">
      <c r="A350" s="345" t="s">
        <v>83</v>
      </c>
      <c r="B350" s="160"/>
      <c r="C350" s="45"/>
      <c r="D350" s="167"/>
      <c r="E350" s="176"/>
      <c r="F350" s="167"/>
      <c r="G350" s="24">
        <v>0</v>
      </c>
      <c r="H350" s="24"/>
      <c r="I350" s="24">
        <f>SUM(G350:H350)</f>
        <v>0</v>
      </c>
      <c r="J350" s="5"/>
      <c r="K350" s="126"/>
      <c r="L350" s="5"/>
      <c r="M350" s="24"/>
      <c r="N350" s="5"/>
      <c r="O350" s="126"/>
      <c r="P350" s="5"/>
      <c r="Q350" s="24"/>
    </row>
    <row r="351" spans="1:22" s="164" customFormat="1" ht="16" thickBot="1">
      <c r="A351" s="345" t="s">
        <v>152</v>
      </c>
      <c r="B351" s="160"/>
      <c r="C351" s="43">
        <v>56516774.129293256</v>
      </c>
      <c r="D351" s="167"/>
      <c r="E351" s="46"/>
      <c r="F351" s="122"/>
      <c r="G351" s="437">
        <f>G350+G348</f>
        <v>4144867</v>
      </c>
      <c r="H351" s="437">
        <f>H350+H348</f>
        <v>0</v>
      </c>
      <c r="I351" s="437">
        <f>I350+I348</f>
        <v>4144867</v>
      </c>
      <c r="J351" s="5"/>
      <c r="K351" s="123"/>
      <c r="L351" s="122"/>
      <c r="M351" s="437">
        <f>M350+M348</f>
        <v>20724.334999999999</v>
      </c>
      <c r="N351" s="5"/>
      <c r="O351" s="123"/>
      <c r="P351" s="122"/>
      <c r="Q351" s="437">
        <f>Q350+Q348</f>
        <v>43935.590199999999</v>
      </c>
    </row>
    <row r="352" spans="1:22" s="164" customFormat="1" ht="16" thickTop="1">
      <c r="A352" s="198"/>
      <c r="B352" s="168"/>
      <c r="C352" s="47"/>
      <c r="D352" s="167"/>
      <c r="E352" s="167"/>
      <c r="F352" s="167"/>
      <c r="G352" s="21"/>
      <c r="H352" s="21"/>
      <c r="I352" s="21"/>
      <c r="J352" s="5"/>
      <c r="K352" s="108"/>
      <c r="L352" s="109"/>
      <c r="M352" s="21"/>
      <c r="N352" s="5"/>
      <c r="O352" s="108"/>
      <c r="P352" s="109"/>
      <c r="Q352" s="21"/>
    </row>
    <row r="353" spans="1:22" s="164" customFormat="1">
      <c r="A353" s="357" t="s">
        <v>429</v>
      </c>
      <c r="B353" s="160"/>
      <c r="C353" s="4"/>
      <c r="D353" s="167"/>
      <c r="E353" s="168"/>
      <c r="F353" s="167"/>
      <c r="G353" s="92"/>
      <c r="H353" s="92"/>
      <c r="I353" s="92"/>
      <c r="J353" s="5"/>
      <c r="K353" s="126"/>
      <c r="L353" s="5"/>
      <c r="M353" s="92"/>
      <c r="N353" s="5"/>
      <c r="O353" s="126"/>
      <c r="P353" s="5"/>
      <c r="Q353" s="92"/>
    </row>
    <row r="354" spans="1:22" s="164" customFormat="1">
      <c r="A354" s="345" t="s">
        <v>188</v>
      </c>
      <c r="B354" s="160"/>
      <c r="C354" s="4">
        <v>20286</v>
      </c>
      <c r="D354" s="167"/>
      <c r="E354" s="14">
        <v>11</v>
      </c>
      <c r="F354" s="100"/>
      <c r="G354" s="15">
        <f>ROUND(C354*E354,0)</f>
        <v>223146</v>
      </c>
      <c r="H354" s="15"/>
      <c r="I354" s="15">
        <f t="shared" ref="I354:I359" si="116">SUM(G354:H354)</f>
        <v>223146</v>
      </c>
      <c r="J354" s="5"/>
      <c r="K354" s="91"/>
      <c r="L354" s="5"/>
      <c r="M354" s="15"/>
      <c r="N354" s="5"/>
      <c r="O354" s="91"/>
      <c r="P354" s="5"/>
      <c r="Q354" s="15"/>
      <c r="S354" s="70" t="s">
        <v>14</v>
      </c>
      <c r="T354" s="17">
        <f>Q360</f>
        <v>26613.498000000003</v>
      </c>
      <c r="U354" s="138"/>
      <c r="V354" s="139"/>
    </row>
    <row r="355" spans="1:22" s="164" customFormat="1">
      <c r="A355" s="345" t="s">
        <v>189</v>
      </c>
      <c r="B355" s="160"/>
      <c r="C355" s="4">
        <v>497</v>
      </c>
      <c r="D355" s="167"/>
      <c r="E355" s="14">
        <v>72.5</v>
      </c>
      <c r="F355" s="100"/>
      <c r="G355" s="15">
        <f>ROUND(C355*E355,0)</f>
        <v>36033</v>
      </c>
      <c r="H355" s="15"/>
      <c r="I355" s="15">
        <f t="shared" si="116"/>
        <v>36033</v>
      </c>
      <c r="J355" s="5"/>
      <c r="K355" s="31"/>
      <c r="L355" s="100"/>
      <c r="M355" s="15"/>
      <c r="N355" s="5"/>
      <c r="O355" s="31"/>
      <c r="P355" s="100"/>
      <c r="Q355" s="15"/>
      <c r="S355" s="71" t="s">
        <v>16</v>
      </c>
      <c r="T355" s="18">
        <f>'Exhibit-RMP(RMM-1) page 2'!K43*1000</f>
        <v>26637.791037253799</v>
      </c>
      <c r="U355" s="138"/>
      <c r="V355" s="139"/>
    </row>
    <row r="356" spans="1:22" s="164" customFormat="1">
      <c r="A356" s="345" t="s">
        <v>190</v>
      </c>
      <c r="B356" s="160"/>
      <c r="C356" s="358">
        <v>0</v>
      </c>
      <c r="D356" s="167"/>
      <c r="E356" s="14">
        <v>127.5</v>
      </c>
      <c r="F356" s="100"/>
      <c r="G356" s="15">
        <f>ROUND(C356*E356,0)</f>
        <v>0</v>
      </c>
      <c r="H356" s="15"/>
      <c r="I356" s="15">
        <f t="shared" si="116"/>
        <v>0</v>
      </c>
      <c r="J356" s="5"/>
      <c r="K356" s="31"/>
      <c r="L356" s="100"/>
      <c r="M356" s="15"/>
      <c r="N356" s="5"/>
      <c r="O356" s="31"/>
      <c r="P356" s="100"/>
      <c r="Q356" s="15"/>
      <c r="S356" s="72" t="s">
        <v>18</v>
      </c>
      <c r="T356" s="19">
        <f>T355-T354</f>
        <v>24.293037253795774</v>
      </c>
      <c r="U356" s="138"/>
      <c r="V356" s="139"/>
    </row>
    <row r="357" spans="1:22" s="164" customFormat="1">
      <c r="A357" s="345" t="s">
        <v>191</v>
      </c>
      <c r="B357" s="160"/>
      <c r="C357" s="4">
        <v>6182</v>
      </c>
      <c r="D357" s="167"/>
      <c r="E357" s="14">
        <v>6.2</v>
      </c>
      <c r="F357" s="100"/>
      <c r="G357" s="15">
        <f>ROUND(C357*E357,0)</f>
        <v>38328</v>
      </c>
      <c r="H357" s="15"/>
      <c r="I357" s="15">
        <f t="shared" si="116"/>
        <v>38328</v>
      </c>
      <c r="J357" s="5"/>
      <c r="K357" s="31"/>
      <c r="L357" s="100"/>
      <c r="M357" s="15"/>
      <c r="N357" s="5"/>
      <c r="O357" s="31"/>
      <c r="P357" s="100"/>
      <c r="Q357" s="15"/>
      <c r="S357" s="75" t="s">
        <v>21</v>
      </c>
      <c r="T357" s="76">
        <f>ROUND(T355/SUM(I358),$T$12)</f>
        <v>2.8400000000000002E-2</v>
      </c>
      <c r="U357" s="138"/>
      <c r="V357" s="139"/>
    </row>
    <row r="358" spans="1:22" s="164" customFormat="1">
      <c r="A358" s="345" t="s">
        <v>192</v>
      </c>
      <c r="B358" s="160"/>
      <c r="C358" s="4">
        <v>17536444.611929484</v>
      </c>
      <c r="D358" s="167"/>
      <c r="E358" s="118">
        <v>5.3437000000000001</v>
      </c>
      <c r="F358" s="102" t="s">
        <v>11</v>
      </c>
      <c r="G358" s="15">
        <f>ROUND(C358*E358/100,0)</f>
        <v>937095</v>
      </c>
      <c r="H358" s="15">
        <v>0</v>
      </c>
      <c r="I358" s="15">
        <f t="shared" si="116"/>
        <v>937095</v>
      </c>
      <c r="J358" s="5"/>
      <c r="K358" s="103">
        <v>1.34E-2</v>
      </c>
      <c r="L358" s="102"/>
      <c r="M358" s="15">
        <f>$I358*K358</f>
        <v>12557.073</v>
      </c>
      <c r="N358" s="5"/>
      <c r="O358" s="31">
        <f>T357</f>
        <v>2.8400000000000002E-2</v>
      </c>
      <c r="P358" s="102"/>
      <c r="Q358" s="15">
        <f>$I358*O358</f>
        <v>26613.498000000003</v>
      </c>
      <c r="U358" s="138">
        <f>I358*K358-M358</f>
        <v>0</v>
      </c>
      <c r="V358" s="139">
        <f>I358*O358-Q358</f>
        <v>0</v>
      </c>
    </row>
    <row r="359" spans="1:22" s="164" customFormat="1">
      <c r="A359" s="345" t="s">
        <v>193</v>
      </c>
      <c r="B359" s="160"/>
      <c r="C359" s="23">
        <v>0</v>
      </c>
      <c r="D359" s="167"/>
      <c r="E359" s="168"/>
      <c r="F359" s="167"/>
      <c r="G359" s="24">
        <v>0</v>
      </c>
      <c r="H359" s="24"/>
      <c r="I359" s="24">
        <f t="shared" si="116"/>
        <v>0</v>
      </c>
      <c r="J359" s="5"/>
      <c r="K359" s="91"/>
      <c r="L359" s="5"/>
      <c r="M359" s="24"/>
      <c r="N359" s="5"/>
      <c r="O359" s="91"/>
      <c r="P359" s="5"/>
      <c r="Q359" s="24"/>
      <c r="S359" s="41"/>
      <c r="T359" s="42"/>
      <c r="U359" s="138"/>
      <c r="V359" s="139"/>
    </row>
    <row r="360" spans="1:22" s="164" customFormat="1" ht="16" thickBot="1">
      <c r="A360" s="160" t="s">
        <v>152</v>
      </c>
      <c r="B360" s="160"/>
      <c r="C360" s="29">
        <v>17536444.611929484</v>
      </c>
      <c r="D360" s="167"/>
      <c r="E360" s="174"/>
      <c r="F360" s="167"/>
      <c r="G360" s="28">
        <f>SUM(G354:G359)</f>
        <v>1234602</v>
      </c>
      <c r="H360" s="28">
        <f>SUM(H354:H359)</f>
        <v>0</v>
      </c>
      <c r="I360" s="28">
        <f>SUM(I354:I359)</f>
        <v>1234602</v>
      </c>
      <c r="J360" s="5"/>
      <c r="K360" s="113"/>
      <c r="L360" s="5"/>
      <c r="M360" s="28">
        <f>SUM(M354:M359)</f>
        <v>12557.073</v>
      </c>
      <c r="N360" s="5"/>
      <c r="O360" s="113"/>
      <c r="P360" s="5"/>
      <c r="Q360" s="28">
        <f>SUM(Q354:Q359)</f>
        <v>26613.498000000003</v>
      </c>
      <c r="S360" s="41"/>
      <c r="T360" s="42"/>
      <c r="U360" s="138"/>
      <c r="V360" s="139"/>
    </row>
    <row r="361" spans="1:22" s="164" customFormat="1" ht="16" thickTop="1">
      <c r="A361" s="345"/>
      <c r="B361" s="160"/>
      <c r="C361" s="47"/>
      <c r="D361" s="167"/>
      <c r="E361" s="167"/>
      <c r="F361" s="167"/>
      <c r="G361" s="92"/>
      <c r="H361" s="92"/>
      <c r="I361" s="92"/>
      <c r="J361" s="5"/>
      <c r="K361" s="108"/>
      <c r="L361" s="109"/>
      <c r="M361" s="92"/>
      <c r="N361" s="5"/>
      <c r="O361" s="108"/>
      <c r="P361" s="109"/>
      <c r="Q361" s="92"/>
      <c r="S361" s="41"/>
      <c r="T361" s="42"/>
      <c r="U361" s="138"/>
      <c r="V361" s="139"/>
    </row>
    <row r="362" spans="1:22" s="164" customFormat="1">
      <c r="A362" s="357" t="s">
        <v>430</v>
      </c>
      <c r="B362" s="160"/>
      <c r="C362" s="4"/>
      <c r="D362" s="167"/>
      <c r="E362" s="167"/>
      <c r="F362" s="167"/>
      <c r="G362" s="21"/>
      <c r="H362" s="21"/>
      <c r="I362" s="21"/>
      <c r="J362" s="5"/>
      <c r="K362" s="91"/>
      <c r="L362" s="5"/>
      <c r="M362" s="21"/>
      <c r="N362" s="5"/>
      <c r="O362" s="91"/>
      <c r="P362" s="5"/>
      <c r="Q362" s="21"/>
      <c r="S362" s="70" t="s">
        <v>14</v>
      </c>
      <c r="T362" s="17">
        <f>Q366</f>
        <v>9969.5999999999985</v>
      </c>
      <c r="U362" s="138"/>
      <c r="V362" s="139"/>
    </row>
    <row r="363" spans="1:22" s="164" customFormat="1">
      <c r="A363" s="345" t="s">
        <v>194</v>
      </c>
      <c r="B363" s="160"/>
      <c r="C363" s="4">
        <v>29596</v>
      </c>
      <c r="D363" s="167"/>
      <c r="E363" s="14">
        <v>5.5</v>
      </c>
      <c r="F363" s="100"/>
      <c r="G363" s="15">
        <f>ROUND(C363*E363,0)</f>
        <v>162778</v>
      </c>
      <c r="H363" s="15"/>
      <c r="I363" s="15">
        <f t="shared" ref="I363:I365" si="117">SUM(G363:H363)</f>
        <v>162778</v>
      </c>
      <c r="J363" s="5"/>
      <c r="K363" s="126"/>
      <c r="L363" s="5"/>
      <c r="M363" s="15"/>
      <c r="N363" s="5"/>
      <c r="O363" s="126"/>
      <c r="P363" s="5"/>
      <c r="Q363" s="15"/>
      <c r="S363" s="71" t="s">
        <v>16</v>
      </c>
      <c r="T363" s="18">
        <f>'Exhibit-RMP(RMM-1) page 2'!K44*1000</f>
        <v>9962.1630368287533</v>
      </c>
      <c r="U363" s="138"/>
      <c r="V363" s="139"/>
    </row>
    <row r="364" spans="1:22" s="164" customFormat="1">
      <c r="A364" s="345" t="s">
        <v>192</v>
      </c>
      <c r="B364" s="160"/>
      <c r="C364" s="4">
        <v>6177947.158763391</v>
      </c>
      <c r="D364" s="167"/>
      <c r="E364" s="355">
        <v>8.4048999999999996</v>
      </c>
      <c r="F364" s="102" t="s">
        <v>11</v>
      </c>
      <c r="G364" s="15">
        <f>ROUND(C364*E364/100,0)</f>
        <v>519250</v>
      </c>
      <c r="H364" s="15">
        <v>0</v>
      </c>
      <c r="I364" s="15">
        <f t="shared" si="117"/>
        <v>519250</v>
      </c>
      <c r="J364" s="5"/>
      <c r="K364" s="103">
        <v>8.9999999999999993E-3</v>
      </c>
      <c r="L364" s="102"/>
      <c r="M364" s="15">
        <f>$I364*K364</f>
        <v>4673.25</v>
      </c>
      <c r="N364" s="5"/>
      <c r="O364" s="31">
        <f>T365</f>
        <v>1.9199999999999998E-2</v>
      </c>
      <c r="P364" s="102"/>
      <c r="Q364" s="15">
        <f>$I364*O364</f>
        <v>9969.5999999999985</v>
      </c>
      <c r="S364" s="72" t="s">
        <v>18</v>
      </c>
      <c r="T364" s="19">
        <f>T363-T362</f>
        <v>-7.4369631712452247</v>
      </c>
      <c r="U364" s="138">
        <f>I364*K364-M364</f>
        <v>0</v>
      </c>
      <c r="V364" s="139">
        <f>I364*O364-Q364</f>
        <v>0</v>
      </c>
    </row>
    <row r="365" spans="1:22" s="164" customFormat="1">
      <c r="A365" s="345" t="s">
        <v>193</v>
      </c>
      <c r="B365" s="160"/>
      <c r="C365" s="48">
        <v>0</v>
      </c>
      <c r="D365" s="167"/>
      <c r="E365" s="168"/>
      <c r="F365" s="167"/>
      <c r="G365" s="24">
        <v>0</v>
      </c>
      <c r="H365" s="24"/>
      <c r="I365" s="24">
        <f t="shared" si="117"/>
        <v>0</v>
      </c>
      <c r="J365" s="5"/>
      <c r="K365" s="91"/>
      <c r="L365" s="5"/>
      <c r="M365" s="24"/>
      <c r="N365" s="5"/>
      <c r="O365" s="91"/>
      <c r="P365" s="5"/>
      <c r="Q365" s="24"/>
      <c r="S365" s="75" t="s">
        <v>21</v>
      </c>
      <c r="T365" s="76">
        <f>ROUND(T363/SUM(I364),$T$12)</f>
        <v>1.9199999999999998E-2</v>
      </c>
      <c r="U365" s="138"/>
      <c r="V365" s="139"/>
    </row>
    <row r="366" spans="1:22" s="164" customFormat="1" ht="16" thickBot="1">
      <c r="A366" s="160" t="s">
        <v>152</v>
      </c>
      <c r="B366" s="160"/>
      <c r="C366" s="29">
        <v>6177947.158763391</v>
      </c>
      <c r="D366" s="167"/>
      <c r="E366" s="174"/>
      <c r="F366" s="167"/>
      <c r="G366" s="28">
        <f>SUM(G363:G365)</f>
        <v>682028</v>
      </c>
      <c r="H366" s="28">
        <f>SUM(H363:H365)</f>
        <v>0</v>
      </c>
      <c r="I366" s="28">
        <f>SUM(I363:I365)</f>
        <v>682028</v>
      </c>
      <c r="J366" s="5"/>
      <c r="K366" s="113"/>
      <c r="L366" s="5"/>
      <c r="M366" s="28">
        <f>SUM(M363:M365)</f>
        <v>4673.25</v>
      </c>
      <c r="N366" s="5"/>
      <c r="O366" s="113"/>
      <c r="P366" s="5"/>
      <c r="Q366" s="28">
        <f>SUM(Q363:Q365)</f>
        <v>9969.5999999999985</v>
      </c>
      <c r="U366" s="138"/>
      <c r="V366" s="139"/>
    </row>
    <row r="367" spans="1:22" s="164" customFormat="1" ht="16" thickTop="1">
      <c r="A367" s="160"/>
      <c r="B367" s="160"/>
      <c r="C367" s="4"/>
      <c r="D367" s="167"/>
      <c r="E367" s="168"/>
      <c r="F367" s="167"/>
      <c r="G367" s="21"/>
      <c r="H367" s="21"/>
      <c r="I367" s="21"/>
      <c r="J367" s="5"/>
      <c r="K367" s="201"/>
      <c r="L367" s="201"/>
      <c r="M367" s="21"/>
      <c r="N367" s="5"/>
      <c r="O367" s="201"/>
      <c r="P367" s="201"/>
      <c r="Q367" s="21"/>
    </row>
    <row r="368" spans="1:22" s="164" customFormat="1">
      <c r="A368" s="344" t="s">
        <v>195</v>
      </c>
      <c r="B368" s="340"/>
      <c r="C368" s="4"/>
      <c r="D368" s="167"/>
      <c r="E368" s="168"/>
      <c r="F368" s="167"/>
      <c r="G368" s="92"/>
      <c r="H368" s="92"/>
      <c r="I368" s="92"/>
      <c r="J368" s="5"/>
      <c r="K368" s="201"/>
      <c r="L368" s="201"/>
      <c r="M368" s="92"/>
      <c r="N368" s="5"/>
      <c r="O368" s="201"/>
      <c r="P368" s="201"/>
      <c r="Q368" s="92"/>
    </row>
    <row r="369" spans="1:22" s="164" customFormat="1">
      <c r="A369" s="359" t="s">
        <v>196</v>
      </c>
      <c r="B369" s="340"/>
      <c r="C369" s="4"/>
      <c r="D369" s="167"/>
      <c r="E369" s="168"/>
      <c r="F369" s="167"/>
      <c r="G369" s="92"/>
      <c r="H369" s="92"/>
      <c r="I369" s="92"/>
      <c r="J369" s="5"/>
      <c r="K369" s="108"/>
      <c r="L369" s="109"/>
      <c r="M369" s="92"/>
      <c r="N369" s="5"/>
      <c r="O369" s="108"/>
      <c r="P369" s="109"/>
      <c r="Q369" s="92"/>
      <c r="S369" s="41"/>
      <c r="T369" s="41"/>
      <c r="U369" s="138"/>
      <c r="V369" s="139"/>
    </row>
    <row r="370" spans="1:22" s="164" customFormat="1">
      <c r="A370" s="345" t="s">
        <v>7</v>
      </c>
      <c r="B370" s="340"/>
      <c r="C370" s="16">
        <v>36</v>
      </c>
      <c r="D370" s="167"/>
      <c r="E370" s="14">
        <v>127</v>
      </c>
      <c r="F370" s="100"/>
      <c r="G370" s="15">
        <f>ROUND(E370*$C370,0)</f>
        <v>4572</v>
      </c>
      <c r="H370" s="15"/>
      <c r="I370" s="15">
        <f t="shared" ref="I370:I374" si="118">SUM(G370:H370)</f>
        <v>4572</v>
      </c>
      <c r="J370" s="5"/>
      <c r="K370" s="108"/>
      <c r="L370" s="109"/>
      <c r="M370" s="15"/>
      <c r="N370" s="5"/>
      <c r="O370" s="108"/>
      <c r="P370" s="109"/>
      <c r="Q370" s="15"/>
      <c r="S370" s="41"/>
      <c r="T370" s="2"/>
      <c r="U370" s="138"/>
      <c r="V370" s="139"/>
    </row>
    <row r="371" spans="1:22">
      <c r="A371" s="345" t="s">
        <v>197</v>
      </c>
      <c r="B371" s="340"/>
      <c r="C371" s="16">
        <v>10893</v>
      </c>
      <c r="E371" s="14">
        <v>4.3</v>
      </c>
      <c r="F371" s="100"/>
      <c r="G371" s="15">
        <f>ROUND(E371*$C371,0)</f>
        <v>46840</v>
      </c>
      <c r="H371" s="15"/>
      <c r="I371" s="15">
        <f t="shared" si="118"/>
        <v>46840</v>
      </c>
      <c r="M371" s="15"/>
      <c r="Q371" s="15"/>
      <c r="S371" s="44"/>
      <c r="T371" s="2"/>
      <c r="U371" s="138"/>
      <c r="V371" s="139"/>
    </row>
    <row r="372" spans="1:22">
      <c r="A372" s="345" t="s">
        <v>198</v>
      </c>
      <c r="B372" s="340"/>
      <c r="C372" s="16">
        <v>423833</v>
      </c>
      <c r="E372" s="127">
        <v>6.8446999999999996</v>
      </c>
      <c r="F372" s="102" t="s">
        <v>11</v>
      </c>
      <c r="G372" s="15">
        <f>ROUND(E372*$C372/100,0)</f>
        <v>29010</v>
      </c>
      <c r="H372" s="15">
        <v>0</v>
      </c>
      <c r="I372" s="15">
        <f t="shared" si="118"/>
        <v>29010</v>
      </c>
      <c r="K372" s="103">
        <v>2.8000000000000001E-2</v>
      </c>
      <c r="L372" s="102"/>
      <c r="M372" s="15">
        <f>$I372*K372</f>
        <v>812.28</v>
      </c>
      <c r="O372" s="128">
        <f>$T$375</f>
        <v>5.96E-2</v>
      </c>
      <c r="P372" s="102"/>
      <c r="Q372" s="15">
        <f>$I372*O372</f>
        <v>1728.9960000000001</v>
      </c>
      <c r="S372" s="70" t="s">
        <v>14</v>
      </c>
      <c r="T372" s="17">
        <f>Q383</f>
        <v>12979.151600000001</v>
      </c>
      <c r="U372" s="138">
        <f>I372*K372-M372</f>
        <v>0</v>
      </c>
      <c r="V372" s="139">
        <f>I372*O372-Q372</f>
        <v>0</v>
      </c>
    </row>
    <row r="373" spans="1:22">
      <c r="A373" s="345" t="s">
        <v>102</v>
      </c>
      <c r="B373" s="340"/>
      <c r="C373" s="16">
        <v>0</v>
      </c>
      <c r="E373" s="127">
        <v>5.7472000000000003</v>
      </c>
      <c r="F373" s="102" t="s">
        <v>11</v>
      </c>
      <c r="G373" s="15">
        <f>ROUND(E373*$C373/100,0)</f>
        <v>0</v>
      </c>
      <c r="H373" s="15">
        <v>0</v>
      </c>
      <c r="I373" s="15">
        <f t="shared" si="118"/>
        <v>0</v>
      </c>
      <c r="K373" s="103">
        <v>2.8000000000000001E-2</v>
      </c>
      <c r="L373" s="102"/>
      <c r="M373" s="15">
        <f>$I373*K373</f>
        <v>0</v>
      </c>
      <c r="O373" s="128">
        <f>$T$375</f>
        <v>5.96E-2</v>
      </c>
      <c r="P373" s="102"/>
      <c r="Q373" s="15">
        <f>$I373*O373</f>
        <v>0</v>
      </c>
      <c r="S373" s="71" t="s">
        <v>16</v>
      </c>
      <c r="T373" s="18">
        <f>'Exhibit-RMP(RMM-1) page 2'!K31*1000</f>
        <v>12970.467760688409</v>
      </c>
      <c r="U373" s="138">
        <f>I373*K373-M373</f>
        <v>0</v>
      </c>
      <c r="V373" s="139">
        <f>I373*O373-Q373</f>
        <v>0</v>
      </c>
    </row>
    <row r="374" spans="1:22">
      <c r="A374" s="345" t="s">
        <v>24</v>
      </c>
      <c r="B374" s="340"/>
      <c r="C374" s="23">
        <v>0</v>
      </c>
      <c r="E374" s="127"/>
      <c r="F374" s="124"/>
      <c r="G374" s="24">
        <v>0</v>
      </c>
      <c r="H374" s="24"/>
      <c r="I374" s="24">
        <f t="shared" si="118"/>
        <v>0</v>
      </c>
      <c r="K374" s="128"/>
      <c r="L374" s="124"/>
      <c r="M374" s="24"/>
      <c r="O374" s="128"/>
      <c r="P374" s="124"/>
      <c r="Q374" s="24"/>
      <c r="S374" s="72" t="s">
        <v>18</v>
      </c>
      <c r="T374" s="19">
        <f>T373-T372</f>
        <v>-8.6838393115922372</v>
      </c>
      <c r="U374" s="138"/>
      <c r="V374" s="139"/>
    </row>
    <row r="375" spans="1:22">
      <c r="A375" s="345" t="s">
        <v>199</v>
      </c>
      <c r="B375" s="340"/>
      <c r="C375" s="4">
        <v>423833</v>
      </c>
      <c r="E375" s="30"/>
      <c r="F375" s="115"/>
      <c r="G375" s="15">
        <f>SUM(G370:G374)</f>
        <v>80422</v>
      </c>
      <c r="H375" s="15">
        <f>SUM(H370:H374)</f>
        <v>0</v>
      </c>
      <c r="I375" s="15">
        <f>SUM(I370:I374)</f>
        <v>80422</v>
      </c>
      <c r="K375" s="106"/>
      <c r="L375" s="115"/>
      <c r="M375" s="15">
        <f>SUM(M370:M374)</f>
        <v>812.28</v>
      </c>
      <c r="O375" s="106"/>
      <c r="P375" s="115"/>
      <c r="Q375" s="15">
        <f>SUM(Q370:Q374)</f>
        <v>1728.9960000000001</v>
      </c>
      <c r="S375" s="75" t="s">
        <v>21</v>
      </c>
      <c r="T375" s="76">
        <f>ROUND(T373/SUM(I372:I373,I379:I380),$T$12)</f>
        <v>5.96E-2</v>
      </c>
      <c r="U375" s="138"/>
      <c r="V375" s="139"/>
    </row>
    <row r="376" spans="1:22">
      <c r="A376" s="359" t="s">
        <v>200</v>
      </c>
      <c r="B376" s="340"/>
      <c r="C376" s="16"/>
      <c r="E376" s="30"/>
      <c r="F376" s="115"/>
      <c r="G376" s="92"/>
      <c r="H376" s="92"/>
      <c r="I376" s="92"/>
      <c r="K376" s="106"/>
      <c r="L376" s="115"/>
      <c r="O376" s="106"/>
      <c r="P376" s="115"/>
      <c r="U376" s="138"/>
      <c r="V376" s="139"/>
    </row>
    <row r="377" spans="1:22">
      <c r="A377" s="345" t="s">
        <v>7</v>
      </c>
      <c r="B377" s="340"/>
      <c r="C377" s="16">
        <v>24</v>
      </c>
      <c r="E377" s="14">
        <v>127</v>
      </c>
      <c r="F377" s="100"/>
      <c r="G377" s="15">
        <f>ROUND(E377*$C377,0)</f>
        <v>3048</v>
      </c>
      <c r="H377" s="15"/>
      <c r="I377" s="15">
        <f t="shared" ref="I377:I381" si="119">SUM(G377:H377)</f>
        <v>3048</v>
      </c>
      <c r="K377" s="31"/>
      <c r="L377" s="100"/>
      <c r="M377" s="15"/>
      <c r="O377" s="31"/>
      <c r="P377" s="100"/>
      <c r="Q377" s="15"/>
      <c r="S377" s="8"/>
      <c r="T377" s="22"/>
      <c r="U377" s="138"/>
      <c r="V377" s="139"/>
    </row>
    <row r="378" spans="1:22">
      <c r="A378" s="345" t="s">
        <v>197</v>
      </c>
      <c r="B378" s="340"/>
      <c r="C378" s="16">
        <v>47371</v>
      </c>
      <c r="E378" s="14">
        <v>4.3</v>
      </c>
      <c r="F378" s="100"/>
      <c r="G378" s="15">
        <f>ROUND(E378*$C378,0)</f>
        <v>203695</v>
      </c>
      <c r="H378" s="15"/>
      <c r="I378" s="15">
        <f t="shared" si="119"/>
        <v>203695</v>
      </c>
      <c r="K378" s="31"/>
      <c r="L378" s="100"/>
      <c r="M378" s="15"/>
      <c r="O378" s="31"/>
      <c r="P378" s="100"/>
      <c r="Q378" s="15"/>
      <c r="S378" s="8"/>
      <c r="T378" s="2"/>
      <c r="U378" s="138"/>
      <c r="V378" s="139"/>
    </row>
    <row r="379" spans="1:22">
      <c r="A379" s="345" t="s">
        <v>198</v>
      </c>
      <c r="B379" s="340"/>
      <c r="C379" s="16">
        <v>2660898</v>
      </c>
      <c r="E379" s="127">
        <v>5.3851000000000004</v>
      </c>
      <c r="F379" s="102" t="s">
        <v>11</v>
      </c>
      <c r="G379" s="15">
        <f>ROUND(E379*$C379/100,0)</f>
        <v>143292</v>
      </c>
      <c r="H379" s="15">
        <v>0</v>
      </c>
      <c r="I379" s="15">
        <f t="shared" si="119"/>
        <v>143292</v>
      </c>
      <c r="K379" s="103">
        <v>2.8000000000000001E-2</v>
      </c>
      <c r="L379" s="102"/>
      <c r="M379" s="15">
        <f>$I379*K379</f>
        <v>4012.1759999999999</v>
      </c>
      <c r="O379" s="128">
        <f>$T$375</f>
        <v>5.96E-2</v>
      </c>
      <c r="P379" s="102"/>
      <c r="Q379" s="15">
        <f>$I379*O379</f>
        <v>8540.2031999999999</v>
      </c>
      <c r="S379" s="3"/>
      <c r="T379" s="2"/>
      <c r="U379" s="138">
        <f>I379*K379-M379</f>
        <v>0</v>
      </c>
      <c r="V379" s="139">
        <f>I379*O379-Q379</f>
        <v>0</v>
      </c>
    </row>
    <row r="380" spans="1:22">
      <c r="A380" s="345" t="s">
        <v>102</v>
      </c>
      <c r="B380" s="340"/>
      <c r="C380" s="16">
        <v>963969.33770158794</v>
      </c>
      <c r="E380" s="127">
        <v>4.7168999999999999</v>
      </c>
      <c r="F380" s="102" t="s">
        <v>11</v>
      </c>
      <c r="G380" s="15">
        <f>ROUND(E380*$C380/100,0)</f>
        <v>45469</v>
      </c>
      <c r="H380" s="15">
        <v>0</v>
      </c>
      <c r="I380" s="15">
        <f t="shared" si="119"/>
        <v>45469</v>
      </c>
      <c r="K380" s="103">
        <v>2.8000000000000001E-2</v>
      </c>
      <c r="L380" s="102"/>
      <c r="M380" s="15">
        <f>$I380*K380</f>
        <v>1273.1320000000001</v>
      </c>
      <c r="O380" s="128">
        <f>$T$375</f>
        <v>5.96E-2</v>
      </c>
      <c r="P380" s="102"/>
      <c r="Q380" s="15">
        <f>$I380*O380</f>
        <v>2709.9524000000001</v>
      </c>
      <c r="S380" s="3"/>
      <c r="T380" s="2"/>
      <c r="U380" s="138">
        <f>I380*K380-M380</f>
        <v>0</v>
      </c>
      <c r="V380" s="139">
        <f>I380*O380-Q380</f>
        <v>0</v>
      </c>
    </row>
    <row r="381" spans="1:22">
      <c r="A381" s="345" t="s">
        <v>24</v>
      </c>
      <c r="B381" s="340"/>
      <c r="C381" s="23">
        <v>0</v>
      </c>
      <c r="E381" s="127"/>
      <c r="F381" s="124"/>
      <c r="G381" s="24">
        <v>0</v>
      </c>
      <c r="H381" s="24"/>
      <c r="I381" s="24">
        <f t="shared" si="119"/>
        <v>0</v>
      </c>
      <c r="K381" s="128"/>
      <c r="L381" s="124"/>
      <c r="M381" s="24"/>
      <c r="O381" s="128"/>
      <c r="P381" s="124"/>
      <c r="Q381" s="24"/>
      <c r="S381" s="3"/>
      <c r="T381" s="2"/>
      <c r="U381" s="138"/>
      <c r="V381" s="139"/>
    </row>
    <row r="382" spans="1:22">
      <c r="A382" s="345" t="s">
        <v>199</v>
      </c>
      <c r="B382" s="340"/>
      <c r="C382" s="4">
        <v>3624867.3377015879</v>
      </c>
      <c r="E382" s="30"/>
      <c r="F382" s="115"/>
      <c r="G382" s="15">
        <f>SUM(G377:G381)</f>
        <v>395504</v>
      </c>
      <c r="H382" s="15">
        <f>SUM(H377:H381)</f>
        <v>0</v>
      </c>
      <c r="I382" s="15">
        <f>SUM(I377:I381)</f>
        <v>395504</v>
      </c>
      <c r="K382" s="106"/>
      <c r="L382" s="115"/>
      <c r="M382" s="15">
        <f>SUM(M377:M381)</f>
        <v>5285.308</v>
      </c>
      <c r="O382" s="106"/>
      <c r="P382" s="115"/>
      <c r="Q382" s="15">
        <f>SUM(Q377:Q381)</f>
        <v>11250.1556</v>
      </c>
      <c r="S382" s="3"/>
      <c r="T382" s="2"/>
      <c r="U382" s="138"/>
      <c r="V382" s="139"/>
    </row>
    <row r="383" spans="1:22" ht="16" thickBot="1">
      <c r="A383" s="345" t="s">
        <v>25</v>
      </c>
      <c r="B383" s="340"/>
      <c r="C383" s="29">
        <v>4048700.3377015879</v>
      </c>
      <c r="E383" s="174"/>
      <c r="G383" s="28">
        <f>G382+G375</f>
        <v>475926</v>
      </c>
      <c r="H383" s="28">
        <f>H382+H375</f>
        <v>0</v>
      </c>
      <c r="I383" s="28">
        <f>I382+I375</f>
        <v>475926</v>
      </c>
      <c r="K383" s="113"/>
      <c r="M383" s="28">
        <f>M382+M375</f>
        <v>6097.5879999999997</v>
      </c>
      <c r="O383" s="113"/>
      <c r="Q383" s="28">
        <f>Q382+Q375</f>
        <v>12979.151600000001</v>
      </c>
      <c r="S383" s="3"/>
      <c r="T383" s="2"/>
      <c r="U383" s="138"/>
      <c r="V383" s="139"/>
    </row>
    <row r="384" spans="1:22" ht="16" thickTop="1">
      <c r="A384" s="160"/>
      <c r="B384" s="340"/>
      <c r="C384" s="4"/>
      <c r="G384" s="92"/>
      <c r="H384" s="92"/>
      <c r="I384" s="92"/>
      <c r="S384" s="3"/>
      <c r="T384" s="49"/>
      <c r="U384" s="138"/>
      <c r="V384" s="139"/>
    </row>
    <row r="385" spans="1:22">
      <c r="A385" s="344" t="s">
        <v>431</v>
      </c>
      <c r="B385" s="340"/>
      <c r="C385" s="360"/>
      <c r="G385" s="92"/>
      <c r="H385" s="92"/>
      <c r="I385" s="92"/>
      <c r="S385" s="3"/>
      <c r="T385" s="50"/>
      <c r="U385" s="138"/>
      <c r="V385" s="139"/>
    </row>
    <row r="386" spans="1:22">
      <c r="A386" s="345" t="s">
        <v>7</v>
      </c>
      <c r="B386" s="340"/>
      <c r="C386" s="4">
        <v>992017.98512850888</v>
      </c>
      <c r="E386" s="14">
        <v>10</v>
      </c>
      <c r="F386" s="100"/>
      <c r="G386" s="15">
        <f>ROUND(E386*$C386,0)</f>
        <v>9920180</v>
      </c>
      <c r="H386" s="15"/>
      <c r="I386" s="15">
        <f t="shared" ref="I386:I395" si="120">SUM(G386:H386)</f>
        <v>9920180</v>
      </c>
      <c r="M386" s="15"/>
      <c r="Q386" s="15"/>
      <c r="S386" s="70" t="s">
        <v>14</v>
      </c>
      <c r="T386" s="17">
        <f>Q396</f>
        <v>2360348.5022010002</v>
      </c>
      <c r="U386" s="138"/>
      <c r="V386" s="139"/>
    </row>
    <row r="387" spans="1:22">
      <c r="A387" s="345" t="s">
        <v>30</v>
      </c>
      <c r="B387" s="340"/>
      <c r="C387" s="4">
        <v>387746</v>
      </c>
      <c r="E387" s="14">
        <v>8.65</v>
      </c>
      <c r="F387" s="100"/>
      <c r="G387" s="15">
        <f>ROUND(E387*$C387,0)</f>
        <v>3354003</v>
      </c>
      <c r="H387" s="15">
        <v>0</v>
      </c>
      <c r="I387" s="15">
        <f t="shared" si="120"/>
        <v>3354003</v>
      </c>
      <c r="K387" s="103">
        <v>8.6E-3</v>
      </c>
      <c r="L387" s="100"/>
      <c r="M387" s="15">
        <f>$I387*K387</f>
        <v>28844.425800000001</v>
      </c>
      <c r="O387" s="31">
        <f>$T$389</f>
        <v>1.83E-2</v>
      </c>
      <c r="P387" s="100"/>
      <c r="Q387" s="15">
        <f>$I387*O387</f>
        <v>61378.2549</v>
      </c>
      <c r="S387" s="71" t="s">
        <v>16</v>
      </c>
      <c r="T387" s="18">
        <f>'Exhibit-RMP(RMM-1) page 2'!K32*1000</f>
        <v>2361757.2819430484</v>
      </c>
      <c r="U387" s="138">
        <f>I387*K387-M387</f>
        <v>0</v>
      </c>
      <c r="V387" s="139">
        <f>I387*O387-Q387</f>
        <v>0</v>
      </c>
    </row>
    <row r="388" spans="1:22">
      <c r="A388" s="345" t="s">
        <v>31</v>
      </c>
      <c r="B388" s="340"/>
      <c r="C388" s="4">
        <v>347761</v>
      </c>
      <c r="E388" s="14">
        <v>8.7000000000000011</v>
      </c>
      <c r="F388" s="100"/>
      <c r="G388" s="15">
        <f>ROUND(E388*$C388,0)</f>
        <v>3025521</v>
      </c>
      <c r="H388" s="15">
        <v>0</v>
      </c>
      <c r="I388" s="15">
        <f t="shared" si="120"/>
        <v>3025521</v>
      </c>
      <c r="K388" s="103">
        <v>8.6E-3</v>
      </c>
      <c r="L388" s="100"/>
      <c r="M388" s="15">
        <f>$I388*K388</f>
        <v>26019.480599999999</v>
      </c>
      <c r="O388" s="31">
        <f>$T$389</f>
        <v>1.83E-2</v>
      </c>
      <c r="P388" s="100"/>
      <c r="Q388" s="15">
        <f>$I388*O388</f>
        <v>55367.034299999999</v>
      </c>
      <c r="S388" s="72" t="s">
        <v>18</v>
      </c>
      <c r="T388" s="19">
        <f>T387-T386</f>
        <v>1408.779742048122</v>
      </c>
      <c r="U388" s="138">
        <f>I388*K388-M388</f>
        <v>0</v>
      </c>
      <c r="V388" s="139">
        <f>I388*O388-Q388</f>
        <v>0</v>
      </c>
    </row>
    <row r="389" spans="1:22">
      <c r="A389" s="345" t="s">
        <v>32</v>
      </c>
      <c r="B389" s="340"/>
      <c r="C389" s="4">
        <v>7029</v>
      </c>
      <c r="E389" s="14">
        <v>-0.48</v>
      </c>
      <c r="F389" s="100"/>
      <c r="G389" s="15">
        <f>ROUND(E389*$C389,0)</f>
        <v>-3374</v>
      </c>
      <c r="H389" s="15"/>
      <c r="I389" s="15">
        <f t="shared" si="120"/>
        <v>-3374</v>
      </c>
      <c r="K389" s="31"/>
      <c r="L389" s="100"/>
      <c r="M389" s="15"/>
      <c r="O389" s="31"/>
      <c r="P389" s="100"/>
      <c r="Q389" s="15"/>
      <c r="S389" s="75" t="s">
        <v>21</v>
      </c>
      <c r="T389" s="76">
        <f>ROUND(T387/SUM(I387:I388,I390:I393),$T$12)+T392</f>
        <v>1.83E-2</v>
      </c>
      <c r="U389" s="138"/>
      <c r="V389" s="139"/>
    </row>
    <row r="390" spans="1:22">
      <c r="A390" s="345" t="s">
        <v>33</v>
      </c>
      <c r="B390" s="340"/>
      <c r="C390" s="4">
        <v>295977608</v>
      </c>
      <c r="E390" s="104">
        <v>11.733599999999999</v>
      </c>
      <c r="F390" s="102" t="s">
        <v>11</v>
      </c>
      <c r="G390" s="15">
        <f t="shared" ref="G390:G393" si="121">ROUND(E390*$C390/100,0)</f>
        <v>34728829</v>
      </c>
      <c r="H390" s="15">
        <f>-ROUND(G390/SUM($G$390:$G$393)*('Sch73 Adj'!$D$5+'Sch73 Adj'!$D$7),0)</f>
        <v>-58044</v>
      </c>
      <c r="I390" s="15">
        <f t="shared" si="120"/>
        <v>34670785</v>
      </c>
      <c r="K390" s="103">
        <v>8.6E-3</v>
      </c>
      <c r="L390" s="100"/>
      <c r="M390" s="15">
        <f>$I390*K390</f>
        <v>298168.75099999999</v>
      </c>
      <c r="O390" s="31">
        <f>$T$389</f>
        <v>1.83E-2</v>
      </c>
      <c r="P390" s="100"/>
      <c r="Q390" s="15">
        <f>$I390*O390</f>
        <v>634475.36549999996</v>
      </c>
      <c r="S390" s="32" t="s">
        <v>45</v>
      </c>
      <c r="T390" s="33">
        <f>'Exhibit-RMP(RMM-1) page 1'!S49</f>
        <v>36819.375625517539</v>
      </c>
      <c r="U390" s="138">
        <f>I390*K390-M390</f>
        <v>0</v>
      </c>
      <c r="V390" s="139">
        <f>I390*O390-Q390</f>
        <v>0</v>
      </c>
    </row>
    <row r="391" spans="1:22">
      <c r="A391" s="345" t="s">
        <v>34</v>
      </c>
      <c r="B391" s="340"/>
      <c r="C391" s="4">
        <v>309000007.78318173</v>
      </c>
      <c r="E391" s="104">
        <v>6.5782999999999996</v>
      </c>
      <c r="F391" s="102" t="s">
        <v>11</v>
      </c>
      <c r="G391" s="15">
        <f t="shared" si="121"/>
        <v>20326948</v>
      </c>
      <c r="H391" s="15">
        <f>-ROUND(G391/SUM($G$390:$G$393)*('Sch73 Adj'!$D$5+'Sch73 Adj'!$D$7),0)</f>
        <v>-33973</v>
      </c>
      <c r="I391" s="15">
        <f t="shared" si="120"/>
        <v>20292975</v>
      </c>
      <c r="K391" s="103">
        <v>8.6E-3</v>
      </c>
      <c r="L391" s="100"/>
      <c r="M391" s="15">
        <f>$I391*K391</f>
        <v>174519.58499999999</v>
      </c>
      <c r="O391" s="31">
        <f>$T$389</f>
        <v>1.83E-2</v>
      </c>
      <c r="P391" s="100"/>
      <c r="Q391" s="15">
        <f>$I391*O391</f>
        <v>371361.4425</v>
      </c>
      <c r="S391" s="32" t="s">
        <v>46</v>
      </c>
      <c r="T391" s="33">
        <f>'Exhibit-RMP(RMM-1) page 2'!K49</f>
        <v>36786.108768751568</v>
      </c>
      <c r="U391" s="138">
        <f>I391*K391-M391</f>
        <v>0</v>
      </c>
      <c r="V391" s="139">
        <f>I391*O391-Q391</f>
        <v>0</v>
      </c>
    </row>
    <row r="392" spans="1:22">
      <c r="A392" s="345" t="s">
        <v>35</v>
      </c>
      <c r="B392" s="340"/>
      <c r="C392" s="4">
        <v>424820226</v>
      </c>
      <c r="E392" s="104">
        <v>10.8</v>
      </c>
      <c r="F392" s="102" t="s">
        <v>11</v>
      </c>
      <c r="G392" s="15">
        <f t="shared" si="121"/>
        <v>45880584</v>
      </c>
      <c r="H392" s="15">
        <f>-ROUND(G392/SUM($G$390:$G$393)*('Sch73 Adj'!$D$5+'Sch73 Adj'!$D$7),0)</f>
        <v>-76682</v>
      </c>
      <c r="I392" s="15">
        <f t="shared" si="120"/>
        <v>45803902</v>
      </c>
      <c r="K392" s="103">
        <v>8.6E-3</v>
      </c>
      <c r="L392" s="100"/>
      <c r="M392" s="15">
        <f>$I392*K392</f>
        <v>393913.55719999998</v>
      </c>
      <c r="O392" s="31">
        <f>$T$389</f>
        <v>1.83E-2</v>
      </c>
      <c r="P392" s="100"/>
      <c r="Q392" s="15">
        <f>$I392*O392</f>
        <v>838211.40659999999</v>
      </c>
      <c r="S392" s="34" t="s">
        <v>26</v>
      </c>
      <c r="T392" s="35">
        <v>0</v>
      </c>
      <c r="U392" s="138">
        <f>I392*K392-M392</f>
        <v>0</v>
      </c>
      <c r="V392" s="139">
        <f>I392*O392-Q392</f>
        <v>0</v>
      </c>
    </row>
    <row r="393" spans="1:22">
      <c r="A393" s="345" t="s">
        <v>36</v>
      </c>
      <c r="B393" s="340"/>
      <c r="C393" s="4">
        <v>361090368.97025329</v>
      </c>
      <c r="E393" s="104">
        <v>6.0567000000000002</v>
      </c>
      <c r="F393" s="102" t="s">
        <v>11</v>
      </c>
      <c r="G393" s="15">
        <f t="shared" si="121"/>
        <v>21870160</v>
      </c>
      <c r="H393" s="15">
        <f>-'Sch73 Adj'!D5-'Sch73 Adj'!D7-SUM('Exhibit-RMP(RMM-2)'!H390:H392)</f>
        <v>-36553.53</v>
      </c>
      <c r="I393" s="15">
        <f t="shared" si="120"/>
        <v>21833606.469999999</v>
      </c>
      <c r="K393" s="103">
        <v>8.6E-3</v>
      </c>
      <c r="L393" s="100"/>
      <c r="M393" s="15">
        <f>$I393*K393</f>
        <v>187769.01564199998</v>
      </c>
      <c r="O393" s="31">
        <f>$T$389</f>
        <v>1.83E-2</v>
      </c>
      <c r="P393" s="100"/>
      <c r="Q393" s="15">
        <f>$I393*O393</f>
        <v>399554.99840099999</v>
      </c>
      <c r="U393" s="138">
        <f>I393*K393-M393</f>
        <v>0</v>
      </c>
      <c r="V393" s="139">
        <f>I393*O393-Q393</f>
        <v>0</v>
      </c>
    </row>
    <row r="394" spans="1:22">
      <c r="A394" s="345" t="s">
        <v>37</v>
      </c>
      <c r="B394" s="340"/>
      <c r="C394" s="4">
        <v>0</v>
      </c>
      <c r="E394" s="14">
        <v>120</v>
      </c>
      <c r="F394" s="100"/>
      <c r="G394" s="15">
        <f>ROUND(E394*$C394,0)</f>
        <v>0</v>
      </c>
      <c r="H394" s="15"/>
      <c r="I394" s="15">
        <f t="shared" si="120"/>
        <v>0</v>
      </c>
      <c r="K394" s="31"/>
      <c r="L394" s="100"/>
      <c r="M394" s="15"/>
      <c r="O394" s="31"/>
      <c r="P394" s="100"/>
      <c r="Q394" s="15"/>
    </row>
    <row r="395" spans="1:22">
      <c r="A395" s="345" t="s">
        <v>24</v>
      </c>
      <c r="B395" s="340"/>
      <c r="C395" s="23">
        <v>0</v>
      </c>
      <c r="G395" s="24">
        <v>0</v>
      </c>
      <c r="H395" s="24"/>
      <c r="I395" s="24">
        <f t="shared" si="120"/>
        <v>0</v>
      </c>
      <c r="M395" s="24"/>
      <c r="Q395" s="24"/>
    </row>
    <row r="396" spans="1:22" ht="16" thickBot="1">
      <c r="A396" s="345" t="s">
        <v>25</v>
      </c>
      <c r="B396" s="340"/>
      <c r="C396" s="29">
        <v>1390888210.7534347</v>
      </c>
      <c r="E396" s="174"/>
      <c r="G396" s="28">
        <f>SUM(G386:G395)</f>
        <v>139102851</v>
      </c>
      <c r="H396" s="28">
        <f>SUM(H386:H395)</f>
        <v>-205252.53</v>
      </c>
      <c r="I396" s="28">
        <f>SUM(I386:I395)</f>
        <v>138897598.47</v>
      </c>
      <c r="K396" s="113"/>
      <c r="M396" s="28">
        <f>SUM(M386:M395)</f>
        <v>1109234.8152419999</v>
      </c>
      <c r="O396" s="113"/>
      <c r="Q396" s="28">
        <f>SUM(Q386:Q395)</f>
        <v>2360348.5022010002</v>
      </c>
    </row>
    <row r="397" spans="1:22" ht="16" thickTop="1">
      <c r="C397" s="4"/>
      <c r="G397" s="92"/>
      <c r="H397" s="92"/>
      <c r="I397" s="92"/>
    </row>
    <row r="398" spans="1:22">
      <c r="A398" s="344" t="s">
        <v>432</v>
      </c>
      <c r="B398" s="340"/>
      <c r="C398" s="4"/>
      <c r="E398" s="30"/>
      <c r="F398" s="115"/>
      <c r="G398" s="92"/>
      <c r="H398" s="92"/>
      <c r="I398" s="92"/>
    </row>
    <row r="399" spans="1:22">
      <c r="A399" s="359" t="s">
        <v>201</v>
      </c>
      <c r="B399" s="340"/>
      <c r="C399" s="4"/>
      <c r="G399" s="92"/>
      <c r="H399" s="92"/>
      <c r="I399" s="92"/>
    </row>
    <row r="400" spans="1:22">
      <c r="A400" s="345" t="s">
        <v>202</v>
      </c>
      <c r="B400" s="345"/>
      <c r="C400" s="4">
        <v>0</v>
      </c>
      <c r="E400" s="14">
        <v>133</v>
      </c>
      <c r="F400" s="100"/>
      <c r="G400" s="15">
        <f>ROUND(E400*$C400,0)</f>
        <v>0</v>
      </c>
      <c r="H400" s="15"/>
      <c r="I400" s="15">
        <f t="shared" ref="I400:I401" si="122">SUM(G400:H400)</f>
        <v>0</v>
      </c>
      <c r="K400" s="111"/>
      <c r="L400" s="100"/>
      <c r="M400" s="15"/>
      <c r="O400" s="111"/>
      <c r="P400" s="100"/>
      <c r="Q400" s="15"/>
    </row>
    <row r="401" spans="1:17">
      <c r="A401" s="345" t="s">
        <v>203</v>
      </c>
      <c r="B401" s="345"/>
      <c r="C401" s="4">
        <v>0</v>
      </c>
      <c r="E401" s="14">
        <v>5.6</v>
      </c>
      <c r="F401" s="100"/>
      <c r="G401" s="15">
        <f>ROUND(E401*$C401,0)</f>
        <v>0</v>
      </c>
      <c r="H401" s="15"/>
      <c r="I401" s="15">
        <f t="shared" si="122"/>
        <v>0</v>
      </c>
      <c r="K401" s="111"/>
      <c r="L401" s="100"/>
      <c r="M401" s="15"/>
      <c r="O401" s="111"/>
      <c r="P401" s="100"/>
      <c r="Q401" s="15"/>
    </row>
    <row r="402" spans="1:17">
      <c r="A402" s="345" t="s">
        <v>204</v>
      </c>
      <c r="B402" s="345"/>
      <c r="C402" s="4"/>
      <c r="E402" s="105"/>
      <c r="F402" s="20"/>
      <c r="G402" s="15"/>
      <c r="H402" s="15"/>
      <c r="I402" s="15"/>
      <c r="K402" s="111"/>
      <c r="L402" s="100"/>
      <c r="M402" s="15"/>
      <c r="O402" s="111"/>
      <c r="P402" s="100"/>
      <c r="Q402" s="15"/>
    </row>
    <row r="403" spans="1:17">
      <c r="A403" s="345" t="s">
        <v>205</v>
      </c>
      <c r="B403" s="345"/>
      <c r="C403" s="4">
        <v>0</v>
      </c>
      <c r="E403" s="129"/>
      <c r="F403" s="130"/>
      <c r="G403" s="15"/>
      <c r="H403" s="15"/>
      <c r="I403" s="15"/>
      <c r="K403" s="111"/>
      <c r="L403" s="100"/>
      <c r="M403" s="15"/>
      <c r="O403" s="111"/>
      <c r="P403" s="100"/>
      <c r="Q403" s="15"/>
    </row>
    <row r="404" spans="1:17">
      <c r="A404" s="345" t="s">
        <v>433</v>
      </c>
      <c r="B404" s="345"/>
      <c r="C404" s="4">
        <v>0</v>
      </c>
      <c r="E404" s="14">
        <v>0.88</v>
      </c>
      <c r="F404" s="130"/>
      <c r="G404" s="15">
        <f>ROUND(E404*$C404,0)</f>
        <v>0</v>
      </c>
      <c r="H404" s="15"/>
      <c r="I404" s="15">
        <f t="shared" ref="I404:I405" si="123">SUM(G404:H404)</f>
        <v>0</v>
      </c>
      <c r="K404" s="111"/>
      <c r="L404" s="100"/>
      <c r="M404" s="15"/>
      <c r="O404" s="111"/>
      <c r="P404" s="100"/>
      <c r="Q404" s="15"/>
    </row>
    <row r="405" spans="1:17">
      <c r="A405" s="345" t="s">
        <v>434</v>
      </c>
      <c r="B405" s="345"/>
      <c r="C405" s="4">
        <v>0</v>
      </c>
      <c r="E405" s="14">
        <v>0.62</v>
      </c>
      <c r="F405" s="130"/>
      <c r="G405" s="15">
        <f>ROUND(E405*$C405,0)</f>
        <v>0</v>
      </c>
      <c r="H405" s="15"/>
      <c r="I405" s="15">
        <f t="shared" si="123"/>
        <v>0</v>
      </c>
      <c r="K405" s="111"/>
      <c r="L405" s="100"/>
      <c r="M405" s="15"/>
      <c r="O405" s="111"/>
      <c r="P405" s="100"/>
      <c r="Q405" s="15"/>
    </row>
    <row r="406" spans="1:17">
      <c r="A406" s="345" t="s">
        <v>206</v>
      </c>
      <c r="B406" s="345"/>
      <c r="C406" s="4">
        <v>0</v>
      </c>
      <c r="E406" s="129"/>
      <c r="F406" s="131"/>
      <c r="G406" s="92"/>
      <c r="H406" s="92"/>
      <c r="I406" s="92"/>
      <c r="K406" s="111"/>
      <c r="L406" s="100"/>
      <c r="O406" s="111"/>
      <c r="P406" s="100"/>
    </row>
    <row r="407" spans="1:17">
      <c r="A407" s="345" t="s">
        <v>433</v>
      </c>
      <c r="B407" s="345"/>
      <c r="C407" s="4">
        <v>0</v>
      </c>
      <c r="E407" s="361">
        <v>0.44</v>
      </c>
      <c r="F407" s="131"/>
      <c r="G407" s="15">
        <f>ROUND(E407*$C407,0)</f>
        <v>0</v>
      </c>
      <c r="H407" s="15"/>
      <c r="I407" s="15">
        <f t="shared" ref="I407:I408" si="124">SUM(G407:H407)</f>
        <v>0</v>
      </c>
      <c r="K407" s="111"/>
      <c r="L407" s="20"/>
      <c r="M407" s="15"/>
      <c r="O407" s="111"/>
      <c r="P407" s="20"/>
      <c r="Q407" s="15"/>
    </row>
    <row r="408" spans="1:17">
      <c r="A408" s="345" t="s">
        <v>434</v>
      </c>
      <c r="B408" s="345"/>
      <c r="C408" s="4">
        <v>0</v>
      </c>
      <c r="E408" s="361">
        <v>0.31</v>
      </c>
      <c r="F408" s="131"/>
      <c r="G408" s="15">
        <f>ROUND(E408*$C408,0)</f>
        <v>0</v>
      </c>
      <c r="H408" s="15"/>
      <c r="I408" s="15">
        <f t="shared" si="124"/>
        <v>0</v>
      </c>
      <c r="K408" s="126"/>
      <c r="M408" s="15"/>
      <c r="O408" s="126"/>
      <c r="Q408" s="15"/>
    </row>
    <row r="409" spans="1:17">
      <c r="A409" s="345" t="s">
        <v>207</v>
      </c>
      <c r="B409" s="345"/>
      <c r="C409" s="4">
        <v>0</v>
      </c>
      <c r="E409" s="129"/>
      <c r="F409" s="100"/>
      <c r="G409" s="15"/>
      <c r="H409" s="15"/>
      <c r="I409" s="15"/>
      <c r="K409" s="111"/>
      <c r="L409" s="100"/>
      <c r="M409" s="15"/>
      <c r="O409" s="111"/>
      <c r="P409" s="100"/>
      <c r="Q409" s="15"/>
    </row>
    <row r="410" spans="1:17">
      <c r="A410" s="345" t="s">
        <v>433</v>
      </c>
      <c r="B410" s="345"/>
      <c r="C410" s="4">
        <v>0</v>
      </c>
      <c r="E410" s="14">
        <v>40.81</v>
      </c>
      <c r="F410" s="100"/>
      <c r="G410" s="15">
        <f>ROUND(E410*$C410,0)</f>
        <v>0</v>
      </c>
      <c r="H410" s="15"/>
      <c r="I410" s="15">
        <f t="shared" ref="I410:I411" si="125">SUM(G410:H410)</f>
        <v>0</v>
      </c>
      <c r="K410" s="111"/>
      <c r="L410" s="100"/>
      <c r="M410" s="15"/>
      <c r="O410" s="111"/>
      <c r="P410" s="100"/>
      <c r="Q410" s="15"/>
    </row>
    <row r="411" spans="1:17">
      <c r="A411" s="345" t="s">
        <v>434</v>
      </c>
      <c r="B411" s="345"/>
      <c r="C411" s="4">
        <v>0</v>
      </c>
      <c r="E411" s="14">
        <v>32.04</v>
      </c>
      <c r="F411" s="100"/>
      <c r="G411" s="15">
        <f>ROUND(E411*$C411,0)</f>
        <v>0</v>
      </c>
      <c r="H411" s="15"/>
      <c r="I411" s="15">
        <f t="shared" si="125"/>
        <v>0</v>
      </c>
      <c r="K411" s="111"/>
      <c r="L411" s="100"/>
      <c r="M411" s="15"/>
      <c r="O411" s="111"/>
      <c r="P411" s="100"/>
      <c r="Q411" s="15"/>
    </row>
    <row r="412" spans="1:17">
      <c r="A412" s="359" t="s">
        <v>208</v>
      </c>
      <c r="B412" s="340"/>
      <c r="C412" s="4"/>
      <c r="G412" s="15"/>
      <c r="H412" s="15"/>
      <c r="I412" s="15"/>
      <c r="K412" s="111"/>
      <c r="L412" s="100"/>
      <c r="M412" s="15"/>
      <c r="O412" s="111"/>
      <c r="P412" s="100"/>
      <c r="Q412" s="15"/>
    </row>
    <row r="413" spans="1:17">
      <c r="A413" s="345" t="s">
        <v>202</v>
      </c>
      <c r="B413" s="340"/>
      <c r="C413" s="4">
        <v>24</v>
      </c>
      <c r="E413" s="14">
        <v>605</v>
      </c>
      <c r="F413" s="100"/>
      <c r="G413" s="15">
        <f>ROUND(E413*$C413,0)</f>
        <v>14520</v>
      </c>
      <c r="H413" s="15"/>
      <c r="I413" s="15">
        <f t="shared" ref="I413:I414" si="126">SUM(G413:H413)</f>
        <v>14520</v>
      </c>
      <c r="K413" s="125"/>
      <c r="L413" s="100"/>
      <c r="O413" s="125"/>
      <c r="P413" s="100"/>
    </row>
    <row r="414" spans="1:17">
      <c r="A414" s="345" t="s">
        <v>203</v>
      </c>
      <c r="B414" s="340"/>
      <c r="C414" s="4">
        <v>38791</v>
      </c>
      <c r="E414" s="14">
        <v>4.46</v>
      </c>
      <c r="F414" s="100"/>
      <c r="G414" s="15">
        <f>ROUND(E414*$C414,0)</f>
        <v>173008</v>
      </c>
      <c r="H414" s="15"/>
      <c r="I414" s="15">
        <f t="shared" si="126"/>
        <v>173008</v>
      </c>
      <c r="K414" s="125"/>
      <c r="L414" s="100"/>
      <c r="M414" s="15"/>
      <c r="O414" s="125"/>
      <c r="P414" s="100"/>
      <c r="Q414" s="15"/>
    </row>
    <row r="415" spans="1:17">
      <c r="A415" s="345" t="s">
        <v>204</v>
      </c>
      <c r="B415" s="340"/>
      <c r="C415" s="4"/>
      <c r="E415" s="105"/>
      <c r="F415" s="100"/>
      <c r="G415" s="15"/>
      <c r="H415" s="15"/>
      <c r="I415" s="15"/>
      <c r="K415" s="125"/>
      <c r="L415" s="100"/>
      <c r="M415" s="15"/>
      <c r="O415" s="125"/>
      <c r="P415" s="100"/>
      <c r="Q415" s="15"/>
    </row>
    <row r="416" spans="1:17">
      <c r="A416" s="345" t="s">
        <v>205</v>
      </c>
      <c r="B416" s="340"/>
      <c r="C416" s="4">
        <v>195683</v>
      </c>
      <c r="E416" s="129"/>
      <c r="F416" s="130"/>
      <c r="G416" s="15"/>
      <c r="H416" s="15"/>
      <c r="I416" s="15"/>
      <c r="K416" s="111"/>
      <c r="L416" s="100"/>
      <c r="M416" s="15"/>
      <c r="O416" s="111"/>
      <c r="P416" s="100"/>
      <c r="Q416" s="15"/>
    </row>
    <row r="417" spans="1:17">
      <c r="A417" s="345" t="s">
        <v>433</v>
      </c>
      <c r="B417" s="340"/>
      <c r="C417" s="4">
        <v>79030</v>
      </c>
      <c r="E417" s="14">
        <v>0.86</v>
      </c>
      <c r="F417" s="130"/>
      <c r="G417" s="15">
        <f>ROUND(E417*$C417,0)</f>
        <v>67966</v>
      </c>
      <c r="H417" s="15"/>
      <c r="I417" s="15">
        <f t="shared" ref="I417:I418" si="127">SUM(G417:H417)</f>
        <v>67966</v>
      </c>
      <c r="K417" s="126"/>
      <c r="M417" s="15"/>
      <c r="O417" s="126"/>
      <c r="Q417" s="15"/>
    </row>
    <row r="418" spans="1:17">
      <c r="A418" s="345" t="s">
        <v>434</v>
      </c>
      <c r="B418" s="340"/>
      <c r="C418" s="4">
        <v>116653</v>
      </c>
      <c r="E418" s="14">
        <v>0.6</v>
      </c>
      <c r="F418" s="130"/>
      <c r="G418" s="15">
        <f>ROUND(E418*$C418,0)</f>
        <v>69992</v>
      </c>
      <c r="H418" s="15"/>
      <c r="I418" s="15">
        <f t="shared" si="127"/>
        <v>69992</v>
      </c>
      <c r="K418" s="111"/>
      <c r="L418" s="100"/>
      <c r="M418" s="15"/>
      <c r="O418" s="111"/>
      <c r="P418" s="100"/>
      <c r="Q418" s="15"/>
    </row>
    <row r="419" spans="1:17">
      <c r="A419" s="345" t="s">
        <v>206</v>
      </c>
      <c r="B419" s="340"/>
      <c r="C419" s="4">
        <v>24254</v>
      </c>
      <c r="E419" s="129"/>
      <c r="F419" s="131"/>
      <c r="G419" s="15"/>
      <c r="H419" s="15"/>
      <c r="I419" s="15"/>
      <c r="K419" s="111"/>
      <c r="L419" s="100"/>
      <c r="M419" s="15"/>
      <c r="O419" s="111"/>
      <c r="P419" s="100"/>
      <c r="Q419" s="15"/>
    </row>
    <row r="420" spans="1:17">
      <c r="A420" s="345" t="s">
        <v>433</v>
      </c>
      <c r="B420" s="340"/>
      <c r="C420" s="4">
        <v>24254</v>
      </c>
      <c r="E420" s="361">
        <v>0.43</v>
      </c>
      <c r="F420" s="131"/>
      <c r="G420" s="15">
        <f>ROUND(E420*$C420,0)</f>
        <v>10429</v>
      </c>
      <c r="H420" s="15"/>
      <c r="I420" s="15">
        <f t="shared" ref="I420:I421" si="128">SUM(G420:H420)</f>
        <v>10429</v>
      </c>
      <c r="K420" s="111"/>
      <c r="L420" s="100"/>
      <c r="M420" s="15"/>
      <c r="O420" s="111"/>
      <c r="P420" s="100"/>
      <c r="Q420" s="15"/>
    </row>
    <row r="421" spans="1:17">
      <c r="A421" s="345" t="s">
        <v>434</v>
      </c>
      <c r="B421" s="340"/>
      <c r="C421" s="4">
        <v>0</v>
      </c>
      <c r="E421" s="361">
        <v>0.3</v>
      </c>
      <c r="F421" s="131"/>
      <c r="G421" s="15">
        <f>ROUND(E421*$C421,0)</f>
        <v>0</v>
      </c>
      <c r="H421" s="15"/>
      <c r="I421" s="15">
        <f t="shared" si="128"/>
        <v>0</v>
      </c>
      <c r="K421" s="111"/>
      <c r="L421" s="100"/>
      <c r="M421" s="15"/>
      <c r="O421" s="111"/>
      <c r="P421" s="100"/>
      <c r="Q421" s="15"/>
    </row>
    <row r="422" spans="1:17">
      <c r="A422" s="345" t="s">
        <v>207</v>
      </c>
      <c r="B422" s="340"/>
      <c r="C422" s="4">
        <v>30</v>
      </c>
      <c r="E422" s="129"/>
      <c r="F422" s="100"/>
      <c r="G422" s="15"/>
      <c r="H422" s="15"/>
      <c r="I422" s="15"/>
      <c r="K422" s="111"/>
      <c r="L422" s="100"/>
      <c r="M422" s="15"/>
      <c r="O422" s="111"/>
      <c r="P422" s="100"/>
      <c r="Q422" s="15"/>
    </row>
    <row r="423" spans="1:17">
      <c r="A423" s="345" t="s">
        <v>433</v>
      </c>
      <c r="B423" s="340"/>
      <c r="C423" s="4">
        <v>0</v>
      </c>
      <c r="E423" s="14">
        <v>38.54</v>
      </c>
      <c r="F423" s="100"/>
      <c r="G423" s="15">
        <f>ROUND(E423*$C423,0)</f>
        <v>0</v>
      </c>
      <c r="H423" s="15"/>
      <c r="I423" s="15">
        <f t="shared" ref="I423:I424" si="129">SUM(G423:H423)</f>
        <v>0</v>
      </c>
      <c r="K423" s="111"/>
      <c r="L423" s="100"/>
      <c r="M423" s="15"/>
      <c r="O423" s="111"/>
      <c r="P423" s="100"/>
      <c r="Q423" s="15"/>
    </row>
    <row r="424" spans="1:17">
      <c r="A424" s="345" t="s">
        <v>434</v>
      </c>
      <c r="B424" s="340"/>
      <c r="C424" s="4">
        <v>30</v>
      </c>
      <c r="E424" s="14">
        <v>29.77</v>
      </c>
      <c r="F424" s="100"/>
      <c r="G424" s="15">
        <f>ROUND(E424*$C424,0)</f>
        <v>893</v>
      </c>
      <c r="H424" s="15"/>
      <c r="I424" s="15">
        <f t="shared" si="129"/>
        <v>893</v>
      </c>
      <c r="K424" s="111"/>
      <c r="L424" s="100"/>
      <c r="O424" s="111"/>
      <c r="P424" s="100"/>
    </row>
    <row r="425" spans="1:17">
      <c r="A425" s="359" t="s">
        <v>209</v>
      </c>
      <c r="B425" s="340"/>
      <c r="C425" s="4"/>
      <c r="G425" s="15"/>
      <c r="H425" s="15"/>
      <c r="I425" s="15"/>
      <c r="K425" s="111"/>
      <c r="L425" s="20"/>
      <c r="M425" s="15"/>
      <c r="O425" s="111"/>
      <c r="P425" s="20"/>
      <c r="Q425" s="15"/>
    </row>
    <row r="426" spans="1:17">
      <c r="A426" s="345" t="s">
        <v>202</v>
      </c>
      <c r="B426" s="340"/>
      <c r="C426" s="4">
        <v>24</v>
      </c>
      <c r="E426" s="14">
        <v>678</v>
      </c>
      <c r="F426" s="100"/>
      <c r="G426" s="15">
        <f>ROUND(E426*$C426,0)</f>
        <v>16272</v>
      </c>
      <c r="H426" s="15"/>
      <c r="I426" s="15">
        <f t="shared" ref="I426:I427" si="130">SUM(G426:H426)</f>
        <v>16272</v>
      </c>
      <c r="K426" s="126"/>
      <c r="M426" s="15"/>
      <c r="O426" s="126"/>
      <c r="Q426" s="15"/>
    </row>
    <row r="427" spans="1:17">
      <c r="A427" s="345" t="s">
        <v>203</v>
      </c>
      <c r="B427" s="340"/>
      <c r="C427" s="4">
        <v>153429</v>
      </c>
      <c r="E427" s="14">
        <v>2.63</v>
      </c>
      <c r="F427" s="100"/>
      <c r="G427" s="15">
        <f>ROUND(E427*$C427,0)</f>
        <v>403518</v>
      </c>
      <c r="H427" s="15"/>
      <c r="I427" s="15">
        <f t="shared" si="130"/>
        <v>403518</v>
      </c>
      <c r="K427" s="111"/>
      <c r="L427" s="100"/>
      <c r="M427" s="15"/>
      <c r="O427" s="111"/>
      <c r="P427" s="100"/>
      <c r="Q427" s="15"/>
    </row>
    <row r="428" spans="1:17">
      <c r="A428" s="345" t="s">
        <v>204</v>
      </c>
      <c r="B428" s="340"/>
      <c r="C428" s="4"/>
      <c r="E428" s="105"/>
      <c r="F428" s="20"/>
      <c r="G428" s="15"/>
      <c r="H428" s="15"/>
      <c r="I428" s="15"/>
      <c r="K428" s="111"/>
      <c r="L428" s="100"/>
      <c r="M428" s="15"/>
      <c r="O428" s="111"/>
      <c r="P428" s="100"/>
      <c r="Q428" s="15"/>
    </row>
    <row r="429" spans="1:17">
      <c r="A429" s="345" t="s">
        <v>205</v>
      </c>
      <c r="B429" s="340"/>
      <c r="C429" s="4">
        <v>391585</v>
      </c>
      <c r="E429" s="129"/>
      <c r="F429" s="130"/>
      <c r="G429" s="15"/>
      <c r="H429" s="15"/>
      <c r="I429" s="15"/>
      <c r="K429" s="111"/>
      <c r="L429" s="100"/>
      <c r="M429" s="15"/>
      <c r="O429" s="111"/>
      <c r="P429" s="100"/>
      <c r="Q429" s="15"/>
    </row>
    <row r="430" spans="1:17">
      <c r="A430" s="345" t="s">
        <v>433</v>
      </c>
      <c r="B430" s="340"/>
      <c r="C430" s="4">
        <v>239920</v>
      </c>
      <c r="E430" s="14">
        <v>0.76</v>
      </c>
      <c r="F430" s="130"/>
      <c r="G430" s="15">
        <f>ROUND(E430*$C430,0)</f>
        <v>182339</v>
      </c>
      <c r="H430" s="15"/>
      <c r="I430" s="15">
        <f t="shared" ref="I430:I431" si="131">SUM(G430:H430)</f>
        <v>182339</v>
      </c>
      <c r="K430" s="111"/>
      <c r="L430" s="100"/>
      <c r="M430" s="15"/>
      <c r="O430" s="111"/>
      <c r="P430" s="100"/>
      <c r="Q430" s="15"/>
    </row>
    <row r="431" spans="1:17">
      <c r="A431" s="345" t="s">
        <v>434</v>
      </c>
      <c r="B431" s="340"/>
      <c r="C431" s="4">
        <v>151665</v>
      </c>
      <c r="E431" s="14">
        <v>0.51</v>
      </c>
      <c r="F431" s="130"/>
      <c r="G431" s="15">
        <f>ROUND(E431*$C431,0)</f>
        <v>77349</v>
      </c>
      <c r="H431" s="15"/>
      <c r="I431" s="15">
        <f t="shared" si="131"/>
        <v>77349</v>
      </c>
      <c r="K431" s="125"/>
      <c r="L431" s="100"/>
      <c r="O431" s="125"/>
      <c r="P431" s="100"/>
    </row>
    <row r="432" spans="1:17">
      <c r="A432" s="345" t="s">
        <v>206</v>
      </c>
      <c r="B432" s="340"/>
      <c r="C432" s="4">
        <v>0</v>
      </c>
      <c r="E432" s="129"/>
      <c r="F432" s="131"/>
      <c r="G432" s="15"/>
      <c r="H432" s="15"/>
      <c r="I432" s="15"/>
      <c r="K432" s="125"/>
      <c r="L432" s="100"/>
      <c r="M432" s="15"/>
      <c r="O432" s="125"/>
      <c r="P432" s="100"/>
      <c r="Q432" s="15"/>
    </row>
    <row r="433" spans="1:22">
      <c r="A433" s="345" t="s">
        <v>433</v>
      </c>
      <c r="B433" s="340"/>
      <c r="C433" s="4">
        <v>0</v>
      </c>
      <c r="E433" s="361">
        <v>0.38</v>
      </c>
      <c r="F433" s="131"/>
      <c r="G433" s="15">
        <f>ROUND(E433*$C433,0)</f>
        <v>0</v>
      </c>
      <c r="H433" s="15"/>
      <c r="I433" s="15">
        <f t="shared" ref="I433:I434" si="132">SUM(G433:H433)</f>
        <v>0</v>
      </c>
      <c r="K433" s="125"/>
      <c r="L433" s="100"/>
      <c r="M433" s="15"/>
      <c r="O433" s="125"/>
      <c r="P433" s="100"/>
      <c r="Q433" s="15"/>
    </row>
    <row r="434" spans="1:22">
      <c r="A434" s="345" t="s">
        <v>434</v>
      </c>
      <c r="B434" s="340"/>
      <c r="C434" s="4">
        <v>0</v>
      </c>
      <c r="E434" s="361">
        <v>0.255</v>
      </c>
      <c r="F434" s="131"/>
      <c r="G434" s="15">
        <f>ROUND(E434*$C434,0)</f>
        <v>0</v>
      </c>
      <c r="H434" s="15"/>
      <c r="I434" s="15">
        <f t="shared" si="132"/>
        <v>0</v>
      </c>
      <c r="K434" s="111"/>
      <c r="L434" s="100"/>
      <c r="M434" s="15"/>
      <c r="O434" s="111"/>
      <c r="P434" s="100"/>
      <c r="Q434" s="15"/>
    </row>
    <row r="435" spans="1:22">
      <c r="A435" s="345" t="s">
        <v>207</v>
      </c>
      <c r="B435" s="340"/>
      <c r="C435" s="4">
        <v>0</v>
      </c>
      <c r="E435" s="129"/>
      <c r="F435" s="100"/>
      <c r="G435" s="15"/>
      <c r="H435" s="15"/>
      <c r="I435" s="15"/>
      <c r="K435" s="126"/>
      <c r="M435" s="15"/>
      <c r="O435" s="126"/>
      <c r="Q435" s="15"/>
    </row>
    <row r="436" spans="1:22">
      <c r="A436" s="345" t="s">
        <v>433</v>
      </c>
      <c r="B436" s="340"/>
      <c r="C436" s="4">
        <v>0</v>
      </c>
      <c r="E436" s="14">
        <v>32.35</v>
      </c>
      <c r="F436" s="100"/>
      <c r="G436" s="15">
        <f>ROUND(E436*$C436,0)</f>
        <v>0</v>
      </c>
      <c r="H436" s="15"/>
      <c r="I436" s="15">
        <f t="shared" ref="I436:I437" si="133">SUM(G436:H436)</f>
        <v>0</v>
      </c>
      <c r="K436" s="126"/>
      <c r="M436" s="15"/>
      <c r="O436" s="126"/>
      <c r="Q436" s="15"/>
    </row>
    <row r="437" spans="1:22">
      <c r="A437" s="345" t="s">
        <v>434</v>
      </c>
      <c r="B437" s="340"/>
      <c r="C437" s="4">
        <v>0</v>
      </c>
      <c r="E437" s="14">
        <v>23.36</v>
      </c>
      <c r="F437" s="100"/>
      <c r="G437" s="37">
        <f>ROUND(E437*$C437,0)</f>
        <v>0</v>
      </c>
      <c r="H437" s="37"/>
      <c r="I437" s="37">
        <f t="shared" si="133"/>
        <v>0</v>
      </c>
      <c r="K437" s="126"/>
      <c r="M437" s="37"/>
      <c r="O437" s="126"/>
      <c r="Q437" s="37"/>
    </row>
    <row r="438" spans="1:22">
      <c r="A438" s="345" t="s">
        <v>199</v>
      </c>
      <c r="B438" s="340"/>
      <c r="C438" s="45"/>
      <c r="E438" s="30"/>
      <c r="F438" s="115"/>
      <c r="G438" s="24">
        <f>SUM(G400:G437)</f>
        <v>1016286</v>
      </c>
      <c r="H438" s="24">
        <f>SUM(H400:H437)</f>
        <v>0</v>
      </c>
      <c r="I438" s="24">
        <f>SUM(I400:I437)</f>
        <v>1016286</v>
      </c>
      <c r="K438" s="178"/>
      <c r="L438" s="122"/>
      <c r="M438" s="24">
        <f>SUM(M400:M437)</f>
        <v>0</v>
      </c>
      <c r="O438" s="178"/>
      <c r="P438" s="122"/>
      <c r="Q438" s="24">
        <f>SUM(Q400:Q437)</f>
        <v>0</v>
      </c>
    </row>
    <row r="439" spans="1:22">
      <c r="A439" s="359" t="s">
        <v>210</v>
      </c>
      <c r="B439" s="340"/>
      <c r="G439" s="92"/>
      <c r="H439" s="92"/>
      <c r="I439" s="92"/>
    </row>
    <row r="440" spans="1:22">
      <c r="A440" s="344" t="s">
        <v>211</v>
      </c>
      <c r="B440" s="340"/>
      <c r="C440" s="4"/>
      <c r="E440" s="105"/>
      <c r="F440" s="20"/>
      <c r="G440" s="15"/>
      <c r="H440" s="15"/>
      <c r="I440" s="15"/>
      <c r="K440" s="108"/>
      <c r="L440" s="109"/>
      <c r="M440" s="15"/>
      <c r="O440" s="108"/>
      <c r="P440" s="109"/>
      <c r="Q440" s="15"/>
    </row>
    <row r="441" spans="1:22">
      <c r="A441" s="345" t="s">
        <v>87</v>
      </c>
      <c r="B441" s="340"/>
      <c r="C441" s="4">
        <v>16065</v>
      </c>
      <c r="E441" s="105">
        <v>4.76</v>
      </c>
      <c r="F441" s="20"/>
      <c r="G441" s="15">
        <f>ROUND(E441*$C441,0)</f>
        <v>76469</v>
      </c>
      <c r="H441" s="15"/>
      <c r="I441" s="15">
        <f t="shared" ref="I441:I447" si="134">SUM(G441:H441)</f>
        <v>76469</v>
      </c>
      <c r="K441" s="126"/>
      <c r="M441" s="15"/>
      <c r="O441" s="126"/>
      <c r="Q441" s="15"/>
    </row>
    <row r="442" spans="1:22">
      <c r="A442" s="345" t="s">
        <v>88</v>
      </c>
      <c r="B442" s="340"/>
      <c r="C442" s="4">
        <v>0</v>
      </c>
      <c r="E442" s="105">
        <v>15.56</v>
      </c>
      <c r="F442" s="20"/>
      <c r="G442" s="15">
        <f>ROUND(E442*$C442,0)</f>
        <v>0</v>
      </c>
      <c r="H442" s="15">
        <v>0</v>
      </c>
      <c r="I442" s="15">
        <f t="shared" si="134"/>
        <v>0</v>
      </c>
      <c r="K442" s="103">
        <v>1.15E-2</v>
      </c>
      <c r="M442" s="15">
        <f>$I442*K442</f>
        <v>0</v>
      </c>
      <c r="O442" s="31">
        <f>$T$160</f>
        <v>2.4500000000000001E-2</v>
      </c>
      <c r="Q442" s="15">
        <f>$I442*O442</f>
        <v>0</v>
      </c>
      <c r="U442" s="138">
        <f>I442*K442-M442</f>
        <v>0</v>
      </c>
      <c r="V442" s="139">
        <f>I442*O442-Q442</f>
        <v>0</v>
      </c>
    </row>
    <row r="443" spans="1:22">
      <c r="A443" s="345" t="s">
        <v>89</v>
      </c>
      <c r="B443" s="340"/>
      <c r="C443" s="4">
        <v>16065</v>
      </c>
      <c r="E443" s="105">
        <v>11.19</v>
      </c>
      <c r="F443" s="20"/>
      <c r="G443" s="15">
        <f>ROUND(E443*$C443,0)</f>
        <v>179767</v>
      </c>
      <c r="H443" s="15">
        <v>0</v>
      </c>
      <c r="I443" s="15">
        <f t="shared" si="134"/>
        <v>179767</v>
      </c>
      <c r="K443" s="103">
        <v>1.15E-2</v>
      </c>
      <c r="M443" s="15">
        <f>$I443*K443</f>
        <v>2067.3204999999998</v>
      </c>
      <c r="O443" s="31">
        <f>$T$160</f>
        <v>2.4500000000000001E-2</v>
      </c>
      <c r="Q443" s="15">
        <f>$I443*O443</f>
        <v>4404.2915000000003</v>
      </c>
      <c r="U443" s="138">
        <f>I443*K443-M443</f>
        <v>0</v>
      </c>
      <c r="V443" s="139">
        <f>I443*O443-Q443</f>
        <v>0</v>
      </c>
    </row>
    <row r="444" spans="1:22">
      <c r="A444" s="345" t="s">
        <v>32</v>
      </c>
      <c r="B444" s="340"/>
      <c r="C444" s="4">
        <v>16065</v>
      </c>
      <c r="E444" s="105">
        <v>-1.1299999999999999</v>
      </c>
      <c r="F444" s="20"/>
      <c r="G444" s="15">
        <f>ROUND(E444*$C444,0)</f>
        <v>-18153</v>
      </c>
      <c r="H444" s="15"/>
      <c r="I444" s="15">
        <f t="shared" si="134"/>
        <v>-18153</v>
      </c>
      <c r="K444" s="31"/>
      <c r="L444" s="100"/>
      <c r="M444" s="15"/>
      <c r="O444" s="31"/>
      <c r="P444" s="100"/>
      <c r="Q444" s="15"/>
      <c r="U444" s="138"/>
      <c r="V444" s="139"/>
    </row>
    <row r="445" spans="1:22">
      <c r="A445" s="345" t="s">
        <v>27</v>
      </c>
      <c r="B445" s="340"/>
      <c r="C445" s="4">
        <v>1044794</v>
      </c>
      <c r="E445" s="30">
        <v>5.0473999999999997</v>
      </c>
      <c r="F445" s="102" t="s">
        <v>11</v>
      </c>
      <c r="G445" s="15">
        <f t="shared" ref="G445:G447" si="135">ROUND(E445*$C445/100,0)</f>
        <v>52735</v>
      </c>
      <c r="H445" s="15">
        <v>0</v>
      </c>
      <c r="I445" s="15">
        <f t="shared" si="134"/>
        <v>52735</v>
      </c>
      <c r="K445" s="103">
        <v>1.15E-2</v>
      </c>
      <c r="M445" s="15">
        <f>$I445*K445</f>
        <v>606.45249999999999</v>
      </c>
      <c r="O445" s="31">
        <f>$T$160</f>
        <v>2.4500000000000001E-2</v>
      </c>
      <c r="Q445" s="15">
        <f>$I445*O445</f>
        <v>1292.0074999999999</v>
      </c>
      <c r="U445" s="138">
        <f>I445*K445-M445</f>
        <v>0</v>
      </c>
      <c r="V445" s="139">
        <f>I445*O445-Q445</f>
        <v>0</v>
      </c>
    </row>
    <row r="446" spans="1:22">
      <c r="A446" s="345" t="s">
        <v>52</v>
      </c>
      <c r="B446" s="340"/>
      <c r="C446" s="4">
        <v>3934668</v>
      </c>
      <c r="E446" s="30">
        <v>3.9510999999999998</v>
      </c>
      <c r="F446" s="102" t="s">
        <v>11</v>
      </c>
      <c r="G446" s="15">
        <f t="shared" si="135"/>
        <v>155463</v>
      </c>
      <c r="H446" s="15">
        <v>0</v>
      </c>
      <c r="I446" s="15">
        <f t="shared" si="134"/>
        <v>155463</v>
      </c>
      <c r="K446" s="103">
        <v>1.15E-2</v>
      </c>
      <c r="M446" s="15">
        <f>$I446*K446</f>
        <v>1787.8244999999999</v>
      </c>
      <c r="O446" s="31">
        <f>$T$160</f>
        <v>2.4500000000000001E-2</v>
      </c>
      <c r="Q446" s="15">
        <f>$I446*O446</f>
        <v>3808.8434999999999</v>
      </c>
      <c r="U446" s="138">
        <f>I446*K446-M446</f>
        <v>0</v>
      </c>
      <c r="V446" s="139">
        <f>I446*O446-Q446</f>
        <v>0</v>
      </c>
    </row>
    <row r="447" spans="1:22">
      <c r="A447" s="345" t="s">
        <v>90</v>
      </c>
      <c r="B447" s="340"/>
      <c r="C447" s="4">
        <v>5030284.6792951785</v>
      </c>
      <c r="E447" s="30">
        <v>3.4001999999999999</v>
      </c>
      <c r="F447" s="102" t="s">
        <v>11</v>
      </c>
      <c r="G447" s="15">
        <f t="shared" si="135"/>
        <v>171040</v>
      </c>
      <c r="H447" s="15">
        <v>0</v>
      </c>
      <c r="I447" s="15">
        <f t="shared" si="134"/>
        <v>171040</v>
      </c>
      <c r="K447" s="103">
        <v>1.15E-2</v>
      </c>
      <c r="M447" s="15">
        <f>$I447*K447</f>
        <v>1966.96</v>
      </c>
      <c r="O447" s="31">
        <f>$T$160</f>
        <v>2.4500000000000001E-2</v>
      </c>
      <c r="Q447" s="15">
        <f>$I447*O447</f>
        <v>4190.4800000000005</v>
      </c>
      <c r="U447" s="138">
        <f>I447*K447-M447</f>
        <v>0</v>
      </c>
      <c r="V447" s="139">
        <f>I447*O447-Q447</f>
        <v>0</v>
      </c>
    </row>
    <row r="448" spans="1:22">
      <c r="A448" s="344" t="s">
        <v>212</v>
      </c>
      <c r="B448" s="340"/>
      <c r="C448" s="4"/>
      <c r="E448" s="105"/>
      <c r="F448" s="20"/>
      <c r="G448" s="15"/>
      <c r="H448" s="15"/>
      <c r="I448" s="15"/>
      <c r="M448" s="15"/>
      <c r="Q448" s="15"/>
      <c r="U448" s="138"/>
      <c r="V448" s="139"/>
    </row>
    <row r="449" spans="1:26">
      <c r="A449" s="345" t="s">
        <v>87</v>
      </c>
      <c r="B449" s="340"/>
      <c r="C449" s="4">
        <v>103313</v>
      </c>
      <c r="E449" s="105">
        <v>2.2200000000000002</v>
      </c>
      <c r="F449" s="20"/>
      <c r="G449" s="15">
        <f>ROUND(E449*$C449,0)</f>
        <v>229355</v>
      </c>
      <c r="H449" s="15"/>
      <c r="I449" s="15">
        <f t="shared" ref="I449:I454" si="136">SUM(G449:H449)</f>
        <v>229355</v>
      </c>
      <c r="M449" s="15"/>
      <c r="Q449" s="15"/>
      <c r="U449" s="138"/>
      <c r="V449" s="139"/>
    </row>
    <row r="450" spans="1:26">
      <c r="A450" s="345" t="s">
        <v>88</v>
      </c>
      <c r="B450" s="340"/>
      <c r="C450" s="4">
        <v>49491</v>
      </c>
      <c r="E450" s="105">
        <v>13.96</v>
      </c>
      <c r="F450" s="20"/>
      <c r="G450" s="15">
        <f>ROUND(E450*$C450,0)</f>
        <v>690894</v>
      </c>
      <c r="H450" s="15">
        <v>0</v>
      </c>
      <c r="I450" s="15">
        <f t="shared" si="136"/>
        <v>690894</v>
      </c>
      <c r="K450" s="103">
        <v>1.3899999999999999E-2</v>
      </c>
      <c r="L450" s="109"/>
      <c r="M450" s="15">
        <f>$I450*K450</f>
        <v>9603.4265999999989</v>
      </c>
      <c r="O450" s="31">
        <f>$T$172</f>
        <v>2.9499999999999998E-2</v>
      </c>
      <c r="P450" s="109"/>
      <c r="Q450" s="15">
        <f>$I450*O450</f>
        <v>20381.373</v>
      </c>
      <c r="U450" s="138">
        <f>I450*K450-M450</f>
        <v>0</v>
      </c>
      <c r="V450" s="139">
        <f>I450*O450-Q450</f>
        <v>0</v>
      </c>
    </row>
    <row r="451" spans="1:26">
      <c r="A451" s="345" t="s">
        <v>89</v>
      </c>
      <c r="B451" s="340"/>
      <c r="C451" s="4">
        <v>50080</v>
      </c>
      <c r="E451" s="105">
        <v>9.4700000000000006</v>
      </c>
      <c r="F451" s="20"/>
      <c r="G451" s="15">
        <f>ROUND(E451*$C451,0)</f>
        <v>474258</v>
      </c>
      <c r="H451" s="15">
        <v>0</v>
      </c>
      <c r="I451" s="15">
        <f t="shared" si="136"/>
        <v>474258</v>
      </c>
      <c r="K451" s="103">
        <v>1.3899999999999999E-2</v>
      </c>
      <c r="M451" s="15">
        <f>$I451*K451</f>
        <v>6592.1861999999992</v>
      </c>
      <c r="O451" s="31">
        <f>$T$172</f>
        <v>2.9499999999999998E-2</v>
      </c>
      <c r="Q451" s="15">
        <f>$I451*O451</f>
        <v>13990.610999999999</v>
      </c>
      <c r="U451" s="138">
        <f>I451*K451-M451</f>
        <v>0</v>
      </c>
      <c r="V451" s="139">
        <f>I451*O451-Q451</f>
        <v>0</v>
      </c>
    </row>
    <row r="452" spans="1:26">
      <c r="A452" s="345" t="s">
        <v>92</v>
      </c>
      <c r="B452" s="340"/>
      <c r="C452" s="4">
        <v>7647176</v>
      </c>
      <c r="E452" s="119">
        <v>4.6531000000000002</v>
      </c>
      <c r="F452" s="102" t="s">
        <v>11</v>
      </c>
      <c r="G452" s="15">
        <f t="shared" ref="G452:G454" si="137">ROUND(E452*$C452/100,0)</f>
        <v>355831</v>
      </c>
      <c r="H452" s="15">
        <v>0</v>
      </c>
      <c r="I452" s="15">
        <f t="shared" si="136"/>
        <v>355831</v>
      </c>
      <c r="K452" s="103">
        <v>1.3899999999999999E-2</v>
      </c>
      <c r="M452" s="15">
        <f>$I452*K452</f>
        <v>4946.0508999999993</v>
      </c>
      <c r="O452" s="31">
        <f>$T$172</f>
        <v>2.9499999999999998E-2</v>
      </c>
      <c r="Q452" s="15">
        <f>$I452*O452</f>
        <v>10497.014499999999</v>
      </c>
      <c r="U452" s="138">
        <f>I452*K452-M452</f>
        <v>0</v>
      </c>
      <c r="V452" s="139">
        <f>I452*O452-Q452</f>
        <v>0</v>
      </c>
    </row>
    <row r="453" spans="1:26">
      <c r="A453" s="345" t="s">
        <v>93</v>
      </c>
      <c r="B453" s="340"/>
      <c r="C453" s="4">
        <v>10898121</v>
      </c>
      <c r="E453" s="119">
        <v>3.4988999999999999</v>
      </c>
      <c r="F453" s="102" t="s">
        <v>11</v>
      </c>
      <c r="G453" s="15">
        <f t="shared" si="137"/>
        <v>381314</v>
      </c>
      <c r="H453" s="15">
        <v>0</v>
      </c>
      <c r="I453" s="15">
        <f t="shared" si="136"/>
        <v>381314</v>
      </c>
      <c r="K453" s="103">
        <v>1.3899999999999999E-2</v>
      </c>
      <c r="L453" s="100"/>
      <c r="M453" s="15">
        <f>$I453*K453</f>
        <v>5300.2645999999995</v>
      </c>
      <c r="O453" s="31">
        <f>$T$172</f>
        <v>2.9499999999999998E-2</v>
      </c>
      <c r="P453" s="100"/>
      <c r="Q453" s="15">
        <f>$I453*O453</f>
        <v>11248.762999999999</v>
      </c>
      <c r="U453" s="138">
        <f>I453*K453-M453</f>
        <v>0</v>
      </c>
      <c r="V453" s="139">
        <f>I453*O453-Q453</f>
        <v>0</v>
      </c>
    </row>
    <row r="454" spans="1:26">
      <c r="A454" s="345" t="s">
        <v>90</v>
      </c>
      <c r="B454" s="340"/>
      <c r="C454" s="48">
        <v>27727401.345819965</v>
      </c>
      <c r="E454" s="362">
        <v>2.9224999999999999</v>
      </c>
      <c r="F454" s="102" t="s">
        <v>11</v>
      </c>
      <c r="G454" s="37">
        <f t="shared" si="137"/>
        <v>810333</v>
      </c>
      <c r="H454" s="37">
        <v>0</v>
      </c>
      <c r="I454" s="37">
        <f t="shared" si="136"/>
        <v>810333</v>
      </c>
      <c r="K454" s="103">
        <v>1.3899999999999999E-2</v>
      </c>
      <c r="L454" s="102"/>
      <c r="M454" s="37">
        <f>$I454*K454</f>
        <v>11263.628699999999</v>
      </c>
      <c r="O454" s="31">
        <f>$T$172</f>
        <v>2.9499999999999998E-2</v>
      </c>
      <c r="P454" s="102"/>
      <c r="Q454" s="37">
        <f>$I454*O454</f>
        <v>23904.823499999999</v>
      </c>
      <c r="U454" s="138">
        <f>I454*K454-M454</f>
        <v>0</v>
      </c>
      <c r="V454" s="139">
        <f>I454*O454-Q454</f>
        <v>0</v>
      </c>
    </row>
    <row r="455" spans="1:26">
      <c r="A455" s="345" t="s">
        <v>199</v>
      </c>
      <c r="B455" s="340"/>
      <c r="C455" s="16"/>
      <c r="E455" s="177"/>
      <c r="F455" s="102"/>
      <c r="G455" s="21">
        <f>SUM(G441:G454)</f>
        <v>3559306</v>
      </c>
      <c r="H455" s="21">
        <f>SUM(H441:H454)</f>
        <v>0</v>
      </c>
      <c r="I455" s="21">
        <f>SUM(I441:I454)</f>
        <v>3559306</v>
      </c>
      <c r="K455" s="126"/>
      <c r="M455" s="21">
        <f>SUM(M441:M454)</f>
        <v>44134.114499999996</v>
      </c>
      <c r="O455" s="126"/>
      <c r="Q455" s="21">
        <f>SUM(Q441:Q454)</f>
        <v>93718.20749999999</v>
      </c>
    </row>
    <row r="456" spans="1:26">
      <c r="A456" s="160" t="s">
        <v>83</v>
      </c>
      <c r="B456" s="340"/>
      <c r="C456" s="45">
        <v>0</v>
      </c>
      <c r="E456" s="30"/>
      <c r="F456" s="115"/>
      <c r="G456" s="24">
        <v>0</v>
      </c>
      <c r="H456" s="24"/>
      <c r="I456" s="24">
        <f>SUM(G456:H456)</f>
        <v>0</v>
      </c>
      <c r="K456" s="126"/>
      <c r="M456" s="24"/>
      <c r="O456" s="126"/>
      <c r="Q456" s="24"/>
    </row>
    <row r="457" spans="1:26" ht="16" thickBot="1">
      <c r="A457" s="345" t="s">
        <v>213</v>
      </c>
      <c r="B457" s="340"/>
      <c r="C457" s="29">
        <v>56282445.025115147</v>
      </c>
      <c r="E457" s="174"/>
      <c r="G457" s="28">
        <f>G438+G455+G456</f>
        <v>4575592</v>
      </c>
      <c r="H457" s="28">
        <f>H438+H455+H456</f>
        <v>0</v>
      </c>
      <c r="I457" s="28">
        <f>I438+I455+I456</f>
        <v>4575592</v>
      </c>
      <c r="K457" s="109"/>
      <c r="L457" s="109"/>
      <c r="M457" s="28">
        <f>M438+M455+M456</f>
        <v>44134.114499999996</v>
      </c>
      <c r="O457" s="109"/>
      <c r="P457" s="109"/>
      <c r="Q457" s="28">
        <f>Q438+Q455+Q456</f>
        <v>93718.20749999999</v>
      </c>
    </row>
    <row r="458" spans="1:26" ht="16" thickTop="1">
      <c r="G458" s="92"/>
      <c r="H458" s="92"/>
      <c r="I458" s="92"/>
      <c r="K458" s="109"/>
      <c r="L458" s="109"/>
      <c r="O458" s="109"/>
      <c r="P458" s="109"/>
    </row>
    <row r="459" spans="1:26">
      <c r="A459" s="344" t="s">
        <v>273</v>
      </c>
      <c r="B459" s="340"/>
      <c r="C459" s="4"/>
      <c r="G459" s="92"/>
      <c r="H459" s="92"/>
      <c r="I459" s="92"/>
      <c r="W459" s="333" t="s">
        <v>417</v>
      </c>
    </row>
    <row r="460" spans="1:26">
      <c r="A460" s="198" t="s">
        <v>447</v>
      </c>
      <c r="B460" s="340"/>
      <c r="C460" s="4">
        <v>12</v>
      </c>
      <c r="E460" s="30"/>
      <c r="F460" s="115"/>
      <c r="G460" s="51">
        <f>W460*$G$465/$W$465</f>
        <v>2455.1370887870371</v>
      </c>
      <c r="H460" s="51"/>
      <c r="I460" s="51">
        <f t="shared" ref="I460:I464" si="138">SUM(G460:H460)</f>
        <v>2455.1370887870371</v>
      </c>
      <c r="K460" s="31"/>
      <c r="L460" s="100"/>
      <c r="M460" s="51"/>
      <c r="O460" s="31"/>
      <c r="P460" s="100"/>
      <c r="Q460" s="51"/>
      <c r="U460" s="138"/>
      <c r="V460" s="139"/>
      <c r="W460" s="334">
        <v>2617.6799999999989</v>
      </c>
      <c r="Y460" s="439"/>
      <c r="Z460" s="439"/>
    </row>
    <row r="461" spans="1:26">
      <c r="A461" s="198" t="s">
        <v>7</v>
      </c>
      <c r="B461" s="340"/>
      <c r="C461" s="4"/>
      <c r="E461" s="30"/>
      <c r="F461" s="115"/>
      <c r="G461" s="14">
        <f>W461*$G$465/$W$465</f>
        <v>1757447.7693870724</v>
      </c>
      <c r="H461" s="14"/>
      <c r="I461" s="14">
        <f t="shared" si="138"/>
        <v>1757447.7693870724</v>
      </c>
      <c r="K461" s="31"/>
      <c r="L461" s="100"/>
      <c r="M461" s="51"/>
      <c r="O461" s="31"/>
      <c r="P461" s="100"/>
      <c r="Q461" s="51"/>
      <c r="S461" s="70" t="s">
        <v>14</v>
      </c>
      <c r="T461" s="17">
        <f>Q465</f>
        <v>531836.61629854003</v>
      </c>
      <c r="U461" s="138"/>
      <c r="V461" s="139"/>
      <c r="W461" s="334">
        <v>1873800</v>
      </c>
      <c r="Y461" s="439"/>
      <c r="Z461" s="439"/>
    </row>
    <row r="462" spans="1:26">
      <c r="A462" s="198" t="s">
        <v>214</v>
      </c>
      <c r="B462" s="340"/>
      <c r="C462" s="4">
        <v>949050</v>
      </c>
      <c r="E462" s="30"/>
      <c r="F462" s="115"/>
      <c r="G462" s="51">
        <f>W462*$G$465/$W$465</f>
        <v>9607156.0419391952</v>
      </c>
      <c r="H462" s="51">
        <v>0</v>
      </c>
      <c r="I462" s="51">
        <f t="shared" si="138"/>
        <v>9607156.0419391952</v>
      </c>
      <c r="K462" s="103">
        <v>9.4999999999999998E-3</v>
      </c>
      <c r="L462" s="102"/>
      <c r="M462" s="15">
        <f>$I462*K462</f>
        <v>91267.982398422348</v>
      </c>
      <c r="O462" s="31">
        <f>$T$464</f>
        <v>2.0299999999999999E-2</v>
      </c>
      <c r="P462" s="102"/>
      <c r="Q462" s="15">
        <f>$I462*O462</f>
        <v>195025.26765136566</v>
      </c>
      <c r="S462" s="71" t="s">
        <v>16</v>
      </c>
      <c r="T462" s="18">
        <f>'Exhibit-RMP(RMM-1) page 2'!K34*1000</f>
        <v>530614.56553070201</v>
      </c>
      <c r="U462" s="138">
        <f>I462*K462-M462</f>
        <v>0</v>
      </c>
      <c r="V462" s="139">
        <f>I462*O462-Q462</f>
        <v>0</v>
      </c>
      <c r="W462" s="334">
        <v>10243200.000000002</v>
      </c>
      <c r="Y462" s="439"/>
      <c r="Z462" s="439"/>
    </row>
    <row r="463" spans="1:26">
      <c r="A463" s="198" t="s">
        <v>215</v>
      </c>
      <c r="B463" s="340"/>
      <c r="C463" s="4">
        <v>237232647</v>
      </c>
      <c r="E463" s="132"/>
      <c r="F463" s="133"/>
      <c r="G463" s="51">
        <f>W463*$G$465/$W$465</f>
        <v>8613813.3233023118</v>
      </c>
      <c r="H463" s="51">
        <v>0</v>
      </c>
      <c r="I463" s="51">
        <f t="shared" si="138"/>
        <v>8613813.3233023118</v>
      </c>
      <c r="K463" s="103">
        <v>9.4999999999999998E-3</v>
      </c>
      <c r="L463" s="102"/>
      <c r="M463" s="51">
        <f>$I463*K463</f>
        <v>81831.226571371953</v>
      </c>
      <c r="O463" s="31">
        <f>$T$464</f>
        <v>2.0299999999999999E-2</v>
      </c>
      <c r="P463" s="102"/>
      <c r="Q463" s="51">
        <f>$I463*O463</f>
        <v>174860.41046303691</v>
      </c>
      <c r="S463" s="72" t="s">
        <v>18</v>
      </c>
      <c r="T463" s="19">
        <f>T462-T461</f>
        <v>-1222.0507678380236</v>
      </c>
      <c r="U463" s="138">
        <f>I463*K463-M463</f>
        <v>0</v>
      </c>
      <c r="V463" s="139">
        <f>I463*O463-Q463</f>
        <v>0</v>
      </c>
      <c r="W463" s="334">
        <v>9184092.8000000007</v>
      </c>
      <c r="Y463" s="439"/>
      <c r="Z463" s="439"/>
    </row>
    <row r="464" spans="1:26">
      <c r="A464" s="198" t="s">
        <v>216</v>
      </c>
      <c r="B464" s="340"/>
      <c r="C464" s="23">
        <v>298488523</v>
      </c>
      <c r="G464" s="24">
        <f>W464*$G$465/$W$465</f>
        <v>7977878.7282826342</v>
      </c>
      <c r="H464" s="24">
        <v>0</v>
      </c>
      <c r="I464" s="24">
        <f t="shared" si="138"/>
        <v>7977878.7282826342</v>
      </c>
      <c r="K464" s="103">
        <v>9.4999999999999998E-3</v>
      </c>
      <c r="L464" s="102"/>
      <c r="M464" s="24">
        <f>$I464*K464</f>
        <v>75789.847918685016</v>
      </c>
      <c r="O464" s="31">
        <f>$T$464</f>
        <v>2.0299999999999999E-2</v>
      </c>
      <c r="P464" s="102"/>
      <c r="Q464" s="24">
        <f>$I464*O464</f>
        <v>161950.93818413746</v>
      </c>
      <c r="S464" s="75" t="s">
        <v>21</v>
      </c>
      <c r="T464" s="76">
        <f>ROUND(T462/SUM(I462:I464),$T$12)</f>
        <v>2.0299999999999999E-2</v>
      </c>
      <c r="U464" s="138">
        <f>I464*K464-M464</f>
        <v>0</v>
      </c>
      <c r="V464" s="139">
        <f>I464*O464-Q464</f>
        <v>0</v>
      </c>
      <c r="W464" s="335">
        <v>8506056.0099999998</v>
      </c>
      <c r="Y464" s="439"/>
      <c r="Z464" s="439"/>
    </row>
    <row r="465" spans="1:26" ht="16" thickBot="1">
      <c r="A465" s="345" t="s">
        <v>25</v>
      </c>
      <c r="B465" s="340"/>
      <c r="C465" s="29">
        <v>535721170</v>
      </c>
      <c r="E465" s="114"/>
      <c r="F465" s="115"/>
      <c r="G465" s="28">
        <v>27958751</v>
      </c>
      <c r="H465" s="28">
        <f>SUM(H460:H464)</f>
        <v>0</v>
      </c>
      <c r="I465" s="28">
        <f>SUM(I460:I464)</f>
        <v>27958751</v>
      </c>
      <c r="K465" s="128"/>
      <c r="L465" s="124"/>
      <c r="M465" s="28">
        <f>SUM(M462:M464)</f>
        <v>248889.05688847933</v>
      </c>
      <c r="O465" s="128"/>
      <c r="P465" s="124"/>
      <c r="Q465" s="28">
        <f>SUM(Q462:Q464)</f>
        <v>531836.61629854003</v>
      </c>
      <c r="U465" s="138"/>
      <c r="V465" s="139"/>
      <c r="W465" s="336">
        <v>29809766.490000002</v>
      </c>
      <c r="Y465" s="439"/>
      <c r="Z465" s="439"/>
    </row>
    <row r="466" spans="1:26" ht="16" thickTop="1">
      <c r="A466" s="160"/>
      <c r="B466" s="340"/>
      <c r="C466" s="4"/>
      <c r="G466" s="15"/>
      <c r="H466" s="15"/>
      <c r="I466" s="15"/>
      <c r="K466" s="106"/>
      <c r="L466" s="115"/>
      <c r="M466" s="15"/>
      <c r="O466" s="106"/>
      <c r="P466" s="115"/>
      <c r="Q466" s="15"/>
    </row>
    <row r="467" spans="1:26">
      <c r="A467" s="363" t="s">
        <v>274</v>
      </c>
      <c r="B467" s="341"/>
      <c r="C467" s="4"/>
      <c r="E467" s="30"/>
      <c r="F467" s="115"/>
      <c r="G467" s="92"/>
      <c r="H467" s="92"/>
      <c r="I467" s="92"/>
      <c r="K467" s="106"/>
      <c r="L467" s="115"/>
      <c r="O467" s="106"/>
      <c r="P467" s="115"/>
      <c r="S467" s="70" t="s">
        <v>14</v>
      </c>
      <c r="T467" s="17">
        <f>Q470</f>
        <v>1090455.879</v>
      </c>
      <c r="U467" s="138"/>
      <c r="V467" s="139"/>
    </row>
    <row r="468" spans="1:26">
      <c r="A468" s="351" t="s">
        <v>7</v>
      </c>
      <c r="B468" s="341"/>
      <c r="C468" s="4">
        <v>12</v>
      </c>
      <c r="G468" s="92"/>
      <c r="H468" s="92"/>
      <c r="I468" s="92"/>
      <c r="K468" s="31"/>
      <c r="L468" s="100"/>
      <c r="O468" s="31"/>
      <c r="P468" s="100"/>
      <c r="S468" s="71" t="s">
        <v>16</v>
      </c>
      <c r="T468" s="18">
        <f>'Exhibit-RMP(RMM-1) page 2'!K35*1000</f>
        <v>1088703.3375673599</v>
      </c>
      <c r="U468" s="138"/>
      <c r="V468" s="139"/>
    </row>
    <row r="469" spans="1:26">
      <c r="A469" s="351" t="s">
        <v>309</v>
      </c>
      <c r="B469" s="341"/>
      <c r="C469" s="4">
        <v>795798675.78575754</v>
      </c>
      <c r="E469" s="134"/>
      <c r="F469" s="135"/>
      <c r="G469" s="37">
        <v>35062890</v>
      </c>
      <c r="H469" s="37">
        <v>0</v>
      </c>
      <c r="I469" s="37">
        <f>SUM(G469:H469)</f>
        <v>35062890</v>
      </c>
      <c r="K469" s="103">
        <v>1.46E-2</v>
      </c>
      <c r="L469" s="109"/>
      <c r="M469" s="15">
        <f>$I469*K469</f>
        <v>511918.19400000002</v>
      </c>
      <c r="O469" s="91">
        <f>T470</f>
        <v>3.1099999999999999E-2</v>
      </c>
      <c r="P469" s="109"/>
      <c r="Q469" s="15">
        <f>$I469*O469</f>
        <v>1090455.879</v>
      </c>
      <c r="S469" s="72" t="s">
        <v>18</v>
      </c>
      <c r="T469" s="19">
        <f>T468-T467</f>
        <v>-1752.5414326400496</v>
      </c>
      <c r="U469" s="138">
        <f>I469*K469-M469</f>
        <v>0</v>
      </c>
      <c r="V469" s="139">
        <f>I469*O469-Q469</f>
        <v>0</v>
      </c>
    </row>
    <row r="470" spans="1:26" ht="16" thickBot="1">
      <c r="A470" s="345" t="s">
        <v>25</v>
      </c>
      <c r="B470" s="341"/>
      <c r="C470" s="52">
        <v>795798675.78575754</v>
      </c>
      <c r="E470" s="136"/>
      <c r="F470" s="115"/>
      <c r="G470" s="26">
        <v>35062890</v>
      </c>
      <c r="H470" s="26">
        <f>H469</f>
        <v>0</v>
      </c>
      <c r="I470" s="26">
        <f>I469</f>
        <v>35062890</v>
      </c>
      <c r="K470" s="125"/>
      <c r="L470" s="102"/>
      <c r="M470" s="26">
        <f>M469</f>
        <v>511918.19400000002</v>
      </c>
      <c r="O470" s="125"/>
      <c r="P470" s="102"/>
      <c r="Q470" s="26">
        <f>Q469</f>
        <v>1090455.879</v>
      </c>
      <c r="S470" s="75" t="s">
        <v>21</v>
      </c>
      <c r="T470" s="76">
        <f>ROUND(T468/I469,$T$12)</f>
        <v>3.1099999999999999E-2</v>
      </c>
      <c r="U470" s="138"/>
      <c r="V470" s="139"/>
    </row>
    <row r="471" spans="1:26" ht="16" thickTop="1">
      <c r="A471" s="200"/>
      <c r="B471" s="167"/>
      <c r="C471" s="16"/>
      <c r="E471" s="109"/>
      <c r="F471" s="109"/>
      <c r="G471" s="21"/>
      <c r="H471" s="21"/>
      <c r="I471" s="21"/>
      <c r="K471" s="125"/>
      <c r="L471" s="102"/>
      <c r="M471" s="21"/>
      <c r="O471" s="125"/>
      <c r="P471" s="102"/>
      <c r="Q471" s="21"/>
      <c r="T471" s="209"/>
    </row>
    <row r="472" spans="1:26">
      <c r="A472" s="344" t="s">
        <v>275</v>
      </c>
      <c r="B472" s="340"/>
      <c r="C472" s="4"/>
      <c r="E472" s="30"/>
      <c r="F472" s="115"/>
      <c r="G472" s="92"/>
      <c r="H472" s="92"/>
      <c r="I472" s="92"/>
      <c r="K472" s="125"/>
      <c r="L472" s="124"/>
      <c r="O472" s="125"/>
      <c r="P472" s="124"/>
    </row>
    <row r="473" spans="1:26">
      <c r="A473" s="345" t="s">
        <v>7</v>
      </c>
      <c r="B473" s="340"/>
      <c r="C473" s="4">
        <v>12</v>
      </c>
      <c r="E473" s="14"/>
      <c r="F473" s="115"/>
      <c r="G473" s="15">
        <v>8136</v>
      </c>
      <c r="H473" s="15"/>
      <c r="I473" s="15">
        <f>SUM(G473:H473)</f>
        <v>8136</v>
      </c>
      <c r="K473" s="121"/>
      <c r="L473" s="115"/>
      <c r="M473" s="15"/>
      <c r="O473" s="121"/>
      <c r="P473" s="115"/>
      <c r="Q473" s="15"/>
    </row>
    <row r="474" spans="1:26">
      <c r="A474" s="345" t="s">
        <v>310</v>
      </c>
      <c r="B474" s="340"/>
      <c r="C474" s="4">
        <v>422498</v>
      </c>
      <c r="E474" s="14"/>
      <c r="F474" s="115"/>
      <c r="G474" s="15">
        <v>921045</v>
      </c>
      <c r="H474" s="15"/>
      <c r="I474" s="15">
        <f>SUM(G474:H474)</f>
        <v>921045</v>
      </c>
      <c r="K474" s="126"/>
      <c r="M474" s="15"/>
      <c r="O474" s="126"/>
      <c r="Q474" s="15"/>
    </row>
    <row r="475" spans="1:26">
      <c r="A475" s="345" t="s">
        <v>217</v>
      </c>
      <c r="B475" s="340"/>
      <c r="C475" s="4"/>
      <c r="E475" s="105"/>
      <c r="F475" s="137"/>
      <c r="G475" s="51"/>
      <c r="H475" s="51"/>
      <c r="I475" s="51"/>
      <c r="K475" s="126"/>
      <c r="M475" s="15"/>
      <c r="O475" s="126"/>
      <c r="Q475" s="15"/>
    </row>
    <row r="476" spans="1:26">
      <c r="A476" s="345" t="s">
        <v>205</v>
      </c>
      <c r="B476" s="340"/>
      <c r="C476" s="4">
        <v>3435490</v>
      </c>
      <c r="E476" s="129"/>
      <c r="F476" s="130"/>
      <c r="G476" s="15"/>
      <c r="H476" s="15"/>
      <c r="I476" s="15"/>
      <c r="K476" s="126"/>
      <c r="M476" s="15"/>
      <c r="O476" s="126"/>
      <c r="Q476" s="15"/>
    </row>
    <row r="477" spans="1:26">
      <c r="A477" s="345" t="s">
        <v>433</v>
      </c>
      <c r="B477" s="340"/>
      <c r="C477" s="4">
        <v>3253488</v>
      </c>
      <c r="E477" s="129"/>
      <c r="F477" s="130"/>
      <c r="G477" s="15">
        <v>1673920</v>
      </c>
      <c r="H477" s="15"/>
      <c r="I477" s="15">
        <f t="shared" ref="I477:I478" si="139">SUM(G477:H477)</f>
        <v>1673920</v>
      </c>
      <c r="K477" s="126"/>
      <c r="M477" s="15"/>
      <c r="O477" s="126"/>
      <c r="Q477" s="15"/>
    </row>
    <row r="478" spans="1:26">
      <c r="A478" s="345" t="s">
        <v>434</v>
      </c>
      <c r="B478" s="340"/>
      <c r="C478" s="4">
        <v>182002</v>
      </c>
      <c r="E478" s="129"/>
      <c r="F478" s="130"/>
      <c r="G478" s="15">
        <v>93640</v>
      </c>
      <c r="H478" s="15"/>
      <c r="I478" s="15">
        <f t="shared" si="139"/>
        <v>93640</v>
      </c>
      <c r="K478" s="126"/>
      <c r="M478" s="15"/>
      <c r="O478" s="126"/>
      <c r="Q478" s="15"/>
    </row>
    <row r="479" spans="1:26">
      <c r="A479" s="345" t="s">
        <v>206</v>
      </c>
      <c r="B479" s="340"/>
      <c r="C479" s="4">
        <v>0</v>
      </c>
      <c r="E479" s="129"/>
      <c r="F479" s="130"/>
      <c r="G479" s="15"/>
      <c r="H479" s="15"/>
      <c r="I479" s="15"/>
      <c r="K479" s="126"/>
      <c r="M479" s="15"/>
      <c r="O479" s="126"/>
      <c r="Q479" s="15"/>
    </row>
    <row r="480" spans="1:26">
      <c r="A480" s="345" t="s">
        <v>433</v>
      </c>
      <c r="B480" s="340"/>
      <c r="C480" s="4"/>
      <c r="E480" s="129"/>
      <c r="F480" s="130"/>
      <c r="G480" s="15">
        <v>0</v>
      </c>
      <c r="H480" s="15"/>
      <c r="I480" s="15">
        <f t="shared" ref="I480:I481" si="140">SUM(G480:H480)</f>
        <v>0</v>
      </c>
      <c r="K480" s="126"/>
      <c r="M480" s="15"/>
      <c r="O480" s="126"/>
      <c r="Q480" s="15"/>
    </row>
    <row r="481" spans="1:22">
      <c r="A481" s="345" t="s">
        <v>434</v>
      </c>
      <c r="B481" s="340"/>
      <c r="C481" s="4"/>
      <c r="E481" s="129"/>
      <c r="F481" s="130"/>
      <c r="G481" s="15">
        <v>0</v>
      </c>
      <c r="H481" s="15"/>
      <c r="I481" s="15">
        <f t="shared" si="140"/>
        <v>0</v>
      </c>
      <c r="K481" s="109"/>
      <c r="L481" s="109"/>
      <c r="M481" s="51"/>
      <c r="O481" s="109"/>
      <c r="P481" s="109"/>
      <c r="Q481" s="51"/>
    </row>
    <row r="482" spans="1:22">
      <c r="A482" s="345" t="s">
        <v>218</v>
      </c>
      <c r="B482" s="340"/>
      <c r="C482" s="4">
        <v>0</v>
      </c>
      <c r="E482" s="129"/>
      <c r="F482" s="130"/>
      <c r="G482" s="15"/>
      <c r="H482" s="15"/>
      <c r="I482" s="15"/>
      <c r="M482" s="15"/>
      <c r="Q482" s="15"/>
    </row>
    <row r="483" spans="1:22">
      <c r="A483" s="345" t="s">
        <v>433</v>
      </c>
      <c r="B483" s="340"/>
      <c r="C483" s="4"/>
      <c r="E483" s="129"/>
      <c r="F483" s="130"/>
      <c r="G483" s="15">
        <v>0</v>
      </c>
      <c r="H483" s="15"/>
      <c r="I483" s="15">
        <f t="shared" ref="I483:I484" si="141">SUM(G483:H483)</f>
        <v>0</v>
      </c>
      <c r="M483" s="15"/>
      <c r="Q483" s="15"/>
    </row>
    <row r="484" spans="1:22">
      <c r="A484" s="345" t="s">
        <v>434</v>
      </c>
      <c r="B484" s="340"/>
      <c r="C484" s="4"/>
      <c r="E484" s="129"/>
      <c r="F484" s="130"/>
      <c r="G484" s="15">
        <v>0</v>
      </c>
      <c r="H484" s="15"/>
      <c r="I484" s="15">
        <f t="shared" si="141"/>
        <v>0</v>
      </c>
      <c r="K484" s="31"/>
      <c r="L484" s="100"/>
      <c r="M484" s="15"/>
      <c r="O484" s="31"/>
      <c r="P484" s="100"/>
      <c r="Q484" s="15"/>
    </row>
    <row r="485" spans="1:22">
      <c r="A485" s="345" t="s">
        <v>219</v>
      </c>
      <c r="B485" s="340"/>
      <c r="C485" s="4"/>
      <c r="E485" s="118"/>
      <c r="F485" s="137"/>
      <c r="G485" s="51"/>
      <c r="H485" s="51"/>
      <c r="I485" s="51"/>
      <c r="K485" s="31"/>
      <c r="L485" s="100"/>
      <c r="M485" s="51"/>
      <c r="O485" s="31"/>
      <c r="P485" s="100"/>
      <c r="Q485" s="51"/>
    </row>
    <row r="486" spans="1:22">
      <c r="A486" s="345" t="s">
        <v>220</v>
      </c>
      <c r="B486" s="340"/>
      <c r="C486" s="4">
        <v>24807</v>
      </c>
      <c r="E486" s="105"/>
      <c r="F486" s="20"/>
      <c r="G486" s="15">
        <v>346306</v>
      </c>
      <c r="H486" s="15">
        <v>0</v>
      </c>
      <c r="I486" s="15">
        <f t="shared" ref="I486:I487" si="142">SUM(G486:H486)</f>
        <v>346306</v>
      </c>
      <c r="K486" s="103"/>
      <c r="L486" s="100"/>
      <c r="M486" s="15">
        <f>$I486*K486</f>
        <v>0</v>
      </c>
      <c r="O486" s="31"/>
      <c r="P486" s="100"/>
      <c r="Q486" s="15">
        <f>$I486*O486</f>
        <v>0</v>
      </c>
      <c r="U486" s="138">
        <f>I486*K486-M486</f>
        <v>0</v>
      </c>
      <c r="V486" s="139">
        <f>I486*O486-Q486</f>
        <v>0</v>
      </c>
    </row>
    <row r="487" spans="1:22">
      <c r="A487" s="345" t="s">
        <v>221</v>
      </c>
      <c r="B487" s="340"/>
      <c r="C487" s="4">
        <v>765402</v>
      </c>
      <c r="E487" s="105"/>
      <c r="F487" s="20"/>
      <c r="G487" s="15">
        <v>7248357</v>
      </c>
      <c r="H487" s="15">
        <v>0</v>
      </c>
      <c r="I487" s="15">
        <f t="shared" si="142"/>
        <v>7248357</v>
      </c>
      <c r="K487" s="103"/>
      <c r="L487" s="100"/>
      <c r="M487" s="15">
        <f>$I487*K487</f>
        <v>0</v>
      </c>
      <c r="O487" s="31"/>
      <c r="P487" s="100"/>
      <c r="Q487" s="15">
        <f>$I487*O487</f>
        <v>0</v>
      </c>
      <c r="U487" s="138">
        <f>I487*K487-M487</f>
        <v>0</v>
      </c>
      <c r="V487" s="139">
        <f>I487*O487-Q487</f>
        <v>0</v>
      </c>
    </row>
    <row r="488" spans="1:22">
      <c r="A488" s="345" t="s">
        <v>222</v>
      </c>
      <c r="B488" s="340"/>
      <c r="C488" s="16"/>
      <c r="E488" s="137"/>
      <c r="F488" s="137"/>
      <c r="G488" s="21"/>
      <c r="H488" s="21"/>
      <c r="I488" s="21"/>
      <c r="K488" s="31"/>
      <c r="L488" s="100"/>
      <c r="M488" s="21"/>
      <c r="O488" s="31"/>
      <c r="P488" s="100"/>
      <c r="Q488" s="21"/>
      <c r="U488" s="138"/>
      <c r="V488" s="139"/>
    </row>
    <row r="489" spans="1:22">
      <c r="A489" s="345" t="s">
        <v>223</v>
      </c>
      <c r="B489" s="340"/>
      <c r="C489" s="4">
        <v>22796861</v>
      </c>
      <c r="E489" s="119"/>
      <c r="F489" s="102" t="s">
        <v>11</v>
      </c>
      <c r="G489" s="15">
        <v>1060761</v>
      </c>
      <c r="H489" s="15">
        <v>0</v>
      </c>
      <c r="I489" s="15">
        <f t="shared" ref="I489:I491" si="143">SUM(G489:H489)</f>
        <v>1060761</v>
      </c>
      <c r="K489" s="103"/>
      <c r="L489" s="100"/>
      <c r="M489" s="15">
        <f>$I489*K489</f>
        <v>0</v>
      </c>
      <c r="O489" s="31"/>
      <c r="P489" s="100"/>
      <c r="Q489" s="15">
        <f>$I489*O489</f>
        <v>0</v>
      </c>
      <c r="U489" s="138">
        <f>I489*K489-M489</f>
        <v>0</v>
      </c>
      <c r="V489" s="139">
        <f>I489*O489-Q489</f>
        <v>0</v>
      </c>
    </row>
    <row r="490" spans="1:22">
      <c r="A490" s="345" t="s">
        <v>224</v>
      </c>
      <c r="B490" s="340"/>
      <c r="C490" s="4">
        <v>204228863</v>
      </c>
      <c r="E490" s="119"/>
      <c r="F490" s="102" t="s">
        <v>11</v>
      </c>
      <c r="G490" s="15">
        <v>7145764</v>
      </c>
      <c r="H490" s="15">
        <v>0</v>
      </c>
      <c r="I490" s="15">
        <f t="shared" si="143"/>
        <v>7145764</v>
      </c>
      <c r="K490" s="103"/>
      <c r="L490" s="100"/>
      <c r="M490" s="15">
        <f>$I490*K490</f>
        <v>0</v>
      </c>
      <c r="O490" s="31"/>
      <c r="P490" s="100"/>
      <c r="Q490" s="15">
        <f>$I490*O490</f>
        <v>0</v>
      </c>
      <c r="U490" s="138">
        <f>I490*K490-M490</f>
        <v>0</v>
      </c>
      <c r="V490" s="139">
        <f>I490*O490-Q490</f>
        <v>0</v>
      </c>
    </row>
    <row r="491" spans="1:22">
      <c r="A491" s="345" t="s">
        <v>225</v>
      </c>
      <c r="B491" s="340"/>
      <c r="C491" s="48">
        <v>394783609.25</v>
      </c>
      <c r="E491" s="362"/>
      <c r="F491" s="102" t="s">
        <v>11</v>
      </c>
      <c r="G491" s="37">
        <v>11537551</v>
      </c>
      <c r="H491" s="37">
        <v>0</v>
      </c>
      <c r="I491" s="37">
        <f t="shared" si="143"/>
        <v>11537551</v>
      </c>
      <c r="K491" s="103"/>
      <c r="L491" s="100"/>
      <c r="M491" s="37">
        <f>$I491*K491</f>
        <v>0</v>
      </c>
      <c r="O491" s="31"/>
      <c r="P491" s="100"/>
      <c r="Q491" s="37">
        <f>$I491*O491</f>
        <v>0</v>
      </c>
      <c r="U491" s="138">
        <f>I491*K491-M491</f>
        <v>0</v>
      </c>
      <c r="V491" s="139">
        <f>I491*O491-Q491</f>
        <v>0</v>
      </c>
    </row>
    <row r="492" spans="1:22" ht="16" thickBot="1">
      <c r="A492" s="345" t="s">
        <v>226</v>
      </c>
      <c r="B492" s="340"/>
      <c r="C492" s="29">
        <v>621809333.25</v>
      </c>
      <c r="E492" s="114"/>
      <c r="F492" s="115"/>
      <c r="G492" s="28">
        <v>30035480</v>
      </c>
      <c r="H492" s="28">
        <f>SUM(H473:H491)</f>
        <v>0</v>
      </c>
      <c r="I492" s="28">
        <f>SUM(I473:I491)</f>
        <v>30035480</v>
      </c>
      <c r="K492" s="31"/>
      <c r="L492" s="100"/>
      <c r="M492" s="28">
        <f>SUM(M473:M491)</f>
        <v>0</v>
      </c>
      <c r="O492" s="31"/>
      <c r="P492" s="100"/>
      <c r="Q492" s="28">
        <f>SUM(Q473:Q491)</f>
        <v>0</v>
      </c>
    </row>
    <row r="493" spans="1:22" ht="16" thickTop="1">
      <c r="C493" s="4"/>
      <c r="E493" s="30"/>
      <c r="F493" s="115"/>
      <c r="G493" s="92"/>
      <c r="H493" s="92"/>
      <c r="I493" s="92"/>
    </row>
    <row r="494" spans="1:22">
      <c r="A494" s="344" t="s">
        <v>435</v>
      </c>
      <c r="B494" s="340"/>
      <c r="C494" s="4"/>
      <c r="G494" s="92"/>
      <c r="H494" s="92"/>
      <c r="I494" s="92"/>
      <c r="K494" s="126"/>
      <c r="M494" s="438"/>
      <c r="O494" s="126"/>
      <c r="Q494" s="438"/>
    </row>
    <row r="495" spans="1:22">
      <c r="A495" s="345" t="s">
        <v>227</v>
      </c>
      <c r="B495" s="340"/>
      <c r="C495" s="4">
        <v>60</v>
      </c>
      <c r="E495" s="14">
        <v>2.1800000000000002</v>
      </c>
      <c r="F495" s="100"/>
      <c r="G495" s="15">
        <v>131</v>
      </c>
      <c r="H495" s="15"/>
      <c r="I495" s="15">
        <f t="shared" ref="I495:I496" si="144">SUM(G495:H495)</f>
        <v>131</v>
      </c>
      <c r="K495" s="108"/>
      <c r="L495" s="109"/>
      <c r="M495" s="15"/>
      <c r="O495" s="108"/>
      <c r="P495" s="109"/>
      <c r="Q495" s="15"/>
    </row>
    <row r="496" spans="1:22">
      <c r="A496" s="345" t="s">
        <v>228</v>
      </c>
      <c r="B496" s="340"/>
      <c r="C496" s="16">
        <v>207</v>
      </c>
      <c r="E496" s="131">
        <v>2.1858</v>
      </c>
      <c r="F496" s="102"/>
      <c r="G496" s="21">
        <v>452</v>
      </c>
      <c r="H496" s="21"/>
      <c r="I496" s="21">
        <f t="shared" si="144"/>
        <v>452</v>
      </c>
      <c r="K496" s="108"/>
      <c r="L496" s="109"/>
      <c r="M496" s="15"/>
      <c r="O496" s="108"/>
      <c r="P496" s="109"/>
      <c r="Q496" s="15"/>
    </row>
    <row r="497" spans="1:19">
      <c r="A497" s="345" t="s">
        <v>151</v>
      </c>
      <c r="B497" s="340"/>
      <c r="C497" s="48">
        <v>267</v>
      </c>
      <c r="E497" s="362"/>
      <c r="F497" s="102"/>
      <c r="G497" s="37">
        <v>583</v>
      </c>
      <c r="H497" s="37">
        <f>SUM(H495:H496)</f>
        <v>0</v>
      </c>
      <c r="I497" s="37">
        <f>SUM(I495:I496)</f>
        <v>583</v>
      </c>
      <c r="K497" s="108"/>
      <c r="L497" s="109"/>
      <c r="M497" s="15"/>
      <c r="O497" s="108"/>
      <c r="P497" s="109"/>
      <c r="Q497" s="15"/>
    </row>
    <row r="498" spans="1:19">
      <c r="A498" s="345" t="s">
        <v>229</v>
      </c>
      <c r="B498" s="340"/>
      <c r="C498" s="47">
        <v>7736.6128294616919</v>
      </c>
      <c r="E498" s="167"/>
      <c r="G498" s="438"/>
      <c r="H498" s="438"/>
      <c r="I498" s="438"/>
      <c r="M498" s="15"/>
      <c r="Q498" s="15"/>
    </row>
    <row r="499" spans="1:19">
      <c r="A499" s="345" t="s">
        <v>84</v>
      </c>
      <c r="B499" s="340"/>
      <c r="C499" s="47">
        <v>5</v>
      </c>
      <c r="E499" s="167"/>
      <c r="G499" s="438"/>
      <c r="H499" s="438"/>
      <c r="I499" s="438"/>
      <c r="K499" s="106"/>
      <c r="L499" s="115"/>
      <c r="M499" s="15"/>
      <c r="O499" s="106"/>
      <c r="P499" s="115"/>
      <c r="Q499" s="15"/>
    </row>
    <row r="500" spans="1:19">
      <c r="A500" s="345" t="s">
        <v>83</v>
      </c>
      <c r="B500" s="340"/>
      <c r="C500" s="47">
        <v>0</v>
      </c>
      <c r="E500" s="167"/>
      <c r="G500" s="21"/>
      <c r="H500" s="21"/>
      <c r="I500" s="21"/>
      <c r="M500" s="24"/>
      <c r="Q500" s="24"/>
    </row>
    <row r="501" spans="1:19" ht="16" thickBot="1">
      <c r="A501" s="345" t="s">
        <v>152</v>
      </c>
      <c r="B501" s="340"/>
      <c r="C501" s="43">
        <v>7736.6128294616919</v>
      </c>
      <c r="E501" s="46"/>
      <c r="F501" s="122"/>
      <c r="G501" s="437">
        <v>583</v>
      </c>
      <c r="H501" s="437">
        <f>H497</f>
        <v>0</v>
      </c>
      <c r="I501" s="437">
        <f>I497</f>
        <v>583</v>
      </c>
      <c r="K501" s="31"/>
      <c r="L501" s="100"/>
      <c r="M501" s="28">
        <f>SUM(M495:M500)</f>
        <v>0</v>
      </c>
      <c r="O501" s="31"/>
      <c r="P501" s="100"/>
      <c r="Q501" s="28">
        <f>SUM(Q495:Q500)</f>
        <v>0</v>
      </c>
    </row>
    <row r="502" spans="1:19" ht="16" thickTop="1">
      <c r="A502" s="200"/>
      <c r="B502" s="167"/>
      <c r="C502" s="16"/>
      <c r="E502" s="115"/>
      <c r="F502" s="115"/>
      <c r="G502" s="21"/>
      <c r="H502" s="21"/>
      <c r="I502" s="21"/>
      <c r="K502" s="31"/>
      <c r="L502" s="100"/>
      <c r="M502" s="21"/>
      <c r="O502" s="31"/>
      <c r="P502" s="100"/>
      <c r="Q502" s="21"/>
    </row>
    <row r="503" spans="1:19">
      <c r="A503" s="363" t="s">
        <v>230</v>
      </c>
      <c r="B503" s="341"/>
      <c r="E503" s="30"/>
      <c r="F503" s="115"/>
      <c r="G503" s="92"/>
      <c r="H503" s="92"/>
      <c r="I503" s="92"/>
      <c r="K503" s="106"/>
      <c r="L503" s="131"/>
      <c r="O503" s="106"/>
      <c r="P503" s="131"/>
    </row>
    <row r="504" spans="1:19">
      <c r="A504" s="351" t="s">
        <v>231</v>
      </c>
      <c r="B504" s="341"/>
      <c r="C504" s="53"/>
      <c r="E504" s="30"/>
      <c r="F504" s="115"/>
      <c r="G504" s="15">
        <v>33040.269999999997</v>
      </c>
      <c r="H504" s="15"/>
      <c r="I504" s="15">
        <f t="shared" ref="I504:I509" si="145">SUM(G504:H504)</f>
        <v>33040.269999999997</v>
      </c>
      <c r="K504" s="31"/>
      <c r="L504" s="100"/>
      <c r="M504" s="15"/>
      <c r="O504" s="31"/>
      <c r="P504" s="100"/>
      <c r="Q504" s="15"/>
    </row>
    <row r="505" spans="1:19">
      <c r="A505" s="351" t="s">
        <v>232</v>
      </c>
      <c r="B505" s="341"/>
      <c r="C505" s="53"/>
      <c r="E505" s="30"/>
      <c r="F505" s="115"/>
      <c r="G505" s="15">
        <v>2726577.8500000006</v>
      </c>
      <c r="H505" s="15"/>
      <c r="I505" s="15">
        <f t="shared" si="145"/>
        <v>2726577.8500000006</v>
      </c>
      <c r="M505" s="15"/>
      <c r="Q505" s="15"/>
    </row>
    <row r="506" spans="1:19">
      <c r="A506" s="351" t="s">
        <v>233</v>
      </c>
      <c r="B506" s="341"/>
      <c r="C506" s="53"/>
      <c r="E506" s="30"/>
      <c r="F506" s="115"/>
      <c r="G506" s="15">
        <v>-5447.4699999999866</v>
      </c>
      <c r="H506" s="15"/>
      <c r="I506" s="15">
        <f t="shared" si="145"/>
        <v>-5447.4699999999866</v>
      </c>
      <c r="K506" s="31"/>
      <c r="L506" s="100"/>
      <c r="M506" s="15"/>
      <c r="O506" s="31"/>
      <c r="P506" s="100"/>
      <c r="Q506" s="15"/>
    </row>
    <row r="507" spans="1:19">
      <c r="A507" s="351" t="s">
        <v>234</v>
      </c>
      <c r="B507" s="341"/>
      <c r="C507" s="53"/>
      <c r="E507" s="30"/>
      <c r="F507" s="115"/>
      <c r="G507" s="15">
        <v>206563.33000000002</v>
      </c>
      <c r="H507" s="15"/>
      <c r="I507" s="15">
        <f t="shared" si="145"/>
        <v>206563.33000000002</v>
      </c>
      <c r="K507" s="31"/>
      <c r="L507" s="100"/>
      <c r="M507" s="15"/>
      <c r="O507" s="31"/>
      <c r="P507" s="100"/>
      <c r="Q507" s="15"/>
    </row>
    <row r="508" spans="1:19">
      <c r="A508" s="351" t="s">
        <v>235</v>
      </c>
      <c r="B508" s="341"/>
      <c r="C508" s="53"/>
      <c r="E508" s="30"/>
      <c r="F508" s="115"/>
      <c r="G508" s="15">
        <v>4661.6400000000003</v>
      </c>
      <c r="H508" s="15"/>
      <c r="I508" s="15">
        <f t="shared" si="145"/>
        <v>4661.6400000000003</v>
      </c>
      <c r="K508" s="106"/>
      <c r="L508" s="20"/>
      <c r="M508" s="15"/>
      <c r="O508" s="106"/>
      <c r="P508" s="20"/>
      <c r="Q508" s="15"/>
    </row>
    <row r="509" spans="1:19">
      <c r="A509" s="351" t="s">
        <v>236</v>
      </c>
      <c r="B509" s="341"/>
      <c r="C509" s="53"/>
      <c r="E509" s="30"/>
      <c r="F509" s="115"/>
      <c r="G509" s="15">
        <v>0</v>
      </c>
      <c r="H509" s="15"/>
      <c r="I509" s="15">
        <f t="shared" si="145"/>
        <v>0</v>
      </c>
      <c r="K509" s="31"/>
      <c r="L509" s="130"/>
      <c r="M509" s="15"/>
      <c r="O509" s="31"/>
      <c r="P509" s="130"/>
      <c r="Q509" s="15"/>
    </row>
    <row r="510" spans="1:19" ht="16" thickBot="1">
      <c r="A510" s="351" t="s">
        <v>237</v>
      </c>
      <c r="B510" s="341"/>
      <c r="C510" s="54"/>
      <c r="E510" s="136"/>
      <c r="F510" s="115"/>
      <c r="G510" s="26">
        <v>2965395.6200000006</v>
      </c>
      <c r="H510" s="26">
        <f>SUM(H504:H509)</f>
        <v>0</v>
      </c>
      <c r="I510" s="26">
        <f>SUM(I504:I509)</f>
        <v>2965395.6200000006</v>
      </c>
      <c r="K510" s="106"/>
      <c r="L510" s="131"/>
      <c r="M510" s="26">
        <f>SUM(M504:M509)</f>
        <v>0</v>
      </c>
      <c r="O510" s="106"/>
      <c r="P510" s="131"/>
      <c r="Q510" s="26">
        <f>SUM(Q504:Q509)</f>
        <v>0</v>
      </c>
    </row>
    <row r="511" spans="1:19" ht="16" thickTop="1">
      <c r="A511" s="364"/>
      <c r="B511" s="341"/>
      <c r="E511" s="30"/>
      <c r="F511" s="115"/>
      <c r="G511" s="15"/>
      <c r="H511" s="15"/>
      <c r="I511" s="15"/>
      <c r="K511" s="31"/>
      <c r="L511" s="100"/>
      <c r="M511" s="15"/>
      <c r="O511" s="31"/>
      <c r="P511" s="100"/>
      <c r="Q511" s="15"/>
    </row>
    <row r="512" spans="1:19" ht="16" thickBot="1">
      <c r="A512" s="365" t="s">
        <v>238</v>
      </c>
      <c r="B512" s="366"/>
      <c r="C512" s="54">
        <v>23244284921.518604</v>
      </c>
      <c r="E512" s="173"/>
      <c r="G512" s="26">
        <f>G29+G49+G71+G86+G101+G113+G153+G165+G176+G184+G200+G216+G268+G351+G360+G366+G383+G396+G457+G465+G470+G492+G501+G510</f>
        <v>1938306488.6199999</v>
      </c>
      <c r="H512" s="26">
        <f>H29+H49+H71+H86+H101+H113+H153+H165+H176+H184+H200+H216+H268+H351+H360+H366+H383+H396+H457+H465+H470+H492+H501+H510</f>
        <v>-4191522.78</v>
      </c>
      <c r="I512" s="26">
        <f>I29+I49+I71+I86+I101+I113+I153+I165+I176+I184+I200+I216+I268+I351+I360+I366+I383+I396+I457+I465+I470+I492+I501+I510</f>
        <v>1934114965.8399999</v>
      </c>
      <c r="K512" s="106"/>
      <c r="L512" s="115"/>
      <c r="M512" s="26">
        <f>M29+M49+M71+M86+M101+M113+M153+M165+M176+M184+M200+M216+M268+M351+M360+M366+M383+M396+M457+M465+M470+M492+M501+M510</f>
        <v>17327437.48873448</v>
      </c>
      <c r="O512" s="106"/>
      <c r="P512" s="115"/>
      <c r="Q512" s="26">
        <f>Q29+Q49+Q71+Q86+Q101+Q113+Q153+Q165+Q176+Q184+Q200+Q216+Q268+Q351+Q360+Q366+Q383+Q396+Q457+Q465+Q470+Q492+Q501+Q510</f>
        <v>36819375.625517547</v>
      </c>
      <c r="S512" s="326">
        <f>Q512/I512-1</f>
        <v>-0.98096319180823532</v>
      </c>
    </row>
    <row r="513" spans="1:17" ht="16" thickTop="1">
      <c r="A513" s="159"/>
      <c r="B513" s="159"/>
      <c r="C513" s="159"/>
      <c r="D513" s="159"/>
      <c r="E513" s="159"/>
      <c r="F513" s="159"/>
      <c r="G513" s="159"/>
      <c r="H513" s="159"/>
      <c r="I513" s="159"/>
      <c r="J513" s="159"/>
      <c r="K513" s="126"/>
      <c r="M513" s="167"/>
      <c r="O513" s="126"/>
    </row>
    <row r="514" spans="1:17">
      <c r="A514" s="159"/>
      <c r="B514" s="159"/>
      <c r="C514" s="159"/>
      <c r="D514" s="159"/>
      <c r="E514" s="159"/>
      <c r="F514" s="159"/>
      <c r="G514" s="159"/>
      <c r="H514" s="159"/>
      <c r="I514" s="159"/>
      <c r="J514" s="159"/>
      <c r="Q514" s="325"/>
    </row>
  </sheetData>
  <printOptions horizontalCentered="1"/>
  <pageMargins left="1" right="0.5" top="1" bottom="0.5" header="0.25" footer="0.25"/>
  <pageSetup scale="52" fitToHeight="88" orientation="portrait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G28"/>
  <sheetViews>
    <sheetView zoomScale="80" zoomScaleNormal="80" workbookViewId="0">
      <selection activeCell="E5" sqref="E5"/>
    </sheetView>
  </sheetViews>
  <sheetFormatPr defaultColWidth="9" defaultRowHeight="15.5"/>
  <cols>
    <col min="1" max="1" width="12.58203125" style="168" customWidth="1"/>
    <col min="2" max="2" width="1.58203125" style="168" customWidth="1"/>
    <col min="3" max="3" width="12.58203125" style="91" customWidth="1"/>
    <col min="4" max="4" width="1.58203125" style="163" customWidth="1"/>
    <col min="5" max="5" width="12.58203125" style="163" customWidth="1"/>
    <col min="6" max="16384" width="9" style="163"/>
  </cols>
  <sheetData>
    <row r="1" spans="1:7" ht="17.5">
      <c r="A1" s="165" t="s">
        <v>482</v>
      </c>
      <c r="B1" s="196"/>
      <c r="C1" s="460"/>
      <c r="D1" s="461"/>
      <c r="E1" s="461"/>
    </row>
    <row r="2" spans="1:7">
      <c r="C2" s="462"/>
    </row>
    <row r="3" spans="1:7">
      <c r="C3" s="96" t="s">
        <v>483</v>
      </c>
      <c r="D3" s="463"/>
      <c r="E3" s="463"/>
    </row>
    <row r="4" spans="1:7">
      <c r="A4" s="464" t="s">
        <v>484</v>
      </c>
      <c r="C4" s="470" t="s">
        <v>378</v>
      </c>
      <c r="D4" s="465"/>
      <c r="E4" s="471" t="s">
        <v>379</v>
      </c>
    </row>
    <row r="5" spans="1:7">
      <c r="A5" s="466">
        <v>1</v>
      </c>
      <c r="C5" s="488">
        <f>'Exhibit-RMP(RMM-2)'!K16</f>
        <v>8.0000000000000002E-3</v>
      </c>
      <c r="D5" s="488"/>
      <c r="E5" s="488">
        <f>'Exhibit-RMP(RMM-2)'!O16</f>
        <v>1.7000000000000001E-2</v>
      </c>
      <c r="G5" s="488"/>
    </row>
    <row r="6" spans="1:7">
      <c r="A6" s="466">
        <v>2</v>
      </c>
      <c r="C6" s="488">
        <f>$C$5</f>
        <v>8.0000000000000002E-3</v>
      </c>
      <c r="D6" s="488"/>
      <c r="E6" s="488">
        <f>$E$5</f>
        <v>1.7000000000000001E-2</v>
      </c>
      <c r="G6" s="488"/>
    </row>
    <row r="7" spans="1:7">
      <c r="A7" s="466" t="s">
        <v>487</v>
      </c>
      <c r="C7" s="488">
        <f t="shared" ref="C7:C8" si="0">$C$5</f>
        <v>8.0000000000000002E-3</v>
      </c>
      <c r="D7" s="488"/>
      <c r="E7" s="488">
        <f t="shared" ref="E7:E8" si="1">$E$5</f>
        <v>1.7000000000000001E-2</v>
      </c>
      <c r="G7" s="488"/>
    </row>
    <row r="8" spans="1:7">
      <c r="A8" s="466">
        <v>3</v>
      </c>
      <c r="C8" s="488">
        <f t="shared" si="0"/>
        <v>8.0000000000000002E-3</v>
      </c>
      <c r="D8" s="488"/>
      <c r="E8" s="488">
        <f t="shared" si="1"/>
        <v>1.7000000000000001E-2</v>
      </c>
      <c r="G8" s="488"/>
    </row>
    <row r="9" spans="1:7">
      <c r="A9" s="466">
        <v>6</v>
      </c>
      <c r="C9" s="488">
        <f>'Exhibit-RMP(RMM-2)'!K79</f>
        <v>1.06E-2</v>
      </c>
      <c r="D9" s="488"/>
      <c r="E9" s="488">
        <f>'Exhibit-RMP(RMM-2)'!O79</f>
        <v>2.2499999999999999E-2</v>
      </c>
      <c r="G9" s="488"/>
    </row>
    <row r="10" spans="1:7">
      <c r="A10" s="466" t="s">
        <v>257</v>
      </c>
      <c r="C10" s="488">
        <f>'Exhibit-RMP(RMM-2)'!K108</f>
        <v>1.61E-2</v>
      </c>
      <c r="D10" s="488"/>
      <c r="E10" s="488">
        <f>'Exhibit-RMP(RMM-2)'!O108</f>
        <v>3.4200000000000001E-2</v>
      </c>
      <c r="G10" s="488"/>
    </row>
    <row r="11" spans="1:7">
      <c r="A11" s="466" t="s">
        <v>259</v>
      </c>
      <c r="C11" s="488">
        <f>'Exhibit-RMP(RMM-2)'!K94</f>
        <v>1.06E-2</v>
      </c>
      <c r="D11" s="488"/>
      <c r="E11" s="488">
        <f>'Exhibit-RMP(RMM-2)'!O94</f>
        <v>2.2499999999999999E-2</v>
      </c>
      <c r="G11" s="488"/>
    </row>
    <row r="12" spans="1:7">
      <c r="A12" s="466">
        <v>7</v>
      </c>
      <c r="C12" s="488">
        <f>'Exhibit-RMP(RMM-2)'!K117</f>
        <v>5.0000000000000001E-3</v>
      </c>
      <c r="D12" s="488"/>
      <c r="E12" s="488">
        <f>'Exhibit-RMP(RMM-2)'!O117</f>
        <v>1.06E-2</v>
      </c>
      <c r="G12" s="488"/>
    </row>
    <row r="13" spans="1:7">
      <c r="A13" s="466">
        <v>8</v>
      </c>
      <c r="C13" s="488">
        <f>'Exhibit-RMP(RMM-2)'!K158</f>
        <v>1.15E-2</v>
      </c>
      <c r="D13" s="488"/>
      <c r="E13" s="488">
        <f>'Exhibit-RMP(RMM-2)'!O158</f>
        <v>2.4500000000000001E-2</v>
      </c>
      <c r="G13" s="488"/>
    </row>
    <row r="14" spans="1:7">
      <c r="A14" s="466">
        <v>9</v>
      </c>
      <c r="C14" s="488">
        <f>'Exhibit-RMP(RMM-2)'!K170</f>
        <v>1.3899999999999999E-2</v>
      </c>
      <c r="D14" s="488"/>
      <c r="E14" s="488">
        <f>'Exhibit-RMP(RMM-2)'!O170</f>
        <v>2.9499999999999998E-2</v>
      </c>
      <c r="G14" s="488"/>
    </row>
    <row r="15" spans="1:7">
      <c r="A15" s="466" t="s">
        <v>264</v>
      </c>
      <c r="C15" s="488">
        <f>'Exhibit-RMP(RMM-2)'!K181</f>
        <v>1.54E-2</v>
      </c>
      <c r="D15" s="488"/>
      <c r="E15" s="488">
        <f>'Exhibit-RMP(RMM-2)'!O181</f>
        <v>3.27E-2</v>
      </c>
      <c r="G15" s="488"/>
    </row>
    <row r="16" spans="1:7">
      <c r="A16" s="467">
        <v>10</v>
      </c>
      <c r="C16" s="488">
        <f>'Exhibit-RMP(RMM-2)'!K190</f>
        <v>1.0200000000000001E-2</v>
      </c>
      <c r="D16" s="488"/>
      <c r="E16" s="488">
        <f>'Exhibit-RMP(RMM-2)'!O190</f>
        <v>2.18E-2</v>
      </c>
      <c r="G16" s="488"/>
    </row>
    <row r="17" spans="1:7">
      <c r="A17" s="467">
        <v>11</v>
      </c>
      <c r="B17" s="167"/>
      <c r="C17" s="488">
        <f>'Exhibit-RMP(RMM-2)'!K220</f>
        <v>5.0000000000000001E-3</v>
      </c>
      <c r="D17" s="488"/>
      <c r="E17" s="488">
        <f>'Exhibit-RMP(RMM-2)'!O220</f>
        <v>1.06E-2</v>
      </c>
      <c r="G17" s="488"/>
    </row>
    <row r="18" spans="1:7">
      <c r="A18" s="467">
        <v>12</v>
      </c>
      <c r="B18" s="167"/>
      <c r="C18" s="488">
        <f>'Exhibit-RMP(RMM-2)'!K273</f>
        <v>5.0000000000000001E-3</v>
      </c>
      <c r="D18" s="488"/>
      <c r="E18" s="488">
        <f>'Exhibit-RMP(RMM-2)'!O273</f>
        <v>1.06E-2</v>
      </c>
      <c r="G18" s="488"/>
    </row>
    <row r="19" spans="1:7">
      <c r="A19" s="467" t="s">
        <v>485</v>
      </c>
      <c r="B19" s="167"/>
      <c r="C19" s="488">
        <f>'Exhibit-RMP(RMM-2)'!K358</f>
        <v>1.34E-2</v>
      </c>
      <c r="D19" s="488"/>
      <c r="E19" s="488">
        <f>'Exhibit-RMP(RMM-2)'!O358</f>
        <v>2.8400000000000002E-2</v>
      </c>
      <c r="G19" s="488"/>
    </row>
    <row r="20" spans="1:7">
      <c r="A20" s="467" t="s">
        <v>486</v>
      </c>
      <c r="B20" s="167"/>
      <c r="C20" s="488">
        <f>'Exhibit-RMP(RMM-2)'!K364</f>
        <v>8.9999999999999993E-3</v>
      </c>
      <c r="D20" s="488"/>
      <c r="E20" s="488">
        <f>'Exhibit-RMP(RMM-2)'!O364</f>
        <v>1.9199999999999998E-2</v>
      </c>
      <c r="G20" s="488"/>
    </row>
    <row r="21" spans="1:7">
      <c r="A21" s="466">
        <v>21</v>
      </c>
      <c r="C21" s="488">
        <f>'Exhibit-RMP(RMM-2)'!K372</f>
        <v>2.8000000000000001E-2</v>
      </c>
      <c r="D21" s="488"/>
      <c r="E21" s="488">
        <f>'Exhibit-RMP(RMM-2)'!O372</f>
        <v>5.96E-2</v>
      </c>
      <c r="G21" s="488"/>
    </row>
    <row r="22" spans="1:7">
      <c r="A22" s="466">
        <v>22</v>
      </c>
      <c r="C22" s="488">
        <f>C14</f>
        <v>1.3899999999999999E-2</v>
      </c>
      <c r="D22" s="488"/>
      <c r="E22" s="488">
        <f>E14</f>
        <v>2.9499999999999998E-2</v>
      </c>
      <c r="G22" s="488"/>
    </row>
    <row r="23" spans="1:7" s="469" customFormat="1">
      <c r="A23" s="466">
        <v>23</v>
      </c>
      <c r="B23" s="168"/>
      <c r="C23" s="488">
        <f>'Exhibit-RMP(RMM-2)'!K387</f>
        <v>8.6E-3</v>
      </c>
      <c r="D23" s="488"/>
      <c r="E23" s="488">
        <f>'Exhibit-RMP(RMM-2)'!O387</f>
        <v>1.83E-2</v>
      </c>
      <c r="G23" s="488"/>
    </row>
    <row r="24" spans="1:7">
      <c r="A24" s="466">
        <v>31</v>
      </c>
      <c r="C24" s="488" t="s">
        <v>496</v>
      </c>
      <c r="D24" s="488"/>
      <c r="E24" s="488" t="s">
        <v>496</v>
      </c>
    </row>
    <row r="25" spans="1:7" ht="16" thickBot="1">
      <c r="A25" s="468">
        <v>32</v>
      </c>
      <c r="B25" s="173"/>
      <c r="C25" s="489" t="s">
        <v>496</v>
      </c>
      <c r="D25" s="489"/>
      <c r="E25" s="489" t="s">
        <v>496</v>
      </c>
    </row>
    <row r="26" spans="1:7" ht="16" thickTop="1">
      <c r="C26" s="168"/>
      <c r="E26" s="168"/>
    </row>
    <row r="27" spans="1:7">
      <c r="A27" s="198" t="s">
        <v>497</v>
      </c>
    </row>
    <row r="28" spans="1:7">
      <c r="A28" s="168" t="s">
        <v>498</v>
      </c>
    </row>
  </sheetData>
  <printOptions horizontalCentered="1"/>
  <pageMargins left="0.5" right="0.5" top="1" bottom="1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E8"/>
  <sheetViews>
    <sheetView zoomScaleNormal="100" zoomScaleSheetLayoutView="100" workbookViewId="0">
      <selection activeCell="I20" sqref="I20"/>
    </sheetView>
  </sheetViews>
  <sheetFormatPr defaultColWidth="8.58203125" defaultRowHeight="12.5"/>
  <cols>
    <col min="1" max="1" width="21.4140625" style="449" bestFit="1" customWidth="1"/>
    <col min="2" max="2" width="10.08203125" style="449" bestFit="1" customWidth="1"/>
    <col min="3" max="3" width="9.08203125" style="449" bestFit="1" customWidth="1"/>
    <col min="4" max="4" width="8.4140625" style="449" bestFit="1" customWidth="1"/>
    <col min="5" max="5" width="13.4140625" style="449" bestFit="1" customWidth="1"/>
    <col min="6" max="6" width="9.5" style="449" customWidth="1"/>
    <col min="7" max="16384" width="8.58203125" style="449"/>
  </cols>
  <sheetData>
    <row r="1" spans="1:5">
      <c r="A1" s="448" t="s">
        <v>468</v>
      </c>
      <c r="B1" s="448" t="s">
        <v>469</v>
      </c>
      <c r="C1" s="448" t="s">
        <v>470</v>
      </c>
      <c r="D1" s="448" t="s">
        <v>471</v>
      </c>
      <c r="E1" s="448" t="s">
        <v>472</v>
      </c>
    </row>
    <row r="2" spans="1:5">
      <c r="A2" s="450" t="s">
        <v>473</v>
      </c>
      <c r="B2" s="451">
        <v>2843</v>
      </c>
      <c r="C2" s="451">
        <v>16379966</v>
      </c>
      <c r="D2" s="451">
        <v>1917011.13</v>
      </c>
      <c r="E2" s="452">
        <v>11.7033889447634</v>
      </c>
    </row>
    <row r="3" spans="1:5">
      <c r="A3" s="450" t="s">
        <v>474</v>
      </c>
      <c r="B3" s="451">
        <v>37</v>
      </c>
      <c r="C3" s="451">
        <v>149452</v>
      </c>
      <c r="D3" s="451">
        <v>17490.96</v>
      </c>
      <c r="E3" s="452">
        <v>11.703396408211299</v>
      </c>
    </row>
    <row r="4" spans="1:5">
      <c r="A4" s="450" t="s">
        <v>475</v>
      </c>
      <c r="B4" s="451">
        <v>15</v>
      </c>
      <c r="C4" s="451">
        <v>2551040</v>
      </c>
      <c r="D4" s="451">
        <v>181761.6</v>
      </c>
      <c r="E4" s="452">
        <v>7.125</v>
      </c>
    </row>
    <row r="5" spans="1:5">
      <c r="A5" s="450" t="s">
        <v>476</v>
      </c>
      <c r="B5" s="451">
        <v>331</v>
      </c>
      <c r="C5" s="451">
        <v>1984893</v>
      </c>
      <c r="D5" s="451">
        <v>200880.69</v>
      </c>
      <c r="E5" s="452">
        <v>10.120479542222199</v>
      </c>
    </row>
    <row r="6" spans="1:5">
      <c r="A6" s="450" t="s">
        <v>477</v>
      </c>
      <c r="B6" s="451">
        <v>345</v>
      </c>
      <c r="C6" s="451">
        <v>26245706</v>
      </c>
      <c r="D6" s="451">
        <v>1870006.56</v>
      </c>
      <c r="E6" s="452">
        <v>7.1250000285760997</v>
      </c>
    </row>
    <row r="7" spans="1:5">
      <c r="A7" s="453" t="s">
        <v>478</v>
      </c>
      <c r="B7" s="454">
        <v>16</v>
      </c>
      <c r="C7" s="454">
        <v>43200</v>
      </c>
      <c r="D7" s="454">
        <v>4371.84</v>
      </c>
      <c r="E7" s="455">
        <v>10.119999999999999</v>
      </c>
    </row>
    <row r="8" spans="1:5">
      <c r="B8" s="456">
        <f>SUM(B2:B7)</f>
        <v>3587</v>
      </c>
      <c r="C8" s="456">
        <f t="shared" ref="C8:D8" si="0">SUM(C2:C7)</f>
        <v>47354257</v>
      </c>
      <c r="D8" s="456">
        <f t="shared" si="0"/>
        <v>4191522.78</v>
      </c>
    </row>
  </sheetData>
  <printOptions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AB58"/>
  <sheetViews>
    <sheetView view="pageBreakPreview" zoomScaleNormal="100" zoomScaleSheetLayoutView="100" workbookViewId="0">
      <selection activeCell="C10" sqref="C10"/>
    </sheetView>
  </sheetViews>
  <sheetFormatPr defaultColWidth="8" defaultRowHeight="13"/>
  <cols>
    <col min="1" max="1" width="7" style="225" customWidth="1"/>
    <col min="2" max="2" width="1.58203125" style="219" customWidth="1"/>
    <col min="3" max="3" width="7.9140625" style="226" bestFit="1" customWidth="1"/>
    <col min="4" max="4" width="1.5" style="219" customWidth="1"/>
    <col min="5" max="5" width="9" style="226" bestFit="1" customWidth="1"/>
    <col min="6" max="6" width="1.4140625" style="219" customWidth="1"/>
    <col min="7" max="7" width="8" style="233" bestFit="1" customWidth="1"/>
    <col min="8" max="8" width="1.4140625" style="219" customWidth="1"/>
    <col min="9" max="9" width="6.08203125" style="219" bestFit="1" customWidth="1"/>
    <col min="10" max="10" width="2.08203125" style="219" customWidth="1"/>
    <col min="11" max="11" width="7.9140625" style="226" bestFit="1" customWidth="1"/>
    <col min="12" max="12" width="0.9140625" style="219" customWidth="1"/>
    <col min="13" max="13" width="9" style="226" bestFit="1" customWidth="1"/>
    <col min="14" max="14" width="1.9140625" style="219" customWidth="1"/>
    <col min="15" max="15" width="7.4140625" style="233" bestFit="1" customWidth="1"/>
    <col min="16" max="16" width="0.58203125" style="219" customWidth="1"/>
    <col min="17" max="17" width="6.08203125" style="219" bestFit="1" customWidth="1"/>
    <col min="18" max="18" width="3.08203125" style="219" customWidth="1"/>
    <col min="19" max="19" width="15.4140625" style="219" bestFit="1" customWidth="1"/>
    <col min="20" max="20" width="6.08203125" style="219" bestFit="1" customWidth="1"/>
    <col min="21" max="21" width="7.08203125" style="219" bestFit="1" customWidth="1"/>
    <col min="22" max="22" width="3.58203125" style="219" customWidth="1"/>
    <col min="23" max="23" width="6.08203125" style="219" bestFit="1" customWidth="1"/>
    <col min="24" max="24" width="3.9140625" style="219" bestFit="1" customWidth="1"/>
    <col min="25" max="25" width="5.58203125" style="219" bestFit="1" customWidth="1"/>
    <col min="26" max="26" width="7" style="219" bestFit="1" customWidth="1"/>
    <col min="27" max="27" width="4.5" style="219" bestFit="1" customWidth="1"/>
    <col min="28" max="28" width="5.08203125" style="219" bestFit="1" customWidth="1"/>
    <col min="29" max="16384" width="8" style="219"/>
  </cols>
  <sheetData>
    <row r="1" spans="1:28" ht="16.5">
      <c r="A1" s="211" t="s">
        <v>239</v>
      </c>
      <c r="B1" s="212"/>
      <c r="C1" s="213"/>
      <c r="D1" s="212"/>
      <c r="E1" s="213"/>
      <c r="F1" s="212"/>
      <c r="G1" s="214"/>
      <c r="H1" s="212"/>
      <c r="I1" s="212"/>
      <c r="J1" s="212"/>
      <c r="K1" s="213"/>
      <c r="L1" s="212"/>
      <c r="M1" s="213"/>
      <c r="N1" s="212"/>
      <c r="O1" s="214"/>
      <c r="P1" s="212"/>
      <c r="Q1" s="215"/>
      <c r="R1" s="216"/>
      <c r="S1" s="216"/>
      <c r="T1" s="217"/>
      <c r="U1" s="218"/>
    </row>
    <row r="2" spans="1:28" ht="16.5">
      <c r="A2" s="211" t="s">
        <v>371</v>
      </c>
      <c r="B2" s="212"/>
      <c r="C2" s="213"/>
      <c r="D2" s="212"/>
      <c r="E2" s="213"/>
      <c r="F2" s="212"/>
      <c r="G2" s="214"/>
      <c r="H2" s="212"/>
      <c r="I2" s="212"/>
      <c r="J2" s="212"/>
      <c r="K2" s="213"/>
      <c r="L2" s="212"/>
      <c r="M2" s="213"/>
      <c r="N2" s="212"/>
      <c r="O2" s="214"/>
      <c r="P2" s="212"/>
      <c r="Q2" s="215"/>
      <c r="R2" s="216"/>
      <c r="S2" s="216"/>
      <c r="T2" s="217"/>
      <c r="U2" s="220"/>
    </row>
    <row r="3" spans="1:28" ht="16.5">
      <c r="A3" s="211" t="s">
        <v>372</v>
      </c>
      <c r="B3" s="212"/>
      <c r="C3" s="213"/>
      <c r="D3" s="212"/>
      <c r="E3" s="213"/>
      <c r="F3" s="212"/>
      <c r="G3" s="214"/>
      <c r="H3" s="212"/>
      <c r="I3" s="212"/>
      <c r="J3" s="212"/>
      <c r="K3" s="213"/>
      <c r="L3" s="212"/>
      <c r="M3" s="213"/>
      <c r="N3" s="212"/>
      <c r="O3" s="214"/>
      <c r="P3" s="212"/>
      <c r="Q3" s="215"/>
      <c r="R3" s="216"/>
      <c r="S3" s="216"/>
      <c r="T3" s="217"/>
      <c r="U3" s="218"/>
    </row>
    <row r="4" spans="1:28" ht="16.5">
      <c r="A4" s="211" t="s">
        <v>373</v>
      </c>
      <c r="B4" s="212"/>
      <c r="C4" s="213"/>
      <c r="D4" s="212"/>
      <c r="E4" s="213"/>
      <c r="F4" s="212"/>
      <c r="G4" s="214"/>
      <c r="H4" s="212"/>
      <c r="I4" s="212"/>
      <c r="J4" s="212"/>
      <c r="K4" s="213"/>
      <c r="L4" s="212"/>
      <c r="M4" s="213"/>
      <c r="N4" s="212"/>
      <c r="O4" s="214"/>
      <c r="P4" s="212"/>
      <c r="Q4" s="215"/>
      <c r="R4" s="216"/>
      <c r="S4" s="216"/>
      <c r="T4" s="221"/>
      <c r="U4" s="222"/>
    </row>
    <row r="5" spans="1:28" ht="16.5">
      <c r="A5" s="211"/>
      <c r="B5" s="212"/>
      <c r="C5" s="213"/>
      <c r="D5" s="212"/>
      <c r="E5" s="213"/>
      <c r="F5" s="212"/>
      <c r="G5" s="214"/>
      <c r="H5" s="212"/>
      <c r="I5" s="212"/>
      <c r="J5" s="212"/>
      <c r="K5" s="213"/>
      <c r="L5" s="212"/>
      <c r="M5" s="213"/>
      <c r="N5" s="212"/>
      <c r="O5" s="214"/>
      <c r="P5" s="212"/>
      <c r="Q5" s="215"/>
    </row>
    <row r="6" spans="1:28">
      <c r="G6" s="511"/>
      <c r="H6" s="511"/>
      <c r="I6" s="511"/>
      <c r="K6" s="227"/>
      <c r="L6" s="215"/>
      <c r="M6" s="227"/>
      <c r="O6" s="511"/>
      <c r="P6" s="511"/>
      <c r="Q6" s="511"/>
    </row>
    <row r="7" spans="1:28">
      <c r="C7" s="228" t="s">
        <v>374</v>
      </c>
      <c r="D7" s="229"/>
      <c r="E7" s="230"/>
      <c r="F7" s="231"/>
      <c r="G7" s="232"/>
      <c r="H7" s="231"/>
      <c r="I7" s="231"/>
      <c r="K7" s="228" t="s">
        <v>375</v>
      </c>
      <c r="L7" s="229"/>
      <c r="M7" s="230"/>
      <c r="N7" s="231"/>
      <c r="O7" s="232"/>
      <c r="P7" s="231"/>
      <c r="Q7" s="231"/>
      <c r="W7" s="212"/>
      <c r="X7" s="212"/>
    </row>
    <row r="8" spans="1:28" ht="15.5">
      <c r="C8" s="230" t="s">
        <v>376</v>
      </c>
      <c r="D8" s="231"/>
      <c r="E8" s="230"/>
      <c r="G8" s="230" t="s">
        <v>243</v>
      </c>
      <c r="H8" s="231"/>
      <c r="I8" s="230"/>
      <c r="K8" s="230" t="s">
        <v>376</v>
      </c>
      <c r="L8" s="231"/>
      <c r="M8" s="230"/>
      <c r="O8" s="230" t="s">
        <v>243</v>
      </c>
      <c r="P8" s="231"/>
      <c r="Q8" s="230"/>
      <c r="T8" s="233"/>
      <c r="U8" s="233"/>
      <c r="W8" s="212"/>
      <c r="X8" s="212"/>
    </row>
    <row r="9" spans="1:28">
      <c r="A9" s="234" t="s">
        <v>377</v>
      </c>
      <c r="C9" s="235" t="s">
        <v>378</v>
      </c>
      <c r="E9" s="236" t="s">
        <v>379</v>
      </c>
      <c r="G9" s="237" t="s">
        <v>380</v>
      </c>
      <c r="I9" s="238" t="s">
        <v>287</v>
      </c>
      <c r="K9" s="235" t="s">
        <v>378</v>
      </c>
      <c r="M9" s="236" t="s">
        <v>379</v>
      </c>
      <c r="O9" s="237" t="s">
        <v>380</v>
      </c>
      <c r="Q9" s="238" t="s">
        <v>287</v>
      </c>
      <c r="W9" s="239"/>
      <c r="X9" s="239"/>
    </row>
    <row r="10" spans="1:28">
      <c r="A10" s="225">
        <v>100</v>
      </c>
      <c r="C10" s="226">
        <f t="shared" ref="C10:C16" si="0">ROUND($T$12+((MIN(400,$A10)*$T$13+MAX(0,MIN(600,$A10-400))*$T$14+MAX(0,$A10-1000)*$T$15)/100+MAX(0,$T$16-($T$12+(MIN(400,$A10)*$T$13+MAX(0,MIN(600,$A10-400))*$T$14+MAX(0,$A10-1000)*$T$15)/100)))*(1+$T$32)*(1+$T$18)+$T$17+((MIN(400,$A10)*$T$13+MAX(0,MIN(600,$A10-400))*$T$14+MAX(0,$A10-1000)*$T$15)/100+MAX(0,$T$16-($T$12+(MIN(400,$A10)*$T$13+MAX(0,MIN(600,$A10-400))*$T$14+MAX(0,$A10-1000)*$T$15)/100)))*$T$27,2)</f>
        <v>15.12</v>
      </c>
      <c r="E10" s="226">
        <f t="shared" ref="E10:E16" si="1">ROUND($U$12+((MIN(400,$A10)*$U$13+MAX(0,MIN(600,$A10-400))*$U$14+MAX(0,$A10-1000)*$U$15)/100+MAX(0,$U$16-($U$12+(MIN(400,$A10)*$U$13+MAX(0,MIN(600,$A10-400))*$U$14+MAX(0,$A10-1000)*$U$15)/100)))*(1+$U$32)*(1+$U$18)+$U$17+((MIN(400,$A10)*$U$13+MAX(0,MIN(600,$A10-400))*$U$14+MAX(0,$A10-1000)*$U$15)/100+MAX(0,$U$16-($U$12+(MIN(400,$A10)*$U$13+MAX(0,MIN(600,$A10-400))*$U$14+MAX(0,$A10-1000)*$U$15)/100)))*$U$27,2)</f>
        <v>15.2</v>
      </c>
      <c r="F10" s="226"/>
      <c r="G10" s="240">
        <f t="shared" ref="G10:G16" si="2">E10-C10</f>
        <v>8.0000000000000071E-2</v>
      </c>
      <c r="I10" s="241">
        <f t="shared" ref="I10:I16" si="3">ROUND(IF(C10=0,0,E10/C10-1),3)</f>
        <v>5.0000000000000001E-3</v>
      </c>
      <c r="K10" s="226">
        <f t="shared" ref="K10:K18" si="4">ROUND($T$20+((MIN(400,$A10)*$T$21+MAX(0,MIN(600,$A10-400))*$T$22+MAX(0,$A10-1000)*$T$23)/100+MAX(0,$T$24-($T$20+(MIN(400,$A10)*$T$21+MAX(0,MIN(600,$A10-400))*$T$22+MAX(0,$A10-1000)*$T$23)/100)))*(1+$T$32)*(1+$T$26)+$T$25+((MIN(400,$A10)*$T$21+MAX(0,MIN(600,$A10-400))*$T$22+MAX(0,$A10-1000)*$T$23)/100+MAX(0,$T$24-($T$20+(MIN(400,$A10)*$T$21+MAX(0,MIN(600,$A10-400))*$T$22+MAX(0,$A10-1000)*$T$23)/100)))*$T$27,2)</f>
        <v>15.12</v>
      </c>
      <c r="M10" s="226">
        <f t="shared" ref="M10:M18" si="5">ROUND($U$20+((MIN(400,$A10)*$U$21+MAX(0,MIN(600,$A10-400))*$U$22+MAX(0,$A10-1000)*$U$23)/100+MAX(0,$U$24-($U$20+(MIN(400,$A10)*$U$21+MAX(0,MIN(600,$A10-400))*$U$22+MAX(0,$A10-1000)*$U$23)/100)))*(1+$U$32)*(1+$U$26)+$U$25+((MIN(400,$A10)*$U$21+MAX(0,MIN(600,$A10-400))*$U$22+MAX(0,$A10-1000)*$U$23)/100+MAX(0,$U$24-($U$20+(MIN(400,$A10)*$U$21+MAX(0,MIN(600,$A10-400))*$U$22+MAX(0,$A10-1000)*$U$23)/100)))*$U$27,2)</f>
        <v>15.2</v>
      </c>
      <c r="N10" s="226"/>
      <c r="O10" s="240">
        <f t="shared" ref="O10:O18" si="6">M10-K10</f>
        <v>8.0000000000000071E-2</v>
      </c>
      <c r="Q10" s="241">
        <f t="shared" ref="Q10:Q18" si="7">ROUND(IF(K10=0,0,M10/K10-1),3)</f>
        <v>5.0000000000000001E-3</v>
      </c>
      <c r="S10" s="242" t="s">
        <v>336</v>
      </c>
      <c r="T10" s="243" t="s">
        <v>378</v>
      </c>
      <c r="U10" s="244" t="s">
        <v>379</v>
      </c>
      <c r="X10" s="257" t="s">
        <v>392</v>
      </c>
      <c r="Y10" s="258"/>
      <c r="Z10" s="258"/>
      <c r="AA10" s="259" t="s">
        <v>243</v>
      </c>
      <c r="AB10" s="260"/>
    </row>
    <row r="11" spans="1:28" ht="13.5">
      <c r="A11" s="225">
        <v>200</v>
      </c>
      <c r="C11" s="226">
        <f t="shared" si="0"/>
        <v>24.08</v>
      </c>
      <c r="E11" s="226">
        <f t="shared" si="1"/>
        <v>24.24</v>
      </c>
      <c r="F11" s="226"/>
      <c r="G11" s="240">
        <f t="shared" si="2"/>
        <v>0.16000000000000014</v>
      </c>
      <c r="I11" s="241">
        <f t="shared" si="3"/>
        <v>7.0000000000000001E-3</v>
      </c>
      <c r="K11" s="226">
        <f t="shared" si="4"/>
        <v>24.08</v>
      </c>
      <c r="M11" s="226">
        <f t="shared" si="5"/>
        <v>24.24</v>
      </c>
      <c r="N11" s="226"/>
      <c r="O11" s="240">
        <f t="shared" si="6"/>
        <v>0.16000000000000014</v>
      </c>
      <c r="Q11" s="241">
        <f t="shared" si="7"/>
        <v>7.0000000000000001E-3</v>
      </c>
      <c r="S11" s="246" t="s">
        <v>374</v>
      </c>
      <c r="T11" s="216"/>
      <c r="U11" s="247"/>
      <c r="W11" s="216"/>
      <c r="X11" s="261" t="s">
        <v>377</v>
      </c>
      <c r="Y11" s="261" t="s">
        <v>378</v>
      </c>
      <c r="Z11" s="261" t="s">
        <v>379</v>
      </c>
      <c r="AA11" s="262" t="s">
        <v>380</v>
      </c>
      <c r="AB11" s="263" t="s">
        <v>287</v>
      </c>
    </row>
    <row r="12" spans="1:28">
      <c r="A12" s="225">
        <v>300</v>
      </c>
      <c r="C12" s="226">
        <f t="shared" si="0"/>
        <v>33.04</v>
      </c>
      <c r="E12" s="226">
        <f t="shared" si="1"/>
        <v>33.29</v>
      </c>
      <c r="F12" s="226"/>
      <c r="G12" s="240">
        <f t="shared" si="2"/>
        <v>0.25</v>
      </c>
      <c r="I12" s="241">
        <f t="shared" si="3"/>
        <v>8.0000000000000002E-3</v>
      </c>
      <c r="K12" s="226">
        <f t="shared" si="4"/>
        <v>33.04</v>
      </c>
      <c r="M12" s="226">
        <f t="shared" si="5"/>
        <v>33.29</v>
      </c>
      <c r="N12" s="226"/>
      <c r="O12" s="240">
        <f t="shared" si="6"/>
        <v>0.25</v>
      </c>
      <c r="Q12" s="241">
        <f t="shared" si="7"/>
        <v>8.0000000000000002E-3</v>
      </c>
      <c r="S12" s="248" t="s">
        <v>381</v>
      </c>
      <c r="T12" s="472">
        <v>6</v>
      </c>
      <c r="U12" s="473">
        <f>T12</f>
        <v>6</v>
      </c>
      <c r="V12" s="249"/>
      <c r="W12" s="264" t="s">
        <v>374</v>
      </c>
      <c r="X12" s="265">
        <v>746.76637542484116</v>
      </c>
      <c r="Y12" s="266">
        <f>C19</f>
        <v>82.52</v>
      </c>
      <c r="Z12" s="266">
        <f>E19</f>
        <v>83.23</v>
      </c>
      <c r="AA12" s="266">
        <f>Z12-Y12</f>
        <v>0.71000000000000796</v>
      </c>
      <c r="AB12" s="267">
        <f>Z12/Y12-1</f>
        <v>8.603974793989444E-3</v>
      </c>
    </row>
    <row r="13" spans="1:28">
      <c r="A13" s="225">
        <v>400</v>
      </c>
      <c r="C13" s="226">
        <f t="shared" si="0"/>
        <v>42</v>
      </c>
      <c r="E13" s="226">
        <f t="shared" si="1"/>
        <v>42.33</v>
      </c>
      <c r="F13" s="226"/>
      <c r="G13" s="240">
        <f t="shared" si="2"/>
        <v>0.32999999999999829</v>
      </c>
      <c r="I13" s="241">
        <f t="shared" si="3"/>
        <v>8.0000000000000002E-3</v>
      </c>
      <c r="K13" s="226">
        <f t="shared" si="4"/>
        <v>42</v>
      </c>
      <c r="M13" s="226">
        <f t="shared" si="5"/>
        <v>42.33</v>
      </c>
      <c r="N13" s="226"/>
      <c r="O13" s="240">
        <f t="shared" si="6"/>
        <v>0.32999999999999829</v>
      </c>
      <c r="Q13" s="241">
        <f t="shared" si="7"/>
        <v>8.0000000000000002E-3</v>
      </c>
      <c r="S13" s="248" t="s">
        <v>382</v>
      </c>
      <c r="T13" s="474">
        <v>8.8498000000000001</v>
      </c>
      <c r="U13" s="475">
        <f>T13</f>
        <v>8.8498000000000001</v>
      </c>
      <c r="V13" s="249"/>
      <c r="W13" s="268" t="s">
        <v>375</v>
      </c>
      <c r="X13" s="265">
        <v>663.32999948009433</v>
      </c>
      <c r="Y13" s="266">
        <f>K17</f>
        <v>70.540000000000006</v>
      </c>
      <c r="Z13" s="266">
        <f>M17</f>
        <v>71.14</v>
      </c>
      <c r="AA13" s="266">
        <f>Z13-Y13</f>
        <v>0.59999999999999432</v>
      </c>
      <c r="AB13" s="269">
        <f>Z13/Y13-1</f>
        <v>8.5058123050749668E-3</v>
      </c>
    </row>
    <row r="14" spans="1:28">
      <c r="A14" s="225">
        <v>500</v>
      </c>
      <c r="C14" s="226">
        <f t="shared" si="0"/>
        <v>53.68</v>
      </c>
      <c r="E14" s="226">
        <f t="shared" si="1"/>
        <v>54.12</v>
      </c>
      <c r="F14" s="226"/>
      <c r="G14" s="240">
        <f t="shared" si="2"/>
        <v>0.43999999999999773</v>
      </c>
      <c r="I14" s="241">
        <f t="shared" si="3"/>
        <v>8.0000000000000002E-3</v>
      </c>
      <c r="K14" s="226">
        <f t="shared" si="4"/>
        <v>52.84</v>
      </c>
      <c r="M14" s="226">
        <f t="shared" si="5"/>
        <v>53.27</v>
      </c>
      <c r="N14" s="226"/>
      <c r="O14" s="240">
        <f t="shared" si="6"/>
        <v>0.42999999999999972</v>
      </c>
      <c r="Q14" s="241">
        <f t="shared" si="7"/>
        <v>8.0000000000000002E-3</v>
      </c>
      <c r="S14" s="248" t="s">
        <v>383</v>
      </c>
      <c r="T14" s="474">
        <v>11.542899999999999</v>
      </c>
      <c r="U14" s="475">
        <f t="shared" ref="U14:U15" si="8">T14</f>
        <v>11.542899999999999</v>
      </c>
      <c r="V14" s="249"/>
      <c r="W14" s="371" t="s">
        <v>393</v>
      </c>
      <c r="X14" s="372">
        <v>698.09515617157388</v>
      </c>
      <c r="Y14" s="373">
        <f>(C18*5+K18*7)/12</f>
        <v>75.36</v>
      </c>
      <c r="Z14" s="373">
        <f>(E18*5+M18*7)/12</f>
        <v>76.002499999999998</v>
      </c>
      <c r="AA14" s="373">
        <f>Z14-Y14</f>
        <v>0.64249999999999829</v>
      </c>
      <c r="AB14" s="374">
        <f>Z14/Y14-1</f>
        <v>8.5257430997875971E-3</v>
      </c>
    </row>
    <row r="15" spans="1:28">
      <c r="A15" s="225">
        <v>600</v>
      </c>
      <c r="C15" s="226">
        <f t="shared" si="0"/>
        <v>65.37</v>
      </c>
      <c r="E15" s="226">
        <f t="shared" si="1"/>
        <v>65.92</v>
      </c>
      <c r="F15" s="226"/>
      <c r="G15" s="240">
        <f t="shared" si="2"/>
        <v>0.54999999999999716</v>
      </c>
      <c r="I15" s="241">
        <f t="shared" si="3"/>
        <v>8.0000000000000002E-3</v>
      </c>
      <c r="K15" s="226">
        <f t="shared" si="4"/>
        <v>63.68</v>
      </c>
      <c r="M15" s="226">
        <f t="shared" si="5"/>
        <v>64.209999999999994</v>
      </c>
      <c r="N15" s="226"/>
      <c r="O15" s="240">
        <f t="shared" si="6"/>
        <v>0.52999999999999403</v>
      </c>
      <c r="Q15" s="241">
        <f t="shared" si="7"/>
        <v>8.0000000000000002E-3</v>
      </c>
      <c r="S15" s="248" t="s">
        <v>384</v>
      </c>
      <c r="T15" s="474">
        <v>14.450799999999999</v>
      </c>
      <c r="U15" s="475">
        <f t="shared" si="8"/>
        <v>14.450799999999999</v>
      </c>
      <c r="V15" s="249"/>
      <c r="W15" s="371" t="s">
        <v>393</v>
      </c>
      <c r="X15" s="372">
        <v>700</v>
      </c>
      <c r="Y15" s="373">
        <f>(C16*5+K16*7)/12</f>
        <v>75.57416666666667</v>
      </c>
      <c r="Z15" s="373">
        <f>(E16*5+M16*7)/12</f>
        <v>76.216666666666669</v>
      </c>
      <c r="AA15" s="373">
        <f>Z15-Y15</f>
        <v>0.64249999999999829</v>
      </c>
      <c r="AB15" s="374">
        <f>Z15/Y15-1</f>
        <v>8.5015823308229876E-3</v>
      </c>
    </row>
    <row r="16" spans="1:28">
      <c r="A16" s="225">
        <v>700</v>
      </c>
      <c r="C16" s="226">
        <f t="shared" si="0"/>
        <v>77.05</v>
      </c>
      <c r="E16" s="226">
        <f t="shared" si="1"/>
        <v>77.709999999999994</v>
      </c>
      <c r="F16" s="226"/>
      <c r="G16" s="240">
        <f t="shared" si="2"/>
        <v>0.65999999999999659</v>
      </c>
      <c r="I16" s="241">
        <f t="shared" si="3"/>
        <v>8.9999999999999993E-3</v>
      </c>
      <c r="K16" s="226">
        <f t="shared" si="4"/>
        <v>74.52</v>
      </c>
      <c r="M16" s="226">
        <f t="shared" si="5"/>
        <v>75.150000000000006</v>
      </c>
      <c r="N16" s="226"/>
      <c r="O16" s="240">
        <f t="shared" si="6"/>
        <v>0.63000000000000966</v>
      </c>
      <c r="Q16" s="241">
        <f t="shared" si="7"/>
        <v>8.0000000000000002E-3</v>
      </c>
      <c r="S16" s="248" t="s">
        <v>385</v>
      </c>
      <c r="T16" s="472">
        <v>8</v>
      </c>
      <c r="U16" s="473">
        <f>T16</f>
        <v>8</v>
      </c>
      <c r="V16" s="249"/>
      <c r="W16" s="219" t="s">
        <v>493</v>
      </c>
      <c r="X16" s="216"/>
      <c r="AB16" s="481">
        <f>'Exhibit-RMP(RMM-1) page 1'!AC18</f>
        <v>8.2093285752842804E-3</v>
      </c>
    </row>
    <row r="17" spans="1:24">
      <c r="A17" s="225">
        <f>X13</f>
        <v>663.32999948009433</v>
      </c>
      <c r="B17" s="219" t="s">
        <v>386</v>
      </c>
      <c r="F17" s="226"/>
      <c r="G17" s="240"/>
      <c r="I17" s="241"/>
      <c r="K17" s="226">
        <f t="shared" si="4"/>
        <v>70.540000000000006</v>
      </c>
      <c r="M17" s="226">
        <f t="shared" si="5"/>
        <v>71.14</v>
      </c>
      <c r="N17" s="226"/>
      <c r="O17" s="240">
        <f t="shared" si="6"/>
        <v>0.59999999999999432</v>
      </c>
      <c r="Q17" s="241">
        <f t="shared" si="7"/>
        <v>8.9999999999999993E-3</v>
      </c>
      <c r="S17" s="248" t="s">
        <v>387</v>
      </c>
      <c r="T17" s="472">
        <v>0.16</v>
      </c>
      <c r="U17" s="473">
        <f>T17</f>
        <v>0.16</v>
      </c>
      <c r="V17" s="249"/>
      <c r="W17" s="245"/>
      <c r="X17" s="245"/>
    </row>
    <row r="18" spans="1:24">
      <c r="A18" s="225">
        <f>X14</f>
        <v>698.09515617157388</v>
      </c>
      <c r="B18" s="219" t="s">
        <v>388</v>
      </c>
      <c r="C18" s="226">
        <f t="shared" ref="C18:C31" si="9">ROUND($T$12+((MIN(400,$A18)*$T$13+MAX(0,MIN(600,$A18-400))*$T$14+MAX(0,$A18-1000)*$T$15)/100+MAX(0,$T$16-($T$12+(MIN(400,$A18)*$T$13+MAX(0,MIN(600,$A18-400))*$T$14+MAX(0,$A18-1000)*$T$15)/100)))*(1+$T$32)*(1+$T$18)+$T$17+((MIN(400,$A18)*$T$13+MAX(0,MIN(600,$A18-400))*$T$14+MAX(0,$A18-1000)*$T$15)/100+MAX(0,$T$16-($T$12+(MIN(400,$A18)*$T$13+MAX(0,MIN(600,$A18-400))*$T$14+MAX(0,$A18-1000)*$T$15)/100)))*$T$27,2)</f>
        <v>76.83</v>
      </c>
      <c r="E18" s="226">
        <f t="shared" ref="E18:E31" si="10">ROUND($U$12+((MIN(400,$A18)*$U$13+MAX(0,MIN(600,$A18-400))*$U$14+MAX(0,$A18-1000)*$U$15)/100+MAX(0,$U$16-($U$12+(MIN(400,$A18)*$U$13+MAX(0,MIN(600,$A18-400))*$U$14+MAX(0,$A18-1000)*$U$15)/100)))*(1+$U$32)*(1+$U$18)+$U$17+((MIN(400,$A18)*$U$13+MAX(0,MIN(600,$A18-400))*$U$14+MAX(0,$A18-1000)*$U$15)/100+MAX(0,$U$16-($U$12+(MIN(400,$A18)*$U$13+MAX(0,MIN(600,$A18-400))*$U$14+MAX(0,$A18-1000)*$U$15)/100)))*$U$27,2)</f>
        <v>77.489999999999995</v>
      </c>
      <c r="F18" s="226"/>
      <c r="G18" s="240">
        <f t="shared" ref="G18:G31" si="11">E18-C18</f>
        <v>0.65999999999999659</v>
      </c>
      <c r="I18" s="241">
        <f t="shared" ref="I18:I31" si="12">ROUND(IF(C18=0,0,E18/C18-1),3)</f>
        <v>8.9999999999999993E-3</v>
      </c>
      <c r="K18" s="226">
        <f t="shared" si="4"/>
        <v>74.31</v>
      </c>
      <c r="M18" s="226">
        <f t="shared" si="5"/>
        <v>74.94</v>
      </c>
      <c r="N18" s="226"/>
      <c r="O18" s="240">
        <f t="shared" si="6"/>
        <v>0.62999999999999545</v>
      </c>
      <c r="Q18" s="241">
        <f t="shared" si="7"/>
        <v>8.0000000000000002E-3</v>
      </c>
      <c r="S18" s="248" t="s">
        <v>488</v>
      </c>
      <c r="T18" s="476">
        <f>T28+T29</f>
        <v>4.2599999999999999E-2</v>
      </c>
      <c r="U18" s="477">
        <f>U28+U29</f>
        <v>4.2599999999999999E-2</v>
      </c>
      <c r="V18" s="249"/>
      <c r="W18" s="245"/>
      <c r="X18" s="245"/>
    </row>
    <row r="19" spans="1:24" ht="13.5">
      <c r="A19" s="225">
        <f>X12</f>
        <v>746.76637542484116</v>
      </c>
      <c r="B19" s="219" t="s">
        <v>389</v>
      </c>
      <c r="C19" s="226">
        <f t="shared" si="9"/>
        <v>82.52</v>
      </c>
      <c r="E19" s="226">
        <f t="shared" si="10"/>
        <v>83.23</v>
      </c>
      <c r="F19" s="226"/>
      <c r="G19" s="240">
        <f t="shared" si="11"/>
        <v>0.71000000000000796</v>
      </c>
      <c r="I19" s="241">
        <f t="shared" si="12"/>
        <v>8.9999999999999993E-3</v>
      </c>
      <c r="N19" s="226"/>
      <c r="O19" s="240"/>
      <c r="Q19" s="241"/>
      <c r="S19" s="246" t="s">
        <v>375</v>
      </c>
      <c r="T19" s="478"/>
      <c r="U19" s="479"/>
      <c r="V19" s="249"/>
      <c r="W19" s="245"/>
      <c r="X19" s="245"/>
    </row>
    <row r="20" spans="1:24">
      <c r="A20" s="225">
        <v>800</v>
      </c>
      <c r="C20" s="226">
        <f t="shared" si="9"/>
        <v>88.74</v>
      </c>
      <c r="E20" s="226">
        <f t="shared" si="10"/>
        <v>89.5</v>
      </c>
      <c r="F20" s="226"/>
      <c r="G20" s="240">
        <f t="shared" si="11"/>
        <v>0.76000000000000512</v>
      </c>
      <c r="I20" s="241">
        <f t="shared" si="12"/>
        <v>8.9999999999999993E-3</v>
      </c>
      <c r="K20" s="226">
        <f t="shared" ref="K20:K31" si="13">ROUND($T$20+((MIN(400,$A20)*$T$21+MAX(0,MIN(600,$A20-400))*$T$22+MAX(0,$A20-1000)*$T$23)/100+MAX(0,$T$24-($T$20+(MIN(400,$A20)*$T$21+MAX(0,MIN(600,$A20-400))*$T$22+MAX(0,$A20-1000)*$T$23)/100)))*(1+$T$32)*(1+$T$26)+$T$25+((MIN(400,$A20)*$T$21+MAX(0,MIN(600,$A20-400))*$T$22+MAX(0,$A20-1000)*$T$23)/100+MAX(0,$T$24-($T$20+(MIN(400,$A20)*$T$21+MAX(0,MIN(600,$A20-400))*$T$22+MAX(0,$A20-1000)*$T$23)/100)))*$T$27,2)</f>
        <v>85.36</v>
      </c>
      <c r="M20" s="226">
        <f t="shared" ref="M20:M31" si="14">ROUND($U$20+((MIN(400,$A20)*$U$21+MAX(0,MIN(600,$A20-400))*$U$22+MAX(0,$A20-1000)*$U$23)/100+MAX(0,$U$24-($U$20+(MIN(400,$A20)*$U$21+MAX(0,MIN(600,$A20-400))*$U$22+MAX(0,$A20-1000)*$U$23)/100)))*(1+$U$32)*(1+$U$26)+$U$25+((MIN(400,$A20)*$U$21+MAX(0,MIN(600,$A20-400))*$U$22+MAX(0,$A20-1000)*$U$23)/100+MAX(0,$U$24-($U$20+(MIN(400,$A20)*$U$21+MAX(0,MIN(600,$A20-400))*$U$22+MAX(0,$A20-1000)*$U$23)/100)))*$U$27,2)</f>
        <v>86.09</v>
      </c>
      <c r="N20" s="226"/>
      <c r="O20" s="240">
        <f t="shared" ref="O20:O31" si="15">M20-K20</f>
        <v>0.73000000000000398</v>
      </c>
      <c r="Q20" s="241">
        <f t="shared" ref="Q20:Q31" si="16">ROUND(IF(K20=0,0,M20/K20-1),3)</f>
        <v>8.9999999999999993E-3</v>
      </c>
      <c r="S20" s="248" t="s">
        <v>381</v>
      </c>
      <c r="T20" s="472">
        <v>6</v>
      </c>
      <c r="U20" s="473">
        <f>T20</f>
        <v>6</v>
      </c>
      <c r="V20" s="249"/>
      <c r="W20" s="245"/>
      <c r="X20" s="245"/>
    </row>
    <row r="21" spans="1:24">
      <c r="A21" s="225">
        <v>900</v>
      </c>
      <c r="C21" s="226">
        <f t="shared" si="9"/>
        <v>100.42</v>
      </c>
      <c r="E21" s="226">
        <f t="shared" si="10"/>
        <v>101.3</v>
      </c>
      <c r="F21" s="226"/>
      <c r="G21" s="240">
        <f t="shared" si="11"/>
        <v>0.87999999999999545</v>
      </c>
      <c r="I21" s="241">
        <f t="shared" si="12"/>
        <v>8.9999999999999993E-3</v>
      </c>
      <c r="K21" s="226">
        <f t="shared" si="13"/>
        <v>96.19</v>
      </c>
      <c r="M21" s="226">
        <f t="shared" si="14"/>
        <v>97.03</v>
      </c>
      <c r="N21" s="226"/>
      <c r="O21" s="240">
        <f t="shared" si="15"/>
        <v>0.84000000000000341</v>
      </c>
      <c r="Q21" s="241">
        <f t="shared" si="16"/>
        <v>8.9999999999999993E-3</v>
      </c>
      <c r="S21" s="248" t="s">
        <v>382</v>
      </c>
      <c r="T21" s="251">
        <v>8.8498000000000001</v>
      </c>
      <c r="U21" s="475">
        <f>T21</f>
        <v>8.8498000000000001</v>
      </c>
      <c r="V21" s="249"/>
      <c r="W21" s="245"/>
      <c r="X21" s="245"/>
    </row>
    <row r="22" spans="1:24">
      <c r="A22" s="225">
        <v>1000</v>
      </c>
      <c r="C22" s="226">
        <f t="shared" si="9"/>
        <v>112.11</v>
      </c>
      <c r="E22" s="226">
        <f t="shared" si="10"/>
        <v>113.09</v>
      </c>
      <c r="F22" s="226"/>
      <c r="G22" s="240">
        <f t="shared" si="11"/>
        <v>0.98000000000000398</v>
      </c>
      <c r="I22" s="241">
        <f t="shared" si="12"/>
        <v>8.9999999999999993E-3</v>
      </c>
      <c r="K22" s="226">
        <f t="shared" si="13"/>
        <v>107.03</v>
      </c>
      <c r="M22" s="226">
        <f t="shared" si="14"/>
        <v>107.97</v>
      </c>
      <c r="N22" s="226"/>
      <c r="O22" s="240">
        <f t="shared" si="15"/>
        <v>0.93999999999999773</v>
      </c>
      <c r="Q22" s="241">
        <f t="shared" si="16"/>
        <v>8.9999999999999993E-3</v>
      </c>
      <c r="S22" s="248" t="s">
        <v>383</v>
      </c>
      <c r="T22" s="251">
        <v>10.7072</v>
      </c>
      <c r="U22" s="475">
        <f t="shared" ref="U22:U23" si="17">T22</f>
        <v>10.7072</v>
      </c>
      <c r="V22" s="249"/>
      <c r="W22" s="245"/>
      <c r="X22" s="245"/>
    </row>
    <row r="23" spans="1:24">
      <c r="A23" s="225">
        <v>1100</v>
      </c>
      <c r="C23" s="226">
        <f t="shared" si="9"/>
        <v>126.74</v>
      </c>
      <c r="E23" s="226">
        <f t="shared" si="10"/>
        <v>127.86</v>
      </c>
      <c r="F23" s="226"/>
      <c r="G23" s="240">
        <f t="shared" si="11"/>
        <v>1.1200000000000045</v>
      </c>
      <c r="I23" s="241">
        <f t="shared" si="12"/>
        <v>8.9999999999999993E-3</v>
      </c>
      <c r="K23" s="226">
        <f t="shared" si="13"/>
        <v>117.87</v>
      </c>
      <c r="M23" s="226">
        <f t="shared" si="14"/>
        <v>118.91</v>
      </c>
      <c r="N23" s="226"/>
      <c r="O23" s="240">
        <f t="shared" si="15"/>
        <v>1.039999999999992</v>
      </c>
      <c r="Q23" s="241">
        <f t="shared" si="16"/>
        <v>8.9999999999999993E-3</v>
      </c>
      <c r="S23" s="248" t="s">
        <v>384</v>
      </c>
      <c r="T23" s="251">
        <v>10.7072</v>
      </c>
      <c r="U23" s="475">
        <f t="shared" si="17"/>
        <v>10.7072</v>
      </c>
      <c r="V23" s="249"/>
      <c r="W23" s="245"/>
      <c r="X23" s="245"/>
    </row>
    <row r="24" spans="1:24">
      <c r="A24" s="225">
        <v>1200</v>
      </c>
      <c r="C24" s="226">
        <f t="shared" si="9"/>
        <v>141.37</v>
      </c>
      <c r="E24" s="226">
        <f t="shared" si="10"/>
        <v>142.62</v>
      </c>
      <c r="F24" s="226"/>
      <c r="G24" s="240">
        <f t="shared" si="11"/>
        <v>1.25</v>
      </c>
      <c r="I24" s="241">
        <f t="shared" si="12"/>
        <v>8.9999999999999993E-3</v>
      </c>
      <c r="K24" s="226">
        <f t="shared" si="13"/>
        <v>128.71</v>
      </c>
      <c r="M24" s="226">
        <f t="shared" si="14"/>
        <v>129.85</v>
      </c>
      <c r="N24" s="226"/>
      <c r="O24" s="240">
        <f t="shared" si="15"/>
        <v>1.1399999999999864</v>
      </c>
      <c r="Q24" s="241">
        <f t="shared" si="16"/>
        <v>8.9999999999999993E-3</v>
      </c>
      <c r="S24" s="248" t="s">
        <v>385</v>
      </c>
      <c r="T24" s="472">
        <v>8</v>
      </c>
      <c r="U24" s="473">
        <f>T24</f>
        <v>8</v>
      </c>
      <c r="V24" s="249"/>
      <c r="W24" s="245"/>
      <c r="X24" s="245"/>
    </row>
    <row r="25" spans="1:24">
      <c r="A25" s="225">
        <v>1300</v>
      </c>
      <c r="C25" s="226">
        <f t="shared" si="9"/>
        <v>156</v>
      </c>
      <c r="E25" s="226">
        <f t="shared" si="10"/>
        <v>157.38999999999999</v>
      </c>
      <c r="F25" s="226"/>
      <c r="G25" s="240">
        <f t="shared" si="11"/>
        <v>1.3899999999999864</v>
      </c>
      <c r="I25" s="241">
        <f t="shared" si="12"/>
        <v>8.9999999999999993E-3</v>
      </c>
      <c r="K25" s="226">
        <f t="shared" si="13"/>
        <v>139.55000000000001</v>
      </c>
      <c r="M25" s="226">
        <f t="shared" si="14"/>
        <v>140.79</v>
      </c>
      <c r="N25" s="226"/>
      <c r="O25" s="240">
        <f t="shared" si="15"/>
        <v>1.2399999999999807</v>
      </c>
      <c r="Q25" s="241">
        <f t="shared" si="16"/>
        <v>8.9999999999999993E-3</v>
      </c>
      <c r="S25" s="248" t="s">
        <v>387</v>
      </c>
      <c r="T25" s="472">
        <v>0.16</v>
      </c>
      <c r="U25" s="473">
        <f>T25</f>
        <v>0.16</v>
      </c>
      <c r="V25" s="249"/>
      <c r="W25" s="245"/>
      <c r="X25" s="245"/>
    </row>
    <row r="26" spans="1:24">
      <c r="A26" s="225">
        <v>1400</v>
      </c>
      <c r="C26" s="226">
        <f t="shared" si="9"/>
        <v>170.63</v>
      </c>
      <c r="E26" s="226">
        <f t="shared" si="10"/>
        <v>172.15</v>
      </c>
      <c r="F26" s="226"/>
      <c r="G26" s="240">
        <f t="shared" si="11"/>
        <v>1.5200000000000102</v>
      </c>
      <c r="I26" s="241">
        <f t="shared" si="12"/>
        <v>8.9999999999999993E-3</v>
      </c>
      <c r="K26" s="226">
        <f t="shared" si="13"/>
        <v>150.38999999999999</v>
      </c>
      <c r="M26" s="226">
        <f t="shared" si="14"/>
        <v>151.72999999999999</v>
      </c>
      <c r="N26" s="226"/>
      <c r="O26" s="240">
        <f t="shared" si="15"/>
        <v>1.3400000000000034</v>
      </c>
      <c r="Q26" s="241">
        <f t="shared" si="16"/>
        <v>8.9999999999999993E-3</v>
      </c>
      <c r="S26" s="252" t="s">
        <v>488</v>
      </c>
      <c r="T26" s="253">
        <f>T18</f>
        <v>4.2599999999999999E-2</v>
      </c>
      <c r="U26" s="480">
        <f>U18</f>
        <v>4.2599999999999999E-2</v>
      </c>
      <c r="V26" s="249"/>
      <c r="W26" s="245"/>
      <c r="X26" s="245"/>
    </row>
    <row r="27" spans="1:24">
      <c r="A27" s="225">
        <v>1500</v>
      </c>
      <c r="C27" s="226">
        <f t="shared" si="9"/>
        <v>185.26</v>
      </c>
      <c r="E27" s="226">
        <f t="shared" si="10"/>
        <v>186.92</v>
      </c>
      <c r="F27" s="226"/>
      <c r="G27" s="240">
        <f t="shared" si="11"/>
        <v>1.6599999999999966</v>
      </c>
      <c r="I27" s="241">
        <f t="shared" si="12"/>
        <v>8.9999999999999993E-3</v>
      </c>
      <c r="K27" s="226">
        <f t="shared" si="13"/>
        <v>161.22999999999999</v>
      </c>
      <c r="M27" s="226">
        <f t="shared" si="14"/>
        <v>162.66999999999999</v>
      </c>
      <c r="N27" s="226"/>
      <c r="O27" s="240">
        <f t="shared" si="15"/>
        <v>1.4399999999999977</v>
      </c>
      <c r="Q27" s="241">
        <f t="shared" si="16"/>
        <v>8.9999999999999993E-3</v>
      </c>
      <c r="S27" s="482" t="s">
        <v>489</v>
      </c>
      <c r="T27" s="483">
        <v>-3.9100000000000003E-2</v>
      </c>
      <c r="U27" s="484">
        <f>T27</f>
        <v>-3.9100000000000003E-2</v>
      </c>
      <c r="V27" s="249"/>
      <c r="W27" s="245"/>
      <c r="X27" s="245"/>
    </row>
    <row r="28" spans="1:24">
      <c r="A28" s="225">
        <v>2000</v>
      </c>
      <c r="C28" s="226">
        <f t="shared" si="9"/>
        <v>258.39999999999998</v>
      </c>
      <c r="E28" s="226">
        <f t="shared" si="10"/>
        <v>260.74</v>
      </c>
      <c r="F28" s="226"/>
      <c r="G28" s="240">
        <f t="shared" si="11"/>
        <v>2.3400000000000318</v>
      </c>
      <c r="I28" s="241">
        <f t="shared" si="12"/>
        <v>8.9999999999999993E-3</v>
      </c>
      <c r="K28" s="226">
        <f t="shared" si="13"/>
        <v>215.43</v>
      </c>
      <c r="M28" s="226">
        <f t="shared" si="14"/>
        <v>217.37</v>
      </c>
      <c r="N28" s="226"/>
      <c r="O28" s="240">
        <f t="shared" si="15"/>
        <v>1.9399999999999977</v>
      </c>
      <c r="Q28" s="241">
        <f t="shared" si="16"/>
        <v>8.9999999999999993E-3</v>
      </c>
      <c r="S28" s="248" t="s">
        <v>490</v>
      </c>
      <c r="T28" s="254">
        <v>4.1999999999999997E-3</v>
      </c>
      <c r="U28" s="485">
        <f t="shared" ref="U28:U31" si="18">T28</f>
        <v>4.1999999999999997E-3</v>
      </c>
      <c r="V28" s="249"/>
      <c r="W28" s="245"/>
      <c r="X28" s="245"/>
    </row>
    <row r="29" spans="1:24">
      <c r="A29" s="225">
        <v>3000</v>
      </c>
      <c r="C29" s="226">
        <f t="shared" si="9"/>
        <v>404.7</v>
      </c>
      <c r="E29" s="226">
        <f t="shared" si="10"/>
        <v>408.39</v>
      </c>
      <c r="F29" s="226"/>
      <c r="G29" s="240">
        <f t="shared" si="11"/>
        <v>3.6899999999999977</v>
      </c>
      <c r="I29" s="241">
        <f t="shared" si="12"/>
        <v>8.9999999999999993E-3</v>
      </c>
      <c r="K29" s="226">
        <f t="shared" si="13"/>
        <v>323.83</v>
      </c>
      <c r="M29" s="226">
        <f t="shared" si="14"/>
        <v>326.77</v>
      </c>
      <c r="N29" s="226"/>
      <c r="O29" s="240">
        <f t="shared" si="15"/>
        <v>2.9399999999999977</v>
      </c>
      <c r="Q29" s="241">
        <f t="shared" si="16"/>
        <v>8.9999999999999993E-3</v>
      </c>
      <c r="S29" s="248" t="s">
        <v>495</v>
      </c>
      <c r="T29" s="254">
        <v>3.8399999999999997E-2</v>
      </c>
      <c r="U29" s="485">
        <f t="shared" ref="U29" si="19">T29</f>
        <v>3.8399999999999997E-2</v>
      </c>
      <c r="V29" s="249"/>
      <c r="W29" s="245"/>
      <c r="X29" s="245"/>
    </row>
    <row r="30" spans="1:24">
      <c r="A30" s="225">
        <v>4000</v>
      </c>
      <c r="C30" s="226">
        <f t="shared" si="9"/>
        <v>550.99</v>
      </c>
      <c r="E30" s="226">
        <f t="shared" si="10"/>
        <v>556.04</v>
      </c>
      <c r="F30" s="226"/>
      <c r="G30" s="240">
        <f t="shared" si="11"/>
        <v>5.0499999999999545</v>
      </c>
      <c r="I30" s="241">
        <f t="shared" si="12"/>
        <v>8.9999999999999993E-3</v>
      </c>
      <c r="K30" s="226">
        <f t="shared" si="13"/>
        <v>432.22</v>
      </c>
      <c r="M30" s="226">
        <f t="shared" si="14"/>
        <v>436.17</v>
      </c>
      <c r="N30" s="226"/>
      <c r="O30" s="240">
        <f t="shared" si="15"/>
        <v>3.9499999999999886</v>
      </c>
      <c r="Q30" s="241">
        <f t="shared" si="16"/>
        <v>8.9999999999999993E-3</v>
      </c>
      <c r="S30" s="248" t="s">
        <v>390</v>
      </c>
      <c r="T30" s="491">
        <f>'Exhibit-RMP(RMM-2)'!K16</f>
        <v>8.0000000000000002E-3</v>
      </c>
      <c r="U30" s="492">
        <f>'Exhibit-RMP(RMM-2)'!O16</f>
        <v>1.7000000000000001E-2</v>
      </c>
      <c r="V30" s="249"/>
      <c r="W30" s="245"/>
      <c r="X30" s="245"/>
    </row>
    <row r="31" spans="1:24">
      <c r="A31" s="225">
        <v>5000</v>
      </c>
      <c r="C31" s="226">
        <f t="shared" si="9"/>
        <v>697.29</v>
      </c>
      <c r="E31" s="226">
        <f t="shared" si="10"/>
        <v>703.69</v>
      </c>
      <c r="F31" s="226"/>
      <c r="G31" s="240">
        <f t="shared" si="11"/>
        <v>6.4000000000000909</v>
      </c>
      <c r="I31" s="241">
        <f t="shared" si="12"/>
        <v>8.9999999999999993E-3</v>
      </c>
      <c r="K31" s="226">
        <f t="shared" si="13"/>
        <v>540.62</v>
      </c>
      <c r="M31" s="226">
        <f t="shared" si="14"/>
        <v>545.57000000000005</v>
      </c>
      <c r="N31" s="226"/>
      <c r="O31" s="240">
        <f t="shared" si="15"/>
        <v>4.9500000000000455</v>
      </c>
      <c r="Q31" s="241">
        <f t="shared" si="16"/>
        <v>8.9999999999999993E-3</v>
      </c>
      <c r="S31" s="248" t="s">
        <v>491</v>
      </c>
      <c r="T31" s="254">
        <v>5.0000000000000001E-4</v>
      </c>
      <c r="U31" s="485">
        <f t="shared" si="18"/>
        <v>5.0000000000000001E-4</v>
      </c>
      <c r="V31" s="249"/>
      <c r="W31" s="245"/>
      <c r="X31" s="245"/>
    </row>
    <row r="32" spans="1:24">
      <c r="R32" s="255"/>
      <c r="S32" s="252" t="s">
        <v>492</v>
      </c>
      <c r="T32" s="486">
        <f>SUM(T30:T31)</f>
        <v>8.5000000000000006E-3</v>
      </c>
      <c r="U32" s="487">
        <f>SUM(U30:U31)</f>
        <v>1.7500000000000002E-2</v>
      </c>
      <c r="V32" s="249"/>
      <c r="W32" s="245"/>
      <c r="X32" s="245"/>
    </row>
    <row r="33" spans="1:28" ht="15.5">
      <c r="A33" s="256" t="s">
        <v>494</v>
      </c>
      <c r="W33" s="245"/>
      <c r="X33" s="245"/>
    </row>
    <row r="34" spans="1:28">
      <c r="A34" s="225" t="s">
        <v>391</v>
      </c>
      <c r="W34" s="245"/>
      <c r="X34" s="245"/>
    </row>
    <row r="35" spans="1:28" ht="15.5">
      <c r="A35" s="256"/>
      <c r="W35" s="245"/>
      <c r="X35" s="245"/>
    </row>
    <row r="36" spans="1:28">
      <c r="A36" s="270"/>
      <c r="B36" s="216"/>
      <c r="C36" s="223"/>
      <c r="D36" s="216"/>
      <c r="E36" s="223"/>
      <c r="F36" s="216"/>
      <c r="G36" s="250"/>
      <c r="H36" s="216"/>
      <c r="I36" s="216"/>
      <c r="J36" s="216"/>
      <c r="K36" s="223"/>
    </row>
    <row r="37" spans="1:28">
      <c r="A37" s="270"/>
      <c r="B37" s="216"/>
      <c r="C37" s="224"/>
      <c r="D37" s="271"/>
      <c r="E37" s="227"/>
      <c r="F37" s="215"/>
      <c r="G37" s="272"/>
      <c r="H37" s="215"/>
      <c r="I37" s="215"/>
      <c r="J37" s="216"/>
      <c r="K37" s="223"/>
    </row>
    <row r="38" spans="1:28">
      <c r="A38" s="270"/>
      <c r="B38" s="216"/>
      <c r="C38" s="227"/>
      <c r="D38" s="215"/>
      <c r="E38" s="227"/>
      <c r="F38" s="216"/>
      <c r="G38" s="227"/>
      <c r="H38" s="215"/>
      <c r="I38" s="227"/>
      <c r="J38" s="216"/>
      <c r="K38" s="223"/>
    </row>
    <row r="39" spans="1:28">
      <c r="A39" s="273"/>
      <c r="B39" s="216"/>
      <c r="C39" s="227"/>
      <c r="D39" s="216"/>
      <c r="E39" s="274"/>
      <c r="F39" s="216"/>
      <c r="G39" s="275"/>
      <c r="H39" s="216"/>
      <c r="I39" s="276"/>
      <c r="J39" s="277"/>
      <c r="K39" s="277"/>
      <c r="L39" s="241"/>
      <c r="M39" s="241"/>
      <c r="N39" s="241"/>
      <c r="O39" s="241"/>
    </row>
    <row r="40" spans="1:28">
      <c r="A40" s="270"/>
      <c r="B40" s="216"/>
      <c r="C40" s="223"/>
      <c r="D40" s="216"/>
      <c r="E40" s="223"/>
      <c r="F40" s="223"/>
      <c r="G40" s="278"/>
      <c r="H40" s="216"/>
      <c r="I40" s="277"/>
      <c r="J40" s="277"/>
      <c r="K40" s="277"/>
      <c r="L40" s="241"/>
      <c r="M40" s="241"/>
      <c r="N40" s="241"/>
      <c r="O40" s="241"/>
    </row>
    <row r="41" spans="1:28">
      <c r="F41" s="226"/>
      <c r="G41" s="240"/>
      <c r="I41" s="241"/>
      <c r="J41" s="241"/>
      <c r="K41" s="241"/>
      <c r="L41" s="241"/>
      <c r="M41" s="241"/>
      <c r="N41" s="241"/>
      <c r="O41" s="241"/>
      <c r="Y41" s="216"/>
      <c r="Z41" s="216"/>
      <c r="AA41" s="216"/>
      <c r="AB41" s="216"/>
    </row>
    <row r="42" spans="1:28">
      <c r="F42" s="226"/>
      <c r="G42" s="240"/>
      <c r="I42" s="241"/>
      <c r="J42" s="241"/>
      <c r="K42" s="241"/>
      <c r="L42" s="241"/>
      <c r="M42" s="241"/>
      <c r="N42" s="241"/>
      <c r="O42" s="241"/>
    </row>
    <row r="43" spans="1:28">
      <c r="F43" s="226"/>
      <c r="G43" s="240"/>
      <c r="I43" s="241"/>
      <c r="J43" s="241"/>
      <c r="K43" s="241"/>
      <c r="L43" s="241"/>
      <c r="M43" s="241"/>
      <c r="N43" s="241"/>
      <c r="O43" s="241"/>
    </row>
    <row r="44" spans="1:28">
      <c r="F44" s="226"/>
      <c r="G44" s="240"/>
      <c r="I44" s="241"/>
      <c r="J44" s="241"/>
      <c r="K44" s="241"/>
      <c r="L44" s="241"/>
      <c r="M44" s="241"/>
      <c r="N44" s="241"/>
      <c r="O44" s="241"/>
      <c r="U44" s="226"/>
    </row>
    <row r="45" spans="1:28">
      <c r="F45" s="226"/>
      <c r="G45" s="240"/>
      <c r="I45" s="241"/>
      <c r="J45" s="241"/>
      <c r="K45" s="241"/>
      <c r="L45" s="241"/>
      <c r="M45" s="241"/>
      <c r="N45" s="241"/>
      <c r="O45" s="241"/>
    </row>
    <row r="46" spans="1:28">
      <c r="F46" s="226"/>
      <c r="G46" s="240"/>
      <c r="I46" s="241"/>
      <c r="J46" s="241"/>
      <c r="K46" s="241"/>
      <c r="L46" s="241"/>
      <c r="M46" s="241"/>
      <c r="N46" s="241"/>
      <c r="O46" s="241"/>
    </row>
    <row r="47" spans="1:28">
      <c r="F47" s="226"/>
      <c r="G47" s="240"/>
      <c r="I47" s="241"/>
      <c r="J47" s="241"/>
      <c r="K47" s="241"/>
      <c r="L47" s="241"/>
      <c r="M47" s="241"/>
      <c r="N47" s="241"/>
      <c r="O47" s="241"/>
    </row>
    <row r="48" spans="1:28">
      <c r="F48" s="226"/>
      <c r="G48" s="240"/>
      <c r="I48" s="241"/>
      <c r="J48" s="241"/>
      <c r="K48" s="241"/>
      <c r="L48" s="241"/>
      <c r="M48" s="241"/>
      <c r="N48" s="241"/>
      <c r="O48" s="241"/>
    </row>
    <row r="49" spans="6:15">
      <c r="F49" s="226"/>
      <c r="G49" s="240"/>
      <c r="I49" s="241"/>
      <c r="J49" s="241"/>
      <c r="K49" s="241"/>
      <c r="L49" s="241"/>
      <c r="M49" s="241"/>
      <c r="N49" s="241"/>
      <c r="O49" s="241"/>
    </row>
    <row r="50" spans="6:15">
      <c r="F50" s="226"/>
      <c r="G50" s="240"/>
      <c r="I50" s="241"/>
      <c r="J50" s="241"/>
      <c r="K50" s="241"/>
      <c r="L50" s="241"/>
      <c r="M50" s="241"/>
      <c r="N50" s="241"/>
      <c r="O50" s="241"/>
    </row>
    <row r="51" spans="6:15">
      <c r="F51" s="226"/>
      <c r="G51" s="240"/>
      <c r="I51" s="241"/>
      <c r="J51" s="241"/>
      <c r="K51" s="241"/>
      <c r="L51" s="241"/>
      <c r="M51" s="241"/>
      <c r="N51" s="241"/>
      <c r="O51" s="241"/>
    </row>
    <row r="52" spans="6:15">
      <c r="F52" s="226"/>
      <c r="G52" s="240"/>
      <c r="I52" s="241"/>
      <c r="J52" s="241"/>
      <c r="K52" s="241"/>
      <c r="L52" s="241"/>
      <c r="M52" s="241"/>
      <c r="N52" s="241"/>
      <c r="O52" s="241"/>
    </row>
    <row r="53" spans="6:15">
      <c r="F53" s="226"/>
      <c r="G53" s="240"/>
      <c r="I53" s="241"/>
      <c r="J53" s="241"/>
      <c r="K53" s="241"/>
      <c r="L53" s="241"/>
      <c r="M53" s="241"/>
      <c r="N53" s="241"/>
      <c r="O53" s="241"/>
    </row>
    <row r="54" spans="6:15">
      <c r="F54" s="226"/>
      <c r="G54" s="240"/>
      <c r="I54" s="241"/>
      <c r="J54" s="241"/>
      <c r="K54" s="241"/>
      <c r="L54" s="241"/>
      <c r="M54" s="241"/>
      <c r="N54" s="241"/>
      <c r="O54" s="241"/>
    </row>
    <row r="55" spans="6:15">
      <c r="F55" s="226"/>
      <c r="G55" s="240"/>
      <c r="I55" s="241"/>
      <c r="J55" s="241"/>
      <c r="K55" s="241"/>
      <c r="L55" s="241"/>
      <c r="M55" s="241"/>
      <c r="N55" s="241"/>
      <c r="O55" s="241"/>
    </row>
    <row r="56" spans="6:15">
      <c r="F56" s="226"/>
      <c r="G56" s="240"/>
      <c r="I56" s="241"/>
      <c r="J56" s="241"/>
      <c r="K56" s="241"/>
      <c r="L56" s="241"/>
      <c r="M56" s="241"/>
      <c r="N56" s="241"/>
      <c r="O56" s="241"/>
    </row>
    <row r="57" spans="6:15">
      <c r="F57" s="226"/>
      <c r="G57" s="240"/>
      <c r="I57" s="241"/>
      <c r="J57" s="241"/>
      <c r="K57" s="241"/>
      <c r="L57" s="241"/>
      <c r="M57" s="241"/>
      <c r="N57" s="241"/>
      <c r="O57" s="241"/>
    </row>
    <row r="58" spans="6:15">
      <c r="F58" s="226"/>
      <c r="G58" s="240"/>
      <c r="I58" s="241"/>
      <c r="J58" s="241"/>
      <c r="K58" s="241"/>
      <c r="L58" s="241"/>
      <c r="M58" s="241"/>
      <c r="N58" s="241"/>
      <c r="O58" s="241"/>
    </row>
  </sheetData>
  <mergeCells count="2">
    <mergeCell ref="G6:I6"/>
    <mergeCell ref="O6:Q6"/>
  </mergeCells>
  <printOptions horizontalCentered="1"/>
  <pageMargins left="0.75" right="0.75" top="1" bottom="0.5" header="0.5" footer="0.2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HQ50"/>
  <sheetViews>
    <sheetView topLeftCell="D1" zoomScale="80" zoomScaleNormal="80" workbookViewId="0">
      <selection activeCell="O55" sqref="O55"/>
    </sheetView>
  </sheetViews>
  <sheetFormatPr defaultColWidth="8.4140625" defaultRowHeight="13"/>
  <cols>
    <col min="1" max="1" width="7.5" style="203" bestFit="1" customWidth="1"/>
    <col min="2" max="2" width="2.5" style="203" customWidth="1"/>
    <col min="3" max="3" width="35.5" style="203" customWidth="1"/>
    <col min="4" max="4" width="8" style="204" bestFit="1" customWidth="1"/>
    <col min="5" max="5" width="14.9140625" style="203" bestFit="1" customWidth="1"/>
    <col min="6" max="7" width="12.4140625" style="203" bestFit="1" customWidth="1"/>
    <col min="8" max="8" width="11.08203125" style="203" bestFit="1" customWidth="1"/>
    <col min="9" max="9" width="14.58203125" style="203" customWidth="1"/>
    <col min="10" max="10" width="12.4140625" style="203" bestFit="1" customWidth="1"/>
    <col min="11" max="11" width="10.58203125" style="203" bestFit="1" customWidth="1"/>
    <col min="12" max="13" width="11.58203125" style="203" customWidth="1"/>
    <col min="14" max="14" width="11.58203125" style="203" bestFit="1" customWidth="1"/>
    <col min="15" max="16" width="11.58203125" style="203" customWidth="1"/>
    <col min="17" max="17" width="10.58203125" style="203" bestFit="1" customWidth="1"/>
    <col min="18" max="18" width="25" style="203" bestFit="1" customWidth="1"/>
    <col min="19" max="19" width="23.4140625" style="203" bestFit="1" customWidth="1"/>
    <col min="20" max="20" width="9.9140625" style="203" bestFit="1" customWidth="1"/>
    <col min="21" max="49" width="8.4140625" style="203"/>
    <col min="50" max="224" width="8.4140625" style="205"/>
    <col min="225" max="16384" width="8.4140625" style="203"/>
  </cols>
  <sheetData>
    <row r="1" spans="1:225">
      <c r="A1" s="375" t="s">
        <v>239</v>
      </c>
      <c r="B1" s="375"/>
      <c r="C1" s="375"/>
      <c r="D1" s="376"/>
      <c r="E1" s="376"/>
      <c r="F1" s="377"/>
      <c r="G1" s="376"/>
      <c r="H1" s="376"/>
      <c r="I1" s="376"/>
      <c r="J1" s="377"/>
      <c r="K1" s="377"/>
      <c r="L1" s="377"/>
      <c r="M1" s="377"/>
      <c r="N1" s="377"/>
      <c r="O1" s="376"/>
      <c r="P1" s="376"/>
      <c r="Q1" s="207" t="s">
        <v>436</v>
      </c>
    </row>
    <row r="2" spans="1:225">
      <c r="A2" s="375" t="s">
        <v>437</v>
      </c>
      <c r="B2" s="376"/>
      <c r="C2" s="376"/>
      <c r="D2" s="376"/>
      <c r="E2" s="376"/>
      <c r="F2" s="377"/>
      <c r="G2" s="376"/>
      <c r="H2" s="377"/>
      <c r="I2" s="377"/>
      <c r="J2" s="377"/>
      <c r="K2" s="377"/>
      <c r="L2" s="377"/>
      <c r="M2" s="377"/>
      <c r="N2" s="377"/>
      <c r="O2" s="376"/>
      <c r="P2" s="376"/>
      <c r="Q2" s="207" t="s">
        <v>438</v>
      </c>
    </row>
    <row r="3" spans="1:225">
      <c r="A3" s="375" t="s">
        <v>315</v>
      </c>
      <c r="B3" s="376"/>
      <c r="C3" s="376"/>
      <c r="D3" s="376"/>
      <c r="E3" s="376"/>
      <c r="F3" s="377"/>
      <c r="G3" s="376"/>
      <c r="H3" s="377"/>
      <c r="I3" s="377"/>
      <c r="J3" s="377"/>
      <c r="K3" s="377"/>
      <c r="L3" s="377"/>
      <c r="M3" s="377"/>
      <c r="N3" s="377"/>
      <c r="O3" s="376"/>
      <c r="P3" s="376"/>
    </row>
    <row r="4" spans="1:225">
      <c r="A4" s="375" t="s">
        <v>316</v>
      </c>
      <c r="B4" s="376"/>
      <c r="C4" s="376"/>
      <c r="D4" s="376"/>
      <c r="E4" s="376"/>
      <c r="F4" s="377"/>
      <c r="G4" s="376"/>
      <c r="H4" s="377"/>
      <c r="I4" s="377"/>
      <c r="J4" s="377"/>
      <c r="K4" s="377"/>
      <c r="L4" s="377"/>
      <c r="M4" s="377"/>
      <c r="N4" s="377"/>
      <c r="O4" s="377"/>
      <c r="P4" s="376"/>
      <c r="Q4" s="206"/>
      <c r="R4" s="206"/>
    </row>
    <row r="5" spans="1:225">
      <c r="A5" s="375" t="s">
        <v>439</v>
      </c>
      <c r="B5" s="376"/>
      <c r="C5" s="375"/>
      <c r="D5" s="376"/>
      <c r="E5" s="376"/>
      <c r="F5" s="377"/>
      <c r="G5" s="376"/>
      <c r="H5" s="377"/>
      <c r="I5" s="377"/>
      <c r="J5" s="377"/>
      <c r="K5" s="377"/>
      <c r="L5" s="377"/>
      <c r="M5" s="377"/>
      <c r="N5" s="377"/>
      <c r="O5" s="377"/>
      <c r="P5" s="376"/>
      <c r="Q5" s="206"/>
      <c r="R5" s="206"/>
    </row>
    <row r="6" spans="1:225">
      <c r="A6" s="378"/>
      <c r="B6" s="378"/>
      <c r="C6" s="378"/>
      <c r="D6" s="379"/>
      <c r="E6" s="380"/>
      <c r="F6" s="381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2"/>
      <c r="AX6" s="203"/>
      <c r="HQ6" s="205"/>
    </row>
    <row r="7" spans="1:225">
      <c r="A7" s="378"/>
      <c r="B7" s="378"/>
      <c r="C7" s="378"/>
      <c r="D7" s="383"/>
      <c r="E7" s="379" t="s">
        <v>317</v>
      </c>
      <c r="F7" s="379"/>
      <c r="G7" s="379" t="s">
        <v>318</v>
      </c>
      <c r="H7" s="379" t="s">
        <v>318</v>
      </c>
      <c r="I7" s="379" t="s">
        <v>319</v>
      </c>
      <c r="J7" s="379" t="s">
        <v>318</v>
      </c>
      <c r="K7" s="379"/>
      <c r="L7" s="379" t="s">
        <v>320</v>
      </c>
      <c r="M7" s="379" t="s">
        <v>321</v>
      </c>
      <c r="N7" s="379" t="s">
        <v>318</v>
      </c>
      <c r="O7" s="379"/>
      <c r="P7" s="379"/>
      <c r="Q7" s="382"/>
      <c r="AX7" s="203"/>
      <c r="HQ7" s="205"/>
    </row>
    <row r="8" spans="1:225">
      <c r="A8" s="379" t="s">
        <v>322</v>
      </c>
      <c r="B8" s="378"/>
      <c r="C8" s="378"/>
      <c r="D8" s="383" t="s">
        <v>323</v>
      </c>
      <c r="E8" s="379" t="s">
        <v>324</v>
      </c>
      <c r="F8" s="379" t="s">
        <v>248</v>
      </c>
      <c r="G8" s="379" t="s">
        <v>325</v>
      </c>
      <c r="H8" s="379" t="s">
        <v>326</v>
      </c>
      <c r="I8" s="379" t="s">
        <v>327</v>
      </c>
      <c r="J8" s="379" t="s">
        <v>328</v>
      </c>
      <c r="K8" s="379" t="s">
        <v>266</v>
      </c>
      <c r="L8" s="379" t="s">
        <v>329</v>
      </c>
      <c r="M8" s="379" t="s">
        <v>327</v>
      </c>
      <c r="N8" s="379" t="s">
        <v>330</v>
      </c>
      <c r="O8" s="379" t="s">
        <v>331</v>
      </c>
      <c r="P8" s="379" t="s">
        <v>331</v>
      </c>
      <c r="Q8" s="382"/>
      <c r="AX8" s="203"/>
      <c r="HQ8" s="205"/>
    </row>
    <row r="9" spans="1:225">
      <c r="A9" s="384" t="s">
        <v>332</v>
      </c>
      <c r="B9" s="385"/>
      <c r="C9" s="384" t="s">
        <v>333</v>
      </c>
      <c r="D9" s="386" t="s">
        <v>334</v>
      </c>
      <c r="E9" s="384" t="s">
        <v>335</v>
      </c>
      <c r="F9" s="384" t="s">
        <v>336</v>
      </c>
      <c r="G9" s="384" t="s">
        <v>337</v>
      </c>
      <c r="H9" s="384" t="s">
        <v>338</v>
      </c>
      <c r="I9" s="384" t="s">
        <v>339</v>
      </c>
      <c r="J9" s="384" t="s">
        <v>340</v>
      </c>
      <c r="K9" s="384" t="s">
        <v>341</v>
      </c>
      <c r="L9" s="384" t="s">
        <v>342</v>
      </c>
      <c r="M9" s="384" t="s">
        <v>342</v>
      </c>
      <c r="N9" s="384" t="s">
        <v>343</v>
      </c>
      <c r="O9" s="384" t="s">
        <v>344</v>
      </c>
      <c r="P9" s="384" t="s">
        <v>345</v>
      </c>
      <c r="Q9" s="382"/>
      <c r="AX9" s="203"/>
      <c r="HQ9" s="205"/>
    </row>
    <row r="10" spans="1:225">
      <c r="A10" s="387"/>
      <c r="B10" s="380"/>
      <c r="C10" s="380"/>
      <c r="D10" s="388"/>
      <c r="E10" s="381"/>
      <c r="F10" s="389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82"/>
      <c r="R10" s="206"/>
      <c r="S10" s="206"/>
      <c r="AX10" s="203"/>
      <c r="HQ10" s="205"/>
    </row>
    <row r="11" spans="1:225">
      <c r="A11" s="379" t="s">
        <v>346</v>
      </c>
      <c r="B11" s="378" t="s">
        <v>347</v>
      </c>
      <c r="C11" s="378"/>
      <c r="D11" s="391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82"/>
      <c r="R11" s="206"/>
      <c r="S11" s="206"/>
      <c r="AB11" s="393"/>
      <c r="AX11" s="203"/>
      <c r="HQ11" s="205"/>
    </row>
    <row r="12" spans="1:225">
      <c r="A12" s="379"/>
      <c r="B12" s="378"/>
      <c r="C12" s="378" t="s">
        <v>348</v>
      </c>
      <c r="D12" s="391" t="s">
        <v>349</v>
      </c>
      <c r="E12" s="393">
        <v>167027068.07079521</v>
      </c>
      <c r="F12" s="392">
        <v>55569690.272337057</v>
      </c>
      <c r="G12" s="392">
        <v>45502423.791688539</v>
      </c>
      <c r="H12" s="392">
        <v>15145334.494932704</v>
      </c>
      <c r="I12" s="392">
        <v>312079.43333308282</v>
      </c>
      <c r="J12" s="392">
        <v>31151218.693030756</v>
      </c>
      <c r="K12" s="392">
        <v>1210480.1472651893</v>
      </c>
      <c r="L12" s="392">
        <v>38548.656719925064</v>
      </c>
      <c r="M12" s="392">
        <v>68827.475591127135</v>
      </c>
      <c r="N12" s="392">
        <v>11621267.144387983</v>
      </c>
      <c r="O12" s="392">
        <v>3275936.9430865608</v>
      </c>
      <c r="P12" s="392">
        <v>3131261.0184222809</v>
      </c>
      <c r="Q12" s="382">
        <v>0</v>
      </c>
      <c r="R12" s="206"/>
      <c r="S12" s="206"/>
      <c r="AB12" s="393"/>
      <c r="AX12" s="203"/>
      <c r="HQ12" s="205"/>
    </row>
    <row r="13" spans="1:225">
      <c r="A13" s="379"/>
      <c r="B13" s="378"/>
      <c r="C13" s="378"/>
      <c r="D13" s="383"/>
      <c r="E13" s="394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82"/>
      <c r="R13" s="206"/>
      <c r="S13" s="206"/>
      <c r="AX13" s="203"/>
      <c r="HQ13" s="205"/>
    </row>
    <row r="14" spans="1:225">
      <c r="A14" s="379" t="s">
        <v>350</v>
      </c>
      <c r="B14" s="378" t="s">
        <v>351</v>
      </c>
      <c r="C14" s="378"/>
      <c r="D14" s="38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82"/>
      <c r="AV14" s="205"/>
      <c r="AW14" s="205"/>
      <c r="HO14" s="203"/>
      <c r="HP14" s="203"/>
    </row>
    <row r="15" spans="1:225">
      <c r="A15" s="379"/>
      <c r="B15" s="378"/>
      <c r="C15" s="378" t="s">
        <v>348</v>
      </c>
      <c r="D15" s="383" t="s">
        <v>349</v>
      </c>
      <c r="E15" s="393">
        <v>35361292.340701707</v>
      </c>
      <c r="F15" s="392">
        <v>11764656.385930676</v>
      </c>
      <c r="G15" s="392">
        <v>9633315.8959984034</v>
      </c>
      <c r="H15" s="392">
        <v>3206418.0187011971</v>
      </c>
      <c r="I15" s="392">
        <v>66070.321433973862</v>
      </c>
      <c r="J15" s="392">
        <v>6595022.9726028377</v>
      </c>
      <c r="K15" s="392">
        <v>256270.69225640286</v>
      </c>
      <c r="L15" s="392">
        <v>8161.1342123113618</v>
      </c>
      <c r="M15" s="392">
        <v>14571.461461676186</v>
      </c>
      <c r="N15" s="392">
        <v>2460337.8937832704</v>
      </c>
      <c r="O15" s="392">
        <v>693548.44859689847</v>
      </c>
      <c r="P15" s="392">
        <v>662919.11572405824</v>
      </c>
      <c r="Q15" s="382">
        <v>0</v>
      </c>
      <c r="AV15" s="205"/>
      <c r="AW15" s="205"/>
      <c r="HO15" s="203"/>
      <c r="HP15" s="203"/>
    </row>
    <row r="16" spans="1:225">
      <c r="A16" s="379"/>
      <c r="B16" s="378"/>
      <c r="C16" s="378" t="s">
        <v>352</v>
      </c>
      <c r="D16" s="383" t="s">
        <v>353</v>
      </c>
      <c r="E16" s="393">
        <v>5706864.1734222751</v>
      </c>
      <c r="F16" s="392">
        <v>1594962.7621472436</v>
      </c>
      <c r="G16" s="392">
        <v>1561618.7436233934</v>
      </c>
      <c r="H16" s="392">
        <v>555991.81028206332</v>
      </c>
      <c r="I16" s="392">
        <v>21971.531964621361</v>
      </c>
      <c r="J16" s="392">
        <v>1246293.3036456718</v>
      </c>
      <c r="K16" s="392">
        <v>48819.263616687254</v>
      </c>
      <c r="L16" s="392">
        <v>1588.3033379401202</v>
      </c>
      <c r="M16" s="392">
        <v>4508.4855042878526</v>
      </c>
      <c r="N16" s="392">
        <v>357586.69828065188</v>
      </c>
      <c r="O16" s="392">
        <v>131688.8048233492</v>
      </c>
      <c r="P16" s="392">
        <v>181834.46619636531</v>
      </c>
      <c r="Q16" s="382">
        <v>0</v>
      </c>
      <c r="AV16" s="205"/>
      <c r="AW16" s="205"/>
      <c r="HO16" s="203"/>
      <c r="HP16" s="203"/>
    </row>
    <row r="17" spans="1:225">
      <c r="A17" s="379"/>
      <c r="B17" s="378"/>
      <c r="C17" s="378"/>
      <c r="D17" s="383"/>
      <c r="E17" s="393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82"/>
      <c r="AV17" s="205"/>
      <c r="AW17" s="205"/>
      <c r="HO17" s="203"/>
      <c r="HP17" s="203"/>
    </row>
    <row r="18" spans="1:225">
      <c r="A18" s="379" t="s">
        <v>354</v>
      </c>
      <c r="B18" s="378" t="s">
        <v>355</v>
      </c>
      <c r="C18" s="378"/>
      <c r="D18" s="391" t="s">
        <v>353</v>
      </c>
      <c r="E18" s="393">
        <v>332661293.95200479</v>
      </c>
      <c r="F18" s="392">
        <v>92972665.922586277</v>
      </c>
      <c r="G18" s="392">
        <v>91028995.281297505</v>
      </c>
      <c r="H18" s="392">
        <v>32409559.683673758</v>
      </c>
      <c r="I18" s="392">
        <v>1280752.0963085566</v>
      </c>
      <c r="J18" s="392">
        <v>72648223.338714197</v>
      </c>
      <c r="K18" s="392">
        <v>2845744.8628521133</v>
      </c>
      <c r="L18" s="392">
        <v>92584.478538692681</v>
      </c>
      <c r="M18" s="392">
        <v>262806.08334872272</v>
      </c>
      <c r="N18" s="392">
        <v>20844241.274228901</v>
      </c>
      <c r="O18" s="392">
        <v>7676329.2204408366</v>
      </c>
      <c r="P18" s="392">
        <v>10599391.710015224</v>
      </c>
      <c r="Q18" s="382">
        <v>0</v>
      </c>
      <c r="AV18" s="205"/>
      <c r="AW18" s="205"/>
      <c r="HO18" s="203"/>
      <c r="HP18" s="203"/>
    </row>
    <row r="19" spans="1:225">
      <c r="A19" s="379"/>
      <c r="B19" s="378"/>
      <c r="C19" s="395" t="s">
        <v>356</v>
      </c>
      <c r="D19" s="383" t="s">
        <v>353</v>
      </c>
      <c r="E19" s="393">
        <v>22575302.411504827</v>
      </c>
      <c r="F19" s="392">
        <v>6309378.6002919078</v>
      </c>
      <c r="G19" s="392">
        <v>6177475.8111390816</v>
      </c>
      <c r="H19" s="392">
        <v>2199401.0850814842</v>
      </c>
      <c r="I19" s="392">
        <v>86915.329237269005</v>
      </c>
      <c r="J19" s="392">
        <v>4930106.5117802294</v>
      </c>
      <c r="K19" s="392">
        <v>193120.00534135368</v>
      </c>
      <c r="L19" s="392">
        <v>6283.0351460245965</v>
      </c>
      <c r="M19" s="392">
        <v>17834.737359124625</v>
      </c>
      <c r="N19" s="392">
        <v>1414547.044874958</v>
      </c>
      <c r="O19" s="392">
        <v>520936.63047774194</v>
      </c>
      <c r="P19" s="392">
        <v>719303.62077565328</v>
      </c>
      <c r="Q19" s="382">
        <v>0</v>
      </c>
      <c r="AV19" s="205"/>
      <c r="AW19" s="205"/>
      <c r="HO19" s="203"/>
      <c r="HP19" s="203"/>
    </row>
    <row r="20" spans="1:225">
      <c r="A20" s="379"/>
      <c r="B20" s="378"/>
      <c r="C20" s="378"/>
      <c r="D20" s="383"/>
      <c r="E20" s="396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2"/>
      <c r="AV20" s="205"/>
      <c r="AW20" s="205"/>
      <c r="HO20" s="203"/>
      <c r="HP20" s="203"/>
    </row>
    <row r="21" spans="1:225">
      <c r="A21" s="379" t="s">
        <v>357</v>
      </c>
      <c r="B21" s="378" t="s">
        <v>358</v>
      </c>
      <c r="C21" s="378"/>
      <c r="D21" s="391" t="s">
        <v>353</v>
      </c>
      <c r="E21" s="393">
        <v>1573900.8729061289</v>
      </c>
      <c r="F21" s="392">
        <v>439876.12238735653</v>
      </c>
      <c r="G21" s="392">
        <v>430680.14745855168</v>
      </c>
      <c r="H21" s="392">
        <v>153337.4492434845</v>
      </c>
      <c r="I21" s="392">
        <v>6059.5472903054988</v>
      </c>
      <c r="J21" s="392">
        <v>343716.27901014057</v>
      </c>
      <c r="K21" s="392">
        <v>13463.905795897241</v>
      </c>
      <c r="L21" s="392">
        <v>438.03951418114474</v>
      </c>
      <c r="M21" s="392">
        <v>1243.399011269621</v>
      </c>
      <c r="N21" s="392">
        <v>98619.136440045448</v>
      </c>
      <c r="O21" s="392">
        <v>36318.566302786567</v>
      </c>
      <c r="P21" s="392">
        <v>50148.280452110026</v>
      </c>
      <c r="Q21" s="382">
        <v>0</v>
      </c>
      <c r="AV21" s="205"/>
      <c r="AW21" s="205"/>
      <c r="HO21" s="203"/>
      <c r="HP21" s="203"/>
    </row>
    <row r="22" spans="1:225">
      <c r="A22" s="379"/>
      <c r="B22" s="378"/>
      <c r="C22" s="378"/>
      <c r="D22" s="383"/>
      <c r="E22" s="396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2"/>
      <c r="AV22" s="205"/>
      <c r="AW22" s="205"/>
      <c r="HO22" s="203"/>
      <c r="HP22" s="203"/>
    </row>
    <row r="23" spans="1:225">
      <c r="A23" s="379" t="s">
        <v>359</v>
      </c>
      <c r="B23" s="378" t="s">
        <v>360</v>
      </c>
      <c r="C23" s="378"/>
      <c r="D23" s="383" t="s">
        <v>353</v>
      </c>
      <c r="E23" s="393">
        <v>111522622.03192005</v>
      </c>
      <c r="F23" s="392">
        <v>31168505.833084695</v>
      </c>
      <c r="G23" s="392">
        <v>30516902.38470076</v>
      </c>
      <c r="H23" s="392">
        <v>10865102.55486704</v>
      </c>
      <c r="I23" s="392">
        <v>429364.14470213605</v>
      </c>
      <c r="J23" s="392">
        <v>24354863.339955781</v>
      </c>
      <c r="K23" s="392">
        <v>954018.19961934828</v>
      </c>
      <c r="L23" s="392">
        <v>31038.368436042725</v>
      </c>
      <c r="M23" s="392">
        <v>88104.098775066552</v>
      </c>
      <c r="N23" s="392">
        <v>6987901.7590286983</v>
      </c>
      <c r="O23" s="392">
        <v>2573441.4487286871</v>
      </c>
      <c r="P23" s="392">
        <v>3553379.9000217915</v>
      </c>
      <c r="Q23" s="382">
        <v>0</v>
      </c>
      <c r="AV23" s="205"/>
      <c r="AW23" s="205"/>
      <c r="HO23" s="203"/>
      <c r="HP23" s="203"/>
    </row>
    <row r="24" spans="1:225">
      <c r="A24" s="379"/>
      <c r="B24" s="378"/>
      <c r="C24" s="395" t="s">
        <v>361</v>
      </c>
      <c r="D24" s="383" t="s">
        <v>353</v>
      </c>
      <c r="E24" s="393">
        <v>4364211.5432015778</v>
      </c>
      <c r="F24" s="392">
        <v>1219716.2375016662</v>
      </c>
      <c r="G24" s="392">
        <v>1194217.0585977377</v>
      </c>
      <c r="H24" s="392">
        <v>425183.74410572782</v>
      </c>
      <c r="I24" s="392">
        <v>16802.294659191251</v>
      </c>
      <c r="J24" s="392">
        <v>953078.16284044739</v>
      </c>
      <c r="K24" s="392">
        <v>37333.566619438498</v>
      </c>
      <c r="L24" s="392">
        <v>1214.6235745062588</v>
      </c>
      <c r="M24" s="392">
        <v>3447.7751497580853</v>
      </c>
      <c r="N24" s="392">
        <v>273457.35747481696</v>
      </c>
      <c r="O24" s="392">
        <v>100706.40979980344</v>
      </c>
      <c r="P24" s="392">
        <v>139054.31287848443</v>
      </c>
      <c r="Q24" s="382">
        <v>0</v>
      </c>
      <c r="R24" s="206"/>
      <c r="S24" s="206"/>
      <c r="AX24" s="203"/>
      <c r="HQ24" s="205"/>
    </row>
    <row r="25" spans="1:225">
      <c r="A25" s="379"/>
      <c r="B25" s="378"/>
      <c r="C25" s="378"/>
      <c r="D25" s="383"/>
      <c r="E25" s="396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2"/>
      <c r="AX25" s="203"/>
      <c r="HQ25" s="205"/>
    </row>
    <row r="26" spans="1:225">
      <c r="A26" s="379" t="s">
        <v>362</v>
      </c>
      <c r="B26" s="378" t="s">
        <v>363</v>
      </c>
      <c r="C26" s="378"/>
      <c r="D26" s="391"/>
      <c r="E26" s="393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82"/>
      <c r="R26" s="206"/>
      <c r="S26" s="206"/>
      <c r="AX26" s="203"/>
      <c r="HQ26" s="205"/>
    </row>
    <row r="27" spans="1:225">
      <c r="A27" s="379"/>
      <c r="B27" s="378"/>
      <c r="C27" s="378" t="s">
        <v>348</v>
      </c>
      <c r="D27" s="391" t="s">
        <v>349</v>
      </c>
      <c r="E27" s="393">
        <v>250607793.96013552</v>
      </c>
      <c r="F27" s="392">
        <v>83376890.051711306</v>
      </c>
      <c r="G27" s="392">
        <v>68271940.45842272</v>
      </c>
      <c r="H27" s="392">
        <v>22724094.426148169</v>
      </c>
      <c r="I27" s="392">
        <v>468244.6936970934</v>
      </c>
      <c r="J27" s="392">
        <v>46739359.590035141</v>
      </c>
      <c r="K27" s="392">
        <v>1816207.1743370979</v>
      </c>
      <c r="L27" s="392">
        <v>57838.49248082524</v>
      </c>
      <c r="M27" s="392">
        <v>103268.90138804629</v>
      </c>
      <c r="N27" s="392">
        <v>17436575.734192077</v>
      </c>
      <c r="O27" s="392">
        <v>4915223.2625639979</v>
      </c>
      <c r="P27" s="392">
        <v>4698151.175159038</v>
      </c>
      <c r="Q27" s="382">
        <v>0</v>
      </c>
      <c r="AX27" s="203"/>
      <c r="HQ27" s="205"/>
    </row>
    <row r="28" spans="1:225">
      <c r="A28" s="379"/>
      <c r="B28" s="378"/>
      <c r="C28" s="378" t="s">
        <v>352</v>
      </c>
      <c r="D28" s="383" t="s">
        <v>353</v>
      </c>
      <c r="E28" s="393">
        <v>10932905.291081924</v>
      </c>
      <c r="F28" s="392">
        <v>3055544.3920616959</v>
      </c>
      <c r="G28" s="392">
        <v>2991665.7039648099</v>
      </c>
      <c r="H28" s="392">
        <v>1065139.3864847824</v>
      </c>
      <c r="I28" s="392">
        <v>42091.886326625943</v>
      </c>
      <c r="J28" s="392">
        <v>2387582.083541472</v>
      </c>
      <c r="K28" s="392">
        <v>93525.335329916212</v>
      </c>
      <c r="L28" s="392">
        <v>3042.7866231824769</v>
      </c>
      <c r="M28" s="392">
        <v>8637.1155027921814</v>
      </c>
      <c r="N28" s="392">
        <v>685045.47976803174</v>
      </c>
      <c r="O28" s="392">
        <v>252282.37211856921</v>
      </c>
      <c r="P28" s="392">
        <v>348348.74936004548</v>
      </c>
      <c r="Q28" s="382">
        <v>0</v>
      </c>
      <c r="R28" s="206"/>
      <c r="S28" s="206"/>
      <c r="AX28" s="203"/>
      <c r="HQ28" s="205"/>
    </row>
    <row r="29" spans="1:225">
      <c r="A29" s="379"/>
      <c r="B29" s="378"/>
      <c r="C29" s="378"/>
      <c r="D29" s="383"/>
      <c r="E29" s="396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2"/>
      <c r="AX29" s="203"/>
      <c r="HQ29" s="205"/>
    </row>
    <row r="30" spans="1:225">
      <c r="A30" s="379" t="s">
        <v>364</v>
      </c>
      <c r="B30" s="378" t="s">
        <v>365</v>
      </c>
      <c r="C30" s="378"/>
      <c r="D30" s="391" t="s">
        <v>349</v>
      </c>
      <c r="E30" s="393">
        <v>59361874.608875461</v>
      </c>
      <c r="F30" s="392">
        <v>19749619.173117142</v>
      </c>
      <c r="G30" s="392">
        <v>16171685.264673678</v>
      </c>
      <c r="H30" s="392">
        <v>5382693.1022737129</v>
      </c>
      <c r="I30" s="392">
        <v>110913.8800285664</v>
      </c>
      <c r="J30" s="392">
        <v>11071227.911308119</v>
      </c>
      <c r="K30" s="392">
        <v>430207.93903915386</v>
      </c>
      <c r="L30" s="392">
        <v>13700.297520512428</v>
      </c>
      <c r="M30" s="392">
        <v>24461.47216063309</v>
      </c>
      <c r="N30" s="392">
        <v>4130229.9740363229</v>
      </c>
      <c r="O30" s="392">
        <v>1164276.906062088</v>
      </c>
      <c r="P30" s="392">
        <v>1112858.6886555301</v>
      </c>
      <c r="Q30" s="382">
        <v>0</v>
      </c>
      <c r="R30" s="206"/>
      <c r="S30" s="206"/>
      <c r="AX30" s="203"/>
      <c r="HQ30" s="205"/>
    </row>
    <row r="31" spans="1:225">
      <c r="A31" s="379"/>
      <c r="B31" s="378" t="s">
        <v>352</v>
      </c>
      <c r="C31" s="380"/>
      <c r="D31" s="391" t="s">
        <v>353</v>
      </c>
      <c r="E31" s="397">
        <v>3427163.3991312459</v>
      </c>
      <c r="F31" s="398">
        <v>957828.64902676584</v>
      </c>
      <c r="G31" s="398">
        <v>937804.44722482155</v>
      </c>
      <c r="H31" s="398">
        <v>333891.73537535616</v>
      </c>
      <c r="I31" s="398">
        <v>13194.642080790381</v>
      </c>
      <c r="J31" s="398">
        <v>748440.94147687417</v>
      </c>
      <c r="K31" s="398">
        <v>29317.605668423916</v>
      </c>
      <c r="L31" s="398">
        <v>953.82944136939216</v>
      </c>
      <c r="M31" s="398">
        <v>2707.4968031950389</v>
      </c>
      <c r="N31" s="398">
        <v>214742.80920702711</v>
      </c>
      <c r="O31" s="398">
        <v>79083.545402706688</v>
      </c>
      <c r="P31" s="398">
        <v>109197.69742391579</v>
      </c>
      <c r="Q31" s="382">
        <v>0</v>
      </c>
      <c r="AX31" s="203"/>
      <c r="HQ31" s="205"/>
    </row>
    <row r="32" spans="1:225">
      <c r="A32" s="379"/>
      <c r="B32" s="378"/>
      <c r="C32" s="378"/>
      <c r="D32" s="378"/>
      <c r="E32" s="399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382"/>
      <c r="AX32" s="203"/>
      <c r="HQ32" s="205"/>
    </row>
    <row r="33" spans="1:17" s="203" customFormat="1">
      <c r="A33" s="204"/>
      <c r="B33" s="207"/>
      <c r="C33" s="207" t="s">
        <v>440</v>
      </c>
      <c r="D33" s="204"/>
      <c r="E33" s="401">
        <v>588931843.48584247</v>
      </c>
      <c r="F33" s="401">
        <v>170320715.5613538</v>
      </c>
      <c r="G33" s="401">
        <v>161024008.12616932</v>
      </c>
      <c r="H33" s="401">
        <v>56650658.843337581</v>
      </c>
      <c r="I33" s="401">
        <v>2054217.2275988567</v>
      </c>
      <c r="J33" s="401">
        <v>125184063.18938315</v>
      </c>
      <c r="K33" s="401">
        <v>4897368.491464464</v>
      </c>
      <c r="L33" s="401">
        <v>158795.85700516042</v>
      </c>
      <c r="M33" s="401">
        <v>424603.65694151702</v>
      </c>
      <c r="N33" s="401">
        <v>37646168.832798973</v>
      </c>
      <c r="O33" s="401">
        <v>13217424.165390406</v>
      </c>
      <c r="P33" s="401">
        <v>17353819.534399088</v>
      </c>
      <c r="Q33" s="402">
        <v>0</v>
      </c>
    </row>
    <row r="34" spans="1:17" s="203" customFormat="1">
      <c r="A34" s="208"/>
      <c r="C34" s="207" t="s">
        <v>366</v>
      </c>
      <c r="D34" s="204"/>
      <c r="E34" s="403">
        <v>1</v>
      </c>
      <c r="F34" s="403">
        <v>0.28920276165275516</v>
      </c>
      <c r="G34" s="403">
        <v>0.27341705140798733</v>
      </c>
      <c r="H34" s="403">
        <v>9.6192215567809464E-2</v>
      </c>
      <c r="I34" s="403">
        <v>3.4880389816249403E-3</v>
      </c>
      <c r="J34" s="403">
        <v>0.21256120648601418</v>
      </c>
      <c r="K34" s="403">
        <v>8.3156795572087178E-3</v>
      </c>
      <c r="L34" s="403">
        <v>2.6963367452719129E-4</v>
      </c>
      <c r="M34" s="403">
        <v>7.2097248881690704E-4</v>
      </c>
      <c r="N34" s="403">
        <v>6.3922793866900085E-2</v>
      </c>
      <c r="O34" s="403">
        <v>2.2443045509574561E-2</v>
      </c>
      <c r="P34" s="403">
        <v>2.9466600806781238E-2</v>
      </c>
    </row>
    <row r="35" spans="1:17" s="203" customFormat="1">
      <c r="D35" s="204"/>
      <c r="E35" s="402"/>
    </row>
    <row r="36" spans="1:17" s="203" customFormat="1">
      <c r="C36" s="207" t="s">
        <v>367</v>
      </c>
      <c r="D36" s="404">
        <v>0.75</v>
      </c>
      <c r="E36" s="405">
        <v>80685981.118135542</v>
      </c>
      <c r="F36" s="405">
        <v>26844121.924920537</v>
      </c>
      <c r="G36" s="405">
        <v>21980914.526557095</v>
      </c>
      <c r="H36" s="405">
        <v>7316276.2610909874</v>
      </c>
      <c r="I36" s="405">
        <v>150756.61421895237</v>
      </c>
      <c r="J36" s="405">
        <v>15048259.376782246</v>
      </c>
      <c r="K36" s="405">
        <v>584748.20539099467</v>
      </c>
      <c r="L36" s="405">
        <v>18621.74930182593</v>
      </c>
      <c r="M36" s="405">
        <v>33248.577371907042</v>
      </c>
      <c r="N36" s="405">
        <v>5613900.5025428589</v>
      </c>
      <c r="O36" s="405">
        <v>1582511.0827069699</v>
      </c>
      <c r="P36" s="405">
        <v>1512622.2972511717</v>
      </c>
      <c r="Q36" s="402">
        <v>0</v>
      </c>
    </row>
    <row r="37" spans="1:17" s="203" customFormat="1">
      <c r="C37" s="207"/>
      <c r="D37" s="204"/>
      <c r="E37" s="406">
        <v>0.13700393689117132</v>
      </c>
      <c r="F37" s="406">
        <v>0.15760925989798705</v>
      </c>
      <c r="G37" s="406">
        <v>0.1365070636506209</v>
      </c>
      <c r="H37" s="406">
        <v>0.12914724048176573</v>
      </c>
      <c r="I37" s="406">
        <v>7.3388837457647793E-2</v>
      </c>
      <c r="J37" s="406">
        <v>0.1202090665008746</v>
      </c>
      <c r="K37" s="406">
        <v>0.11940049159260567</v>
      </c>
      <c r="L37" s="406">
        <v>0.11726848327800375</v>
      </c>
      <c r="M37" s="406">
        <v>7.8304971773916099E-2</v>
      </c>
      <c r="N37" s="406">
        <v>0.14912275741726436</v>
      </c>
      <c r="O37" s="406">
        <v>0.11972915924501747</v>
      </c>
      <c r="P37" s="406">
        <v>8.7163652604132558E-2</v>
      </c>
    </row>
    <row r="38" spans="1:17" s="203" customFormat="1">
      <c r="C38" s="207"/>
      <c r="D38" s="204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</row>
    <row r="39" spans="1:17" s="203" customFormat="1">
      <c r="C39" s="207" t="s">
        <v>368</v>
      </c>
      <c r="D39" s="208"/>
      <c r="E39" s="407">
        <v>508245862.36770689</v>
      </c>
      <c r="F39" s="407">
        <v>143476593.63643327</v>
      </c>
      <c r="G39" s="407">
        <v>139043093.59961224</v>
      </c>
      <c r="H39" s="407">
        <v>49334382.582246594</v>
      </c>
      <c r="I39" s="407">
        <v>1903460.6133799043</v>
      </c>
      <c r="J39" s="407">
        <v>110135803.81260091</v>
      </c>
      <c r="K39" s="407">
        <v>4312620.2860734696</v>
      </c>
      <c r="L39" s="407">
        <v>140174.10770333448</v>
      </c>
      <c r="M39" s="407">
        <v>391355.07956960995</v>
      </c>
      <c r="N39" s="407">
        <v>32032268.330256112</v>
      </c>
      <c r="O39" s="407">
        <v>11634913.082683437</v>
      </c>
      <c r="P39" s="407">
        <v>15841197.237147916</v>
      </c>
      <c r="Q39" s="402">
        <v>0</v>
      </c>
    </row>
    <row r="40" spans="1:17" s="203" customFormat="1">
      <c r="C40" s="207"/>
      <c r="D40" s="204"/>
      <c r="E40" s="408">
        <v>0.86299606310882859</v>
      </c>
      <c r="F40" s="408">
        <v>0.84239074010201298</v>
      </c>
      <c r="G40" s="408">
        <v>0.86349293634937918</v>
      </c>
      <c r="H40" s="408">
        <v>0.87085275951823427</v>
      </c>
      <c r="I40" s="408">
        <v>0.92661116254235221</v>
      </c>
      <c r="J40" s="408">
        <v>0.87979093349912552</v>
      </c>
      <c r="K40" s="408">
        <v>0.88059950840739443</v>
      </c>
      <c r="L40" s="408">
        <v>0.88273151672199612</v>
      </c>
      <c r="M40" s="408">
        <v>0.92169502822608385</v>
      </c>
      <c r="N40" s="408">
        <v>0.85087724258273556</v>
      </c>
      <c r="O40" s="408">
        <v>0.88027084075498263</v>
      </c>
      <c r="P40" s="408">
        <v>0.91283634739586739</v>
      </c>
    </row>
    <row r="41" spans="1:17" s="203" customFormat="1">
      <c r="C41" s="207" t="s">
        <v>440</v>
      </c>
      <c r="D41" s="208"/>
      <c r="E41" s="402">
        <v>588931843.48584247</v>
      </c>
      <c r="F41" s="402">
        <v>170320715.5613538</v>
      </c>
      <c r="G41" s="402">
        <v>161024008.12616932</v>
      </c>
      <c r="H41" s="402">
        <v>56650658.843337581</v>
      </c>
      <c r="I41" s="402">
        <v>2054217.2275988567</v>
      </c>
      <c r="J41" s="402">
        <v>125184063.18938315</v>
      </c>
      <c r="K41" s="402">
        <v>4897368.491464464</v>
      </c>
      <c r="L41" s="402">
        <v>158795.85700516042</v>
      </c>
      <c r="M41" s="402">
        <v>424603.65694151702</v>
      </c>
      <c r="N41" s="402">
        <v>37646168.832798973</v>
      </c>
      <c r="O41" s="402">
        <v>13217424.165390406</v>
      </c>
      <c r="P41" s="402">
        <v>17353819.534399088</v>
      </c>
      <c r="Q41" s="402">
        <v>0</v>
      </c>
    </row>
    <row r="42" spans="1:17" s="203" customFormat="1">
      <c r="D42" s="204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</row>
    <row r="43" spans="1:17" s="203" customFormat="1">
      <c r="D43" s="204"/>
      <c r="E43" s="402"/>
    </row>
    <row r="44" spans="1:17" s="203" customFormat="1" ht="15.5">
      <c r="D44"/>
      <c r="E44" s="337"/>
      <c r="F44" s="383" t="s">
        <v>336</v>
      </c>
      <c r="G44" s="383" t="s">
        <v>337</v>
      </c>
      <c r="H44" s="383" t="s">
        <v>338</v>
      </c>
      <c r="I44" s="383" t="s">
        <v>339</v>
      </c>
      <c r="J44" s="383" t="s">
        <v>340</v>
      </c>
      <c r="K44" s="383" t="s">
        <v>341</v>
      </c>
      <c r="L44" s="383" t="s">
        <v>342</v>
      </c>
      <c r="M44" s="383" t="s">
        <v>342</v>
      </c>
      <c r="N44" s="383" t="s">
        <v>343</v>
      </c>
      <c r="O44" s="409" t="s">
        <v>344</v>
      </c>
      <c r="P44" s="409" t="s">
        <v>345</v>
      </c>
      <c r="Q44" s="409" t="s">
        <v>152</v>
      </c>
    </row>
    <row r="45" spans="1:17" s="203" customFormat="1">
      <c r="D45" s="410" t="s">
        <v>349</v>
      </c>
      <c r="E45" s="410" t="s">
        <v>369</v>
      </c>
      <c r="F45" s="411">
        <v>0.3326987111381467</v>
      </c>
      <c r="G45" s="411">
        <v>0.27242544766697407</v>
      </c>
      <c r="H45" s="411">
        <v>9.0675928577715809E-2</v>
      </c>
      <c r="I45" s="411">
        <v>1.8684362776505573E-3</v>
      </c>
      <c r="J45" s="411">
        <v>0.18650401430639474</v>
      </c>
      <c r="K45" s="411">
        <v>7.2472094568056577E-3</v>
      </c>
      <c r="L45" s="411">
        <v>2.307928718690436E-4</v>
      </c>
      <c r="M45" s="411">
        <v>4.120737817295235E-4</v>
      </c>
      <c r="N45" s="411">
        <v>6.9577148653907128E-2</v>
      </c>
      <c r="O45" s="411">
        <v>1.9613209888220271E-2</v>
      </c>
      <c r="P45" s="411">
        <v>1.8747027380586489E-2</v>
      </c>
      <c r="Q45" s="412">
        <v>1</v>
      </c>
    </row>
    <row r="46" spans="1:17" s="203" customFormat="1" ht="15.5">
      <c r="D46"/>
      <c r="E46" s="413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</row>
    <row r="47" spans="1:17" s="203" customFormat="1">
      <c r="D47" s="415" t="s">
        <v>353</v>
      </c>
      <c r="E47" s="415" t="s">
        <v>370</v>
      </c>
      <c r="F47" s="416">
        <v>0.27948146542110203</v>
      </c>
      <c r="G47" s="416">
        <v>0.27363867373891371</v>
      </c>
      <c r="H47" s="416">
        <v>9.7425099561927686E-2</v>
      </c>
      <c r="I47" s="416">
        <v>3.8500183808379551E-3</v>
      </c>
      <c r="J47" s="416">
        <v>0.2183849598961628</v>
      </c>
      <c r="K47" s="416">
        <v>8.5544814337873872E-3</v>
      </c>
      <c r="L47" s="416">
        <v>2.7831455063134108E-4</v>
      </c>
      <c r="M47" s="416">
        <v>7.9001100556844303E-4</v>
      </c>
      <c r="N47" s="416">
        <v>6.2659051874054919E-2</v>
      </c>
      <c r="O47" s="416">
        <v>2.3075510616959095E-2</v>
      </c>
      <c r="P47" s="416">
        <v>3.186241352005463E-2</v>
      </c>
      <c r="Q47" s="417">
        <v>1</v>
      </c>
    </row>
    <row r="50" spans="3:5" s="203" customFormat="1" ht="30">
      <c r="C50" s="418" t="s">
        <v>441</v>
      </c>
      <c r="D50" s="204"/>
      <c r="E50" s="40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H15"/>
  <sheetViews>
    <sheetView zoomScale="80" zoomScaleNormal="80" workbookViewId="0">
      <selection activeCell="F15" sqref="F15"/>
    </sheetView>
  </sheetViews>
  <sheetFormatPr defaultRowHeight="15.5"/>
  <cols>
    <col min="1" max="1" width="16.08203125" customWidth="1"/>
    <col min="2" max="2" width="20.08203125" bestFit="1" customWidth="1"/>
    <col min="3" max="3" width="32.4140625" bestFit="1" customWidth="1"/>
    <col min="4" max="4" width="17.9140625" bestFit="1" customWidth="1"/>
    <col min="5" max="5" width="13.08203125" customWidth="1"/>
    <col min="6" max="6" width="17.5" bestFit="1" customWidth="1"/>
    <col min="7" max="7" width="15.9140625" bestFit="1" customWidth="1"/>
  </cols>
  <sheetData>
    <row r="1" spans="1:8">
      <c r="A1" s="329" t="s">
        <v>403</v>
      </c>
      <c r="B1" s="329"/>
      <c r="C1" s="329"/>
      <c r="D1" s="329"/>
      <c r="E1" s="329"/>
      <c r="F1" s="329"/>
    </row>
    <row r="2" spans="1:8">
      <c r="A2" s="329"/>
      <c r="B2" s="329"/>
      <c r="C2" s="329"/>
      <c r="D2" s="329"/>
      <c r="E2" s="329"/>
      <c r="F2" s="329"/>
    </row>
    <row r="3" spans="1:8">
      <c r="A3" s="330" t="s">
        <v>404</v>
      </c>
      <c r="B3" s="330" t="s">
        <v>405</v>
      </c>
      <c r="C3" s="330" t="s">
        <v>415</v>
      </c>
      <c r="D3" s="330" t="s">
        <v>411</v>
      </c>
      <c r="E3" s="330" t="s">
        <v>406</v>
      </c>
      <c r="F3" s="330" t="s">
        <v>412</v>
      </c>
      <c r="G3" s="332" t="s">
        <v>416</v>
      </c>
    </row>
    <row r="4" spans="1:8">
      <c r="A4" s="331">
        <v>41061</v>
      </c>
      <c r="B4" t="s">
        <v>410</v>
      </c>
      <c r="C4" t="s">
        <v>409</v>
      </c>
      <c r="D4" s="327">
        <v>60</v>
      </c>
      <c r="E4">
        <v>3</v>
      </c>
      <c r="F4" s="327">
        <f t="shared" ref="F4:F9" si="0">D4/E4</f>
        <v>20</v>
      </c>
      <c r="G4" s="331">
        <v>42155</v>
      </c>
      <c r="H4" s="328" t="s">
        <v>453</v>
      </c>
    </row>
    <row r="5" spans="1:8">
      <c r="A5" s="331">
        <v>41334</v>
      </c>
      <c r="B5" t="s">
        <v>407</v>
      </c>
      <c r="C5" t="s">
        <v>408</v>
      </c>
      <c r="D5" s="327">
        <v>7.8</v>
      </c>
      <c r="E5">
        <v>2</v>
      </c>
      <c r="F5" s="327">
        <f t="shared" si="0"/>
        <v>3.9</v>
      </c>
      <c r="G5" s="331">
        <v>42063</v>
      </c>
      <c r="H5" s="328" t="s">
        <v>454</v>
      </c>
    </row>
    <row r="6" spans="1:8">
      <c r="A6" s="331">
        <v>41579</v>
      </c>
      <c r="B6" s="328" t="s">
        <v>413</v>
      </c>
      <c r="C6" t="s">
        <v>414</v>
      </c>
      <c r="D6" s="327">
        <v>15</v>
      </c>
      <c r="E6">
        <v>2</v>
      </c>
      <c r="F6" s="327">
        <f t="shared" si="0"/>
        <v>7.5</v>
      </c>
      <c r="G6" s="331">
        <v>42308</v>
      </c>
      <c r="H6" s="328" t="s">
        <v>455</v>
      </c>
    </row>
    <row r="7" spans="1:8">
      <c r="A7" s="331">
        <v>41944</v>
      </c>
      <c r="B7" s="328" t="s">
        <v>463</v>
      </c>
      <c r="C7" s="328" t="s">
        <v>418</v>
      </c>
      <c r="D7" s="327">
        <v>25.3</v>
      </c>
      <c r="E7">
        <v>1</v>
      </c>
      <c r="F7" s="327">
        <f t="shared" si="0"/>
        <v>25.3</v>
      </c>
      <c r="G7" s="331">
        <v>42308</v>
      </c>
      <c r="H7" s="328" t="s">
        <v>456</v>
      </c>
    </row>
    <row r="8" spans="1:8">
      <c r="A8" s="331">
        <v>42309</v>
      </c>
      <c r="B8" s="328" t="s">
        <v>462</v>
      </c>
      <c r="C8" s="328" t="s">
        <v>446</v>
      </c>
      <c r="D8" s="327">
        <v>30</v>
      </c>
      <c r="E8">
        <v>1</v>
      </c>
      <c r="F8" s="327">
        <f t="shared" si="0"/>
        <v>30</v>
      </c>
      <c r="G8" s="331">
        <v>42674</v>
      </c>
      <c r="H8" s="328" t="s">
        <v>457</v>
      </c>
    </row>
    <row r="9" spans="1:8">
      <c r="A9" s="331">
        <v>42675</v>
      </c>
      <c r="B9" s="328" t="s">
        <v>461</v>
      </c>
      <c r="C9" s="328" t="s">
        <v>451</v>
      </c>
      <c r="D9" s="327">
        <v>15</v>
      </c>
      <c r="E9">
        <v>1</v>
      </c>
      <c r="F9" s="327">
        <f t="shared" si="0"/>
        <v>15</v>
      </c>
      <c r="G9" s="331">
        <v>42855</v>
      </c>
      <c r="H9" s="328" t="s">
        <v>458</v>
      </c>
    </row>
    <row r="10" spans="1:8">
      <c r="A10" s="331">
        <v>42856</v>
      </c>
      <c r="B10" s="328" t="s">
        <v>464</v>
      </c>
      <c r="C10" s="328" t="s">
        <v>460</v>
      </c>
      <c r="D10" s="327">
        <v>-6.3</v>
      </c>
      <c r="E10">
        <v>1</v>
      </c>
      <c r="F10" s="327">
        <f t="shared" ref="F10" si="1">D10/E10</f>
        <v>-6.3</v>
      </c>
      <c r="G10" s="331">
        <v>43220</v>
      </c>
      <c r="H10" s="328" t="s">
        <v>459</v>
      </c>
    </row>
    <row r="11" spans="1:8">
      <c r="A11" s="331">
        <v>43221</v>
      </c>
      <c r="B11" s="328" t="s">
        <v>466</v>
      </c>
      <c r="C11" s="328" t="s">
        <v>467</v>
      </c>
      <c r="D11" s="327">
        <v>2.8</v>
      </c>
      <c r="E11">
        <v>1</v>
      </c>
      <c r="F11" s="327">
        <f t="shared" ref="F11" si="2">D11/E11</f>
        <v>2.8</v>
      </c>
      <c r="G11" s="331">
        <v>43585</v>
      </c>
      <c r="H11" s="328" t="s">
        <v>465</v>
      </c>
    </row>
    <row r="12" spans="1:8">
      <c r="A12" s="331">
        <v>43586</v>
      </c>
      <c r="B12" s="328" t="s">
        <v>500</v>
      </c>
      <c r="C12" s="328" t="s">
        <v>501</v>
      </c>
      <c r="D12" s="327">
        <v>23.2</v>
      </c>
      <c r="E12">
        <v>1</v>
      </c>
      <c r="F12" s="327">
        <f t="shared" ref="F12" si="3">D12/E12</f>
        <v>23.2</v>
      </c>
      <c r="G12" s="331">
        <v>43951</v>
      </c>
      <c r="H12" s="328" t="s">
        <v>499</v>
      </c>
    </row>
    <row r="13" spans="1:8">
      <c r="A13" s="331">
        <v>43678</v>
      </c>
      <c r="B13" s="328" t="s">
        <v>500</v>
      </c>
      <c r="C13" s="328" t="s">
        <v>501</v>
      </c>
      <c r="D13" s="327">
        <v>0</v>
      </c>
      <c r="F13" s="327"/>
      <c r="G13" s="331">
        <v>43921</v>
      </c>
      <c r="H13" s="328" t="s">
        <v>499</v>
      </c>
    </row>
    <row r="14" spans="1:8">
      <c r="A14" s="331">
        <v>43922</v>
      </c>
      <c r="B14" s="328" t="s">
        <v>500</v>
      </c>
      <c r="C14" s="328" t="s">
        <v>501</v>
      </c>
      <c r="D14" s="327">
        <v>17.3</v>
      </c>
      <c r="E14">
        <v>1</v>
      </c>
      <c r="F14" s="327">
        <f t="shared" ref="F14" si="4">D14/E14</f>
        <v>17.3</v>
      </c>
      <c r="G14" s="331">
        <v>44255</v>
      </c>
      <c r="H14" s="328" t="s">
        <v>499</v>
      </c>
    </row>
    <row r="15" spans="1:8">
      <c r="A15" s="331">
        <v>44256</v>
      </c>
      <c r="B15" s="328" t="s">
        <v>503</v>
      </c>
      <c r="C15" s="328" t="s">
        <v>530</v>
      </c>
      <c r="D15" s="327">
        <v>36.799999999999997</v>
      </c>
      <c r="E15">
        <v>1</v>
      </c>
      <c r="F15" s="327">
        <f t="shared" ref="F15" si="5">D15/E15</f>
        <v>36.799999999999997</v>
      </c>
      <c r="G15" s="331">
        <v>44620</v>
      </c>
      <c r="H15" s="328" t="s">
        <v>502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Table 1</vt:lpstr>
      <vt:lpstr>Exhibit-RMP(RMM-1) page 1</vt:lpstr>
      <vt:lpstr>Exhibit-RMP(RMM-1) page 2</vt:lpstr>
      <vt:lpstr>Exhibit-RMP(RMM-2)</vt:lpstr>
      <vt:lpstr>Comparison</vt:lpstr>
      <vt:lpstr>Sch73 Adj</vt:lpstr>
      <vt:lpstr>Sch1 Bill Impact</vt:lpstr>
      <vt:lpstr>Allocator-2014</vt:lpstr>
      <vt:lpstr>Note</vt:lpstr>
      <vt:lpstr>'Exhibit-RMP(RMM-1) page 1'!Print_Area</vt:lpstr>
      <vt:lpstr>'Exhibit-RMP(RMM-1) page 2'!Print_Area</vt:lpstr>
      <vt:lpstr>'Exhibit-RMP(RMM-2)'!Print_Area</vt:lpstr>
      <vt:lpstr>'Sch1 Bill Impact'!Print_Area</vt:lpstr>
      <vt:lpstr>'Table 1'!Print_Area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Zhang, James</cp:lastModifiedBy>
  <cp:lastPrinted>2020-03-10T17:43:46Z</cp:lastPrinted>
  <dcterms:created xsi:type="dcterms:W3CDTF">2012-05-11T17:24:36Z</dcterms:created>
  <dcterms:modified xsi:type="dcterms:W3CDTF">2021-03-01T21:30:50Z</dcterms:modified>
</cp:coreProperties>
</file>