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T05\"/>
    </mc:Choice>
  </mc:AlternateContent>
  <bookViews>
    <workbookView xWindow="0" yWindow="0" windowWidth="19200" windowHeight="12885" tabRatio="928"/>
  </bookViews>
  <sheets>
    <sheet name="Table 1 Preferred Portfolio" sheetId="63" r:id="rId1"/>
    <sheet name="Table 2 QF Signed Queue" sheetId="64" r:id="rId2"/>
    <sheet name="Table 3 Comparison" sheetId="13" r:id="rId3"/>
    <sheet name="Table 4 Gas Price" sheetId="29" r:id="rId4"/>
    <sheet name=" Table 5 Electric Price" sheetId="32" r:id="rId5"/>
    <sheet name="Table6 Integration" sheetId="59" r:id="rId6"/>
    <sheet name="--- Do Not Print ---&gt;" sheetId="37" r:id="rId7"/>
    <sheet name="Tariff Page" sheetId="36" r:id="rId8"/>
    <sheet name="Tariff Page Solar Fixed" sheetId="44" r:id="rId9"/>
    <sheet name="Tariff Page Solar Tracking" sheetId="45" r:id="rId10"/>
    <sheet name="Tariff Page Wind" sheetId="39" r:id="rId11"/>
    <sheet name="OFPC Source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00_SCCT_UtahN" localSheetId="11">'[1]Table 1'!$I$19</definedName>
    <definedName name="_200_SCCT_UtahN">'[2]Table 1'!$I$19</definedName>
    <definedName name="_200_SCCT_WYNE" localSheetId="11">#REF!</definedName>
    <definedName name="_200_SCCT_WYNE">#REF!</definedName>
    <definedName name="_30_Geo_West" localSheetId="11">'[1]Table 1'!$I$17</definedName>
    <definedName name="_30_Geo_West">'[2]Table 1'!$I$17</definedName>
    <definedName name="_436_CCCT_WestMain" localSheetId="11">'[1]Table 1'!$I$18</definedName>
    <definedName name="_436_CCCT_WestMain">'[2]Table 1'!$I$18</definedName>
    <definedName name="_477_CCCT_WestMain" localSheetId="5">#REF!</definedName>
    <definedName name="_477_CCCT_WestMain">'[3]Table 1'!$I$18</definedName>
    <definedName name="_477_CCCT_WYNE" localSheetId="11">#REF!</definedName>
    <definedName name="_477_CCCT_WYNE">#REF!</definedName>
    <definedName name="_635_CCCT_UtahS" localSheetId="5">#REF!</definedName>
    <definedName name="_635_CCCT_UtahS">'[3]Table 1'!$I$19</definedName>
    <definedName name="_635_CCCT_WyoNE" localSheetId="5">#REF!</definedName>
    <definedName name="_635_CCCT_WyoNE">'[3]Table 1'!$I$17</definedName>
    <definedName name="_774_Wind_IDGoshen" localSheetId="11">#REF!</definedName>
    <definedName name="_774_Wind_IDGoshen">#REF!</definedName>
    <definedName name="_85_Wind_DJ_2031" localSheetId="11">#REF!</definedName>
    <definedName name="_85_Wind_DJ_2031">#REF!</definedName>
    <definedName name="_Discount_Rate">[4]Comparison!$M$33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1">#REF!</definedName>
    <definedName name="_Percent_Last_CCCT">#REF!</definedName>
    <definedName name="_UtahS_Solar_2031" localSheetId="11">#REF!</definedName>
    <definedName name="_UtahS_Solar_2031">#REF!</definedName>
    <definedName name="_UtahS_Solar_2032" localSheetId="11">#REF!</definedName>
    <definedName name="_UtahS_Solar_2032">#REF!</definedName>
    <definedName name="_UtahS_Solar_2033" localSheetId="11">#REF!</definedName>
    <definedName name="_UtahS_Solar_2033">#REF!</definedName>
    <definedName name="_UtahS_Solar_2034" localSheetId="11">#REF!</definedName>
    <definedName name="_UtahS_Solar_2034">#REF!</definedName>
    <definedName name="_UtahS_Solar_2035" localSheetId="11">#REF!</definedName>
    <definedName name="_UtahS_Solar_2035">#REF!</definedName>
    <definedName name="_UtahS_Solar_2036" localSheetId="11">#REF!</definedName>
    <definedName name="_UtahS_Solar_2036">#REF!</definedName>
    <definedName name="_Yakima_Solar_2028" localSheetId="11">#REF!</definedName>
    <definedName name="_Yakima_Solar_2028">#REF!</definedName>
    <definedName name="_Yakima_Solar_2029" localSheetId="11">#REF!</definedName>
    <definedName name="_Yakima_Solar_2029">#REF!</definedName>
    <definedName name="_Yakima_Solar_2031" localSheetId="11">#REF!</definedName>
    <definedName name="_Yakima_Solar_2031">#REF!</definedName>
    <definedName name="_Yakima_Solar_2032" localSheetId="11">#REF!</definedName>
    <definedName name="_Yakima_Solar_2032">#REF!</definedName>
    <definedName name="_Yakima_Solar_2033" localSheetId="11">#REF!</definedName>
    <definedName name="_Yakima_Solar_2033">#REF!</definedName>
    <definedName name="_Yakima_Solar_2034" localSheetId="11">#REF!</definedName>
    <definedName name="_Yakima_Solar_2034">#REF!</definedName>
    <definedName name="a" localSheetId="5" hidden="1">'[5]DSM Output'!$J$21:$J$23</definedName>
    <definedName name="a" hidden="1">'[6]DSM Output'!$J$21:$J$23</definedName>
    <definedName name="above">OFFSET(!A1,-1,0)</definedName>
    <definedName name="AC_Case" localSheetId="11">'[7]Table 2 QF Queue'!#REF!</definedName>
    <definedName name="AC_Case">#REF!</definedName>
    <definedName name="Active_CF">[8]!Active_CF</definedName>
    <definedName name="Active_Deg_Method">[8]!Active_Deg_Method</definedName>
    <definedName name="Active_Deg_Rate">[8]!Active_Deg_Rate</definedName>
    <definedName name="Active_Delivery_Point">[8]!Active_Delivery_Point</definedName>
    <definedName name="Active_MW">[8]!Active_MW</definedName>
    <definedName name="Active_Name_Conf">[8]!Active_Name_Conf</definedName>
    <definedName name="Active_Online">[8]!Active_Online</definedName>
    <definedName name="Active_QF_Name">[8]!Active_QF_Name</definedName>
    <definedName name="Active_QF_Queue_Date">[8]!Active_QF_Queue_Date</definedName>
    <definedName name="Active_Status">[8]!Active_Status</definedName>
    <definedName name="anscount" hidden="1">1</definedName>
    <definedName name="Base_Case">#REF!</definedName>
    <definedName name="below">OFFSET(!A1,1,0)</definedName>
    <definedName name="Capacity_Contr_Solar_Fixed" localSheetId="11">#REF!</definedName>
    <definedName name="Capacity_Contr_Solar_Fixed">#REF!</definedName>
    <definedName name="Capacity_Contr_Solar_Tracking" localSheetId="11">#REF!</definedName>
    <definedName name="Capacity_Contr_Solar_Tracking">#REF!</definedName>
    <definedName name="Capacity_Contr_Wind" localSheetId="11">#REF!</definedName>
    <definedName name="Capacity_Contr_Wind">#REF!</definedName>
    <definedName name="CC_E_Fixed">#REF!</definedName>
    <definedName name="CC_E_Gas">#REF!</definedName>
    <definedName name="CC_E_Hydro">#REF!</definedName>
    <definedName name="CC_E_Tracking">#REF!</definedName>
    <definedName name="CC_E_Wind">#REF!</definedName>
    <definedName name="CC_OR_Solar">'Table 2 QF Signed Queue'!$F$125</definedName>
    <definedName name="CC_UT_Solar">'Table 2 QF Signed Queue'!$F$162</definedName>
    <definedName name="CC_W_Fixed">#REF!</definedName>
    <definedName name="CC_W_Gas">#REF!</definedName>
    <definedName name="CC_W_Hydro">#REF!</definedName>
    <definedName name="CC_W_Tracking">#REF!</definedName>
    <definedName name="CC_W_Wind">#REF!</definedName>
    <definedName name="dateTable">'[9]on off peak hours'!$C$15:$ED$15</definedName>
    <definedName name="daysMonth" localSheetId="11">#REF!</definedName>
    <definedName name="daysMonth">#REF!</definedName>
    <definedName name="Discount_Rate" localSheetId="11">'[1]Table 1'!$I$42</definedName>
    <definedName name="Discount_Rate" localSheetId="5">#REF!</definedName>
    <definedName name="Discount_Rate">'[2]Table 1'!$I$42</definedName>
    <definedName name="Discount_Rate_2015_IRP">'[10]Table 7 to 8'!$AE$43</definedName>
    <definedName name="DispatchSum">"GRID Thermal Generation!R2C1:R4C2"</definedName>
    <definedName name="FixedSolar_Capacity_Contr">'[10]Exhibit 3- Std FixedSolar QF'!$G$53</definedName>
    <definedName name="HolidayObserved" localSheetId="11">#REF!</definedName>
    <definedName name="HolidayObserved">#REF!</definedName>
    <definedName name="Holidays" localSheetId="11">#REF!</definedName>
    <definedName name="Holidays">#REF!</definedName>
    <definedName name="HoursHoliday">'[9]on off peak hours'!$C$16:$ED$20</definedName>
    <definedName name="HoursNoHoliday" localSheetId="11">#REF!</definedName>
    <definedName name="HoursNoHoliday">#REF!</definedName>
    <definedName name="Incr_Reserve" localSheetId="11">[11]ImportData!$G$45</definedName>
    <definedName name="Incr_Reserve">[12]ImportData!$G$45</definedName>
    <definedName name="Incremental_Coal_Costing" localSheetId="11">[11]ImportData!$B$37</definedName>
    <definedName name="Incremental_Coal_Costing">[12]ImportData!$B$37</definedName>
    <definedName name="left">OFFSET(!A1,0,-1)</definedName>
    <definedName name="limcount" hidden="1">1</definedName>
    <definedName name="Market">'[10]OFPC Source'!$J$8:$M$295</definedName>
    <definedName name="MidC_Flat">[13]Market_Price!#REF!</definedName>
    <definedName name="Monthly_Discount_Rate" localSheetId="11">[14]SourceEnergy!$N$4</definedName>
    <definedName name="Monthly_Discount_Rate" localSheetId="5">[15]SourceEnergy!$N$4</definedName>
    <definedName name="Monthly_Discount_Rate">[16]SourceEnergy!$N$4</definedName>
    <definedName name="OR_AC_price" localSheetId="11">#REF!</definedName>
    <definedName name="OR_AC_price">#REF!</definedName>
    <definedName name="_xlnm.Print_Area" localSheetId="4">' Table 5 Electric Price'!$A$1:$G$34</definedName>
    <definedName name="_xlnm.Print_Area" localSheetId="2">'Table 3 Comparison'!$A$1:$O$51</definedName>
    <definedName name="_xlnm.Print_Area" localSheetId="3">'Table 4 Gas Price'!$A$1:$E$37</definedName>
    <definedName name="_xlnm.Print_Area" localSheetId="5">'Table6 Integration'!$A$1:$E$37</definedName>
    <definedName name="_xlnm.Print_Area" localSheetId="7">'Tariff Page'!$A$1:$G$36</definedName>
    <definedName name="_xlnm.Print_Area" localSheetId="8">'Tariff Page Solar Fixed'!$A$1:$F$44</definedName>
    <definedName name="_xlnm.Print_Area" localSheetId="9">'Tariff Page Solar Tracking'!$A$1:$F$45</definedName>
    <definedName name="_xlnm.Print_Area" localSheetId="10">'Tariff Page Wind'!$A$1:$F$47</definedName>
    <definedName name="PSATable" localSheetId="11">[11]Hermiston!$A$35:$E$41</definedName>
    <definedName name="PSATable">[12]Hermiston!$A$35:$E$41</definedName>
    <definedName name="QF_CF" localSheetId="11">#REF!</definedName>
    <definedName name="QF_CF">#REF!</definedName>
    <definedName name="RampLossMonthlyDemand" localSheetId="11">'[17]Source - Ramp Losses'!$O$46:$P$57</definedName>
    <definedName name="RampLossMonthlyDemand">'[18]Source - Ramp Losses'!$O$46:$P$57</definedName>
    <definedName name="RenewableMarketShape">'[10]OFPC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 localSheetId="11">'[14]Monthly Levelized'!$K$9</definedName>
    <definedName name="Shape_Annually" localSheetId="5">'[15]Monthly Levelized'!$K$9</definedName>
    <definedName name="Shape_Annually">'[16]Monthly Levelized'!$K$9</definedName>
    <definedName name="Shape_Start" localSheetId="11">'[14]Monthly Levelized'!$L$9</definedName>
    <definedName name="Shape_Start" localSheetId="5">'[15]Monthly Levelized'!$L$9</definedName>
    <definedName name="Shape_Start">'[16]Monthly Levelized'!$L$9</definedName>
    <definedName name="Solar_Fixed_integr_cost" localSheetId="11">'[19]Table 12'!$B$46</definedName>
    <definedName name="Solar_Fixed_integr_cost">#REF!</definedName>
    <definedName name="Solar_HLH">'[10]OFPC Source'!$U$48</definedName>
    <definedName name="Solar_LLH">'[10]OFPC Source'!$V$48</definedName>
    <definedName name="Solar_Tracking_integr_cost" localSheetId="11">'[19]Table 12'!$B$45</definedName>
    <definedName name="Solar_Tracking_integr_cost">#REF!</definedName>
    <definedName name="SSMonthlyDemand" localSheetId="11">'[17]Source - Station Use'!$H$78:$H$89</definedName>
    <definedName name="SSMonthlyDemand">'[18]Source - Station Use'!$H$78:$H$89</definedName>
    <definedName name="Study_Cap_Adj" localSheetId="11">'[1]Table 1'!$I$8</definedName>
    <definedName name="Study_Cap_Adj" localSheetId="5">#REF!</definedName>
    <definedName name="Study_Cap_Adj">'[2]Table 1'!$I$8</definedName>
    <definedName name="Study_CF" localSheetId="11">'[1]Table 5'!$M$7</definedName>
    <definedName name="Study_CF">'[2]Table 5'!$M$7</definedName>
    <definedName name="Study_MW" localSheetId="11">'[1]Table 5'!$M$6</definedName>
    <definedName name="Study_MW">'[2]Table 5'!$M$6</definedName>
    <definedName name="Study_Name">[9]ImportData!$D$7</definedName>
    <definedName name="ValuationDate" localSheetId="11">#REF!</definedName>
    <definedName name="ValuationDate">#REF!</definedName>
    <definedName name="Wind_Capacity_Contr">'[10]Exhibit 2- Std Wind QF '!$E$57</definedName>
    <definedName name="Wind_Integration_Charge">'[10]Exhibit 2- Std Wind QF '!$E$45</definedName>
    <definedName name="y" localSheetId="5" hidden="1">'[5]DSM Output'!$B$21:$B$23</definedName>
    <definedName name="y" hidden="1">'[6]DSM Output'!$B$21:$B$23</definedName>
    <definedName name="z" localSheetId="5" hidden="1">'[5]DSM Output'!$G$21:$G$23</definedName>
    <definedName name="z" hidden="1">'[6]DSM Output'!$G$21:$G$23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64" l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F30" i="44" l="1"/>
  <c r="E30" i="44"/>
  <c r="D30" i="44"/>
  <c r="C30" i="44"/>
  <c r="F29" i="44"/>
  <c r="E29" i="44"/>
  <c r="D29" i="44"/>
  <c r="C29" i="44"/>
  <c r="F28" i="44"/>
  <c r="E28" i="44"/>
  <c r="D28" i="44"/>
  <c r="C28" i="44"/>
  <c r="F27" i="44"/>
  <c r="E27" i="44"/>
  <c r="D27" i="44"/>
  <c r="C27" i="44"/>
  <c r="F26" i="44"/>
  <c r="E26" i="44"/>
  <c r="D26" i="44"/>
  <c r="C26" i="44"/>
  <c r="F25" i="44"/>
  <c r="E25" i="44"/>
  <c r="D25" i="44"/>
  <c r="C25" i="44"/>
  <c r="F24" i="44"/>
  <c r="E24" i="44"/>
  <c r="D24" i="44"/>
  <c r="C24" i="44"/>
  <c r="F23" i="44"/>
  <c r="E23" i="44"/>
  <c r="D23" i="44"/>
  <c r="C23" i="44"/>
  <c r="F22" i="44"/>
  <c r="E22" i="44"/>
  <c r="D22" i="44"/>
  <c r="C22" i="44"/>
  <c r="F21" i="44"/>
  <c r="E21" i="44"/>
  <c r="D21" i="44"/>
  <c r="C21" i="44"/>
  <c r="F20" i="44"/>
  <c r="E20" i="44"/>
  <c r="D20" i="44"/>
  <c r="C20" i="44"/>
  <c r="F19" i="44"/>
  <c r="E19" i="44"/>
  <c r="D19" i="44"/>
  <c r="C19" i="44"/>
  <c r="F18" i="44"/>
  <c r="E18" i="44"/>
  <c r="D18" i="44"/>
  <c r="C18" i="44"/>
  <c r="F17" i="44"/>
  <c r="E17" i="44"/>
  <c r="D17" i="44"/>
  <c r="C17" i="44"/>
  <c r="F16" i="44"/>
  <c r="E16" i="44"/>
  <c r="D16" i="44"/>
  <c r="C16" i="44"/>
  <c r="F15" i="44"/>
  <c r="E15" i="44"/>
  <c r="D15" i="44"/>
  <c r="C15" i="44"/>
  <c r="F14" i="44"/>
  <c r="E14" i="44"/>
  <c r="D14" i="44"/>
  <c r="C14" i="44"/>
  <c r="F13" i="44"/>
  <c r="E13" i="44"/>
  <c r="D13" i="44"/>
  <c r="C13" i="44"/>
  <c r="F12" i="44"/>
  <c r="E12" i="44"/>
  <c r="D12" i="44"/>
  <c r="C12" i="44"/>
  <c r="F11" i="44"/>
  <c r="E11" i="44"/>
  <c r="D11" i="44"/>
  <c r="C11" i="44"/>
  <c r="B12" i="29" l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30" i="32"/>
  <c r="F11" i="39"/>
  <c r="E11" i="39"/>
  <c r="D11" i="39"/>
  <c r="C11" i="39"/>
  <c r="B10" i="39"/>
  <c r="E10" i="39" s="1"/>
  <c r="F11" i="36"/>
  <c r="E11" i="36"/>
  <c r="D11" i="36"/>
  <c r="C11" i="36"/>
  <c r="D10" i="36"/>
  <c r="B10" i="36"/>
  <c r="F10" i="36" s="1"/>
  <c r="F11" i="45"/>
  <c r="E11" i="45"/>
  <c r="D11" i="45"/>
  <c r="C11" i="45"/>
  <c r="B10" i="45"/>
  <c r="F10" i="45" s="1"/>
  <c r="B10" i="44"/>
  <c r="D10" i="45" l="1"/>
  <c r="C10" i="45"/>
  <c r="C10" i="44"/>
  <c r="E10" i="44"/>
  <c r="F10" i="44"/>
  <c r="D10" i="44"/>
  <c r="C10" i="36"/>
  <c r="F10" i="39"/>
  <c r="D10" i="39"/>
  <c r="C10" i="39"/>
  <c r="E10" i="36"/>
  <c r="E10" i="45"/>
  <c r="B12" i="39" l="1"/>
  <c r="B13" i="39" l="1"/>
  <c r="F12" i="39"/>
  <c r="E12" i="39"/>
  <c r="C12" i="39"/>
  <c r="D12" i="39"/>
  <c r="B14" i="39" l="1"/>
  <c r="F13" i="39"/>
  <c r="E13" i="39"/>
  <c r="D13" i="39"/>
  <c r="C13" i="39"/>
  <c r="F14" i="39" l="1"/>
  <c r="C14" i="39"/>
  <c r="E14" i="39"/>
  <c r="D14" i="39"/>
  <c r="B15" i="39"/>
  <c r="E32" i="64"/>
  <c r="B16" i="39" l="1"/>
  <c r="F15" i="39"/>
  <c r="E15" i="39"/>
  <c r="C15" i="39"/>
  <c r="D15" i="39"/>
  <c r="D32" i="64"/>
  <c r="B17" i="39" l="1"/>
  <c r="F16" i="39"/>
  <c r="C16" i="39"/>
  <c r="E16" i="39"/>
  <c r="D16" i="39"/>
  <c r="F6" i="59"/>
  <c r="B18" i="39" l="1"/>
  <c r="F17" i="39"/>
  <c r="E17" i="39"/>
  <c r="D17" i="39"/>
  <c r="C17" i="39"/>
  <c r="B19" i="39" l="1"/>
  <c r="F18" i="39"/>
  <c r="C18" i="39"/>
  <c r="E18" i="39"/>
  <c r="D18" i="39"/>
  <c r="B20" i="39" l="1"/>
  <c r="F19" i="39"/>
  <c r="E19" i="39"/>
  <c r="C19" i="39"/>
  <c r="D19" i="39"/>
  <c r="B33" i="29"/>
  <c r="D6" i="29"/>
  <c r="C6" i="29"/>
  <c r="B21" i="39" l="1"/>
  <c r="F20" i="39"/>
  <c r="C20" i="39"/>
  <c r="E20" i="39"/>
  <c r="D20" i="39"/>
  <c r="AI253" i="62"/>
  <c r="AJ253" i="62" s="1"/>
  <c r="AE253" i="62"/>
  <c r="AD253" i="62" s="1"/>
  <c r="AI252" i="62"/>
  <c r="AJ252" i="62" s="1"/>
  <c r="AE252" i="62"/>
  <c r="AD252" i="62" s="1"/>
  <c r="AI251" i="62"/>
  <c r="AJ251" i="62" s="1"/>
  <c r="AE251" i="62"/>
  <c r="AD251" i="62" s="1"/>
  <c r="AI250" i="62"/>
  <c r="AJ250" i="62" s="1"/>
  <c r="AE250" i="62"/>
  <c r="AD250" i="62"/>
  <c r="Q250" i="62"/>
  <c r="P250" i="62"/>
  <c r="AI249" i="62"/>
  <c r="AJ249" i="62" s="1"/>
  <c r="AE249" i="62"/>
  <c r="AD249" i="62" s="1"/>
  <c r="AI248" i="62"/>
  <c r="AJ248" i="62" s="1"/>
  <c r="AE248" i="62"/>
  <c r="AD248" i="62"/>
  <c r="AI247" i="62"/>
  <c r="AJ247" i="62" s="1"/>
  <c r="AE247" i="62"/>
  <c r="AD247" i="62" s="1"/>
  <c r="AI246" i="62"/>
  <c r="AJ246" i="62" s="1"/>
  <c r="AE246" i="62"/>
  <c r="AD246" i="62"/>
  <c r="AI245" i="62"/>
  <c r="AJ245" i="62" s="1"/>
  <c r="AE245" i="62"/>
  <c r="AD245" i="62" s="1"/>
  <c r="AI244" i="62"/>
  <c r="AJ244" i="62" s="1"/>
  <c r="AE244" i="62"/>
  <c r="AD244" i="62"/>
  <c r="AI243" i="62"/>
  <c r="AJ243" i="62" s="1"/>
  <c r="AE243" i="62"/>
  <c r="AD243" i="62" s="1"/>
  <c r="AI242" i="62"/>
  <c r="AJ242" i="62" s="1"/>
  <c r="AE242" i="62"/>
  <c r="AD242" i="62"/>
  <c r="AI241" i="62"/>
  <c r="AJ241" i="62" s="1"/>
  <c r="AE241" i="62"/>
  <c r="AD241" i="62" s="1"/>
  <c r="AI240" i="62"/>
  <c r="AJ240" i="62" s="1"/>
  <c r="AE240" i="62"/>
  <c r="AD240" i="62"/>
  <c r="AI239" i="62"/>
  <c r="AJ239" i="62" s="1"/>
  <c r="AE239" i="62"/>
  <c r="AD239" i="62" s="1"/>
  <c r="AI238" i="62"/>
  <c r="AJ238" i="62" s="1"/>
  <c r="AE238" i="62"/>
  <c r="AD238" i="62"/>
  <c r="AI237" i="62"/>
  <c r="AJ237" i="62" s="1"/>
  <c r="AE237" i="62"/>
  <c r="AD237" i="62" s="1"/>
  <c r="AI236" i="62"/>
  <c r="AJ236" i="62" s="1"/>
  <c r="AE236" i="62"/>
  <c r="AD236" i="62"/>
  <c r="AI235" i="62"/>
  <c r="AJ235" i="62" s="1"/>
  <c r="AE235" i="62"/>
  <c r="AD235" i="62" s="1"/>
  <c r="AI234" i="62"/>
  <c r="AJ234" i="62" s="1"/>
  <c r="AE234" i="62"/>
  <c r="AD234" i="62"/>
  <c r="AI233" i="62"/>
  <c r="AJ233" i="62" s="1"/>
  <c r="AE233" i="62"/>
  <c r="AD233" i="62" s="1"/>
  <c r="AI232" i="62"/>
  <c r="AJ232" i="62" s="1"/>
  <c r="AE232" i="62"/>
  <c r="AD232" i="62"/>
  <c r="AI231" i="62"/>
  <c r="AJ231" i="62" s="1"/>
  <c r="AE231" i="62"/>
  <c r="AD231" i="62" s="1"/>
  <c r="AI230" i="62"/>
  <c r="AJ230" i="62" s="1"/>
  <c r="AE230" i="62"/>
  <c r="AD230" i="62"/>
  <c r="AI229" i="62"/>
  <c r="AJ229" i="62" s="1"/>
  <c r="AE229" i="62"/>
  <c r="AD229" i="62" s="1"/>
  <c r="AI228" i="62"/>
  <c r="AJ228" i="62" s="1"/>
  <c r="AE228" i="62"/>
  <c r="AD228" i="62"/>
  <c r="AI227" i="62"/>
  <c r="AJ227" i="62" s="1"/>
  <c r="AE227" i="62"/>
  <c r="AD227" i="62"/>
  <c r="AI226" i="62"/>
  <c r="AJ226" i="62" s="1"/>
  <c r="AE226" i="62"/>
  <c r="AD226" i="62" s="1"/>
  <c r="AI225" i="62"/>
  <c r="AJ225" i="62" s="1"/>
  <c r="AE225" i="62"/>
  <c r="AD225" i="62"/>
  <c r="AI224" i="62"/>
  <c r="AJ224" i="62" s="1"/>
  <c r="AE224" i="62"/>
  <c r="AD224" i="62" s="1"/>
  <c r="AI223" i="62"/>
  <c r="AJ223" i="62" s="1"/>
  <c r="AE223" i="62"/>
  <c r="AD223" i="62"/>
  <c r="AI222" i="62"/>
  <c r="AJ222" i="62" s="1"/>
  <c r="AE222" i="62"/>
  <c r="AD222" i="62" s="1"/>
  <c r="AI221" i="62"/>
  <c r="AJ221" i="62" s="1"/>
  <c r="AE221" i="62"/>
  <c r="AD221" i="62"/>
  <c r="AI220" i="62"/>
  <c r="AJ220" i="62" s="1"/>
  <c r="AE220" i="62"/>
  <c r="AD220" i="62" s="1"/>
  <c r="AI219" i="62"/>
  <c r="AJ219" i="62" s="1"/>
  <c r="AE219" i="62"/>
  <c r="AD219" i="62"/>
  <c r="AI218" i="62"/>
  <c r="AJ218" i="62" s="1"/>
  <c r="AE218" i="62"/>
  <c r="AD218" i="62" s="1"/>
  <c r="AI217" i="62"/>
  <c r="AJ217" i="62" s="1"/>
  <c r="AE217" i="62"/>
  <c r="AD217" i="62"/>
  <c r="AI216" i="62"/>
  <c r="AJ216" i="62" s="1"/>
  <c r="AE216" i="62"/>
  <c r="AD216" i="62" s="1"/>
  <c r="AI215" i="62"/>
  <c r="AJ215" i="62" s="1"/>
  <c r="AE215" i="62"/>
  <c r="AD215" i="62"/>
  <c r="AI214" i="62"/>
  <c r="AJ214" i="62" s="1"/>
  <c r="AE214" i="62"/>
  <c r="AD214" i="62" s="1"/>
  <c r="AI213" i="62"/>
  <c r="AJ213" i="62" s="1"/>
  <c r="AE213" i="62"/>
  <c r="AD213" i="62"/>
  <c r="AI212" i="62"/>
  <c r="AJ212" i="62" s="1"/>
  <c r="AE212" i="62"/>
  <c r="AD212" i="62" s="1"/>
  <c r="AI211" i="62"/>
  <c r="AJ211" i="62" s="1"/>
  <c r="AE211" i="62"/>
  <c r="AD211" i="62"/>
  <c r="AI210" i="62"/>
  <c r="AJ210" i="62" s="1"/>
  <c r="AE210" i="62"/>
  <c r="AD210" i="62" s="1"/>
  <c r="AI209" i="62"/>
  <c r="AJ209" i="62" s="1"/>
  <c r="AE209" i="62"/>
  <c r="AD209" i="62"/>
  <c r="AI208" i="62"/>
  <c r="AJ208" i="62" s="1"/>
  <c r="AE208" i="62"/>
  <c r="AD208" i="62" s="1"/>
  <c r="AI207" i="62"/>
  <c r="AJ207" i="62" s="1"/>
  <c r="AE207" i="62"/>
  <c r="AD207" i="62"/>
  <c r="AI206" i="62"/>
  <c r="AJ206" i="62" s="1"/>
  <c r="AE206" i="62"/>
  <c r="AD206" i="62" s="1"/>
  <c r="AI205" i="62"/>
  <c r="AJ205" i="62" s="1"/>
  <c r="AE205" i="62"/>
  <c r="AD205" i="62"/>
  <c r="AI204" i="62"/>
  <c r="AJ204" i="62" s="1"/>
  <c r="AE204" i="62"/>
  <c r="AD204" i="62" s="1"/>
  <c r="AI203" i="62"/>
  <c r="AJ203" i="62" s="1"/>
  <c r="AE203" i="62"/>
  <c r="AD203" i="62"/>
  <c r="AI202" i="62"/>
  <c r="AJ202" i="62" s="1"/>
  <c r="AE202" i="62"/>
  <c r="AD202" i="62" s="1"/>
  <c r="AI201" i="62"/>
  <c r="AJ201" i="62" s="1"/>
  <c r="AE201" i="62"/>
  <c r="AD201" i="62"/>
  <c r="AI200" i="62"/>
  <c r="AJ200" i="62" s="1"/>
  <c r="AE200" i="62"/>
  <c r="AD200" i="62" s="1"/>
  <c r="AI199" i="62"/>
  <c r="AJ199" i="62" s="1"/>
  <c r="AE199" i="62"/>
  <c r="AD199" i="62" s="1"/>
  <c r="AJ198" i="62"/>
  <c r="AI198" i="62"/>
  <c r="AE198" i="62"/>
  <c r="AD198" i="62" s="1"/>
  <c r="AI197" i="62"/>
  <c r="AJ197" i="62" s="1"/>
  <c r="AE197" i="62"/>
  <c r="AD197" i="62" s="1"/>
  <c r="AJ196" i="62"/>
  <c r="AI196" i="62"/>
  <c r="AE196" i="62"/>
  <c r="AD196" i="62" s="1"/>
  <c r="AI195" i="62"/>
  <c r="AJ195" i="62" s="1"/>
  <c r="AE195" i="62"/>
  <c r="AD195" i="62" s="1"/>
  <c r="AJ194" i="62"/>
  <c r="AI194" i="62"/>
  <c r="AE194" i="62"/>
  <c r="AD194" i="62" s="1"/>
  <c r="AI193" i="62"/>
  <c r="AJ193" i="62" s="1"/>
  <c r="AE193" i="62"/>
  <c r="AD193" i="62" s="1"/>
  <c r="AJ192" i="62"/>
  <c r="AI192" i="62"/>
  <c r="AE192" i="62"/>
  <c r="AD192" i="62" s="1"/>
  <c r="AI191" i="62"/>
  <c r="AJ191" i="62" s="1"/>
  <c r="AE191" i="62"/>
  <c r="AD191" i="62" s="1"/>
  <c r="AJ190" i="62"/>
  <c r="AI190" i="62"/>
  <c r="AE190" i="62"/>
  <c r="AD190" i="62" s="1"/>
  <c r="AI189" i="62"/>
  <c r="AJ189" i="62" s="1"/>
  <c r="AE189" i="62"/>
  <c r="AD189" i="62" s="1"/>
  <c r="AJ188" i="62"/>
  <c r="AI188" i="62"/>
  <c r="AE188" i="62"/>
  <c r="AD188" i="62" s="1"/>
  <c r="AI187" i="62"/>
  <c r="AJ187" i="62" s="1"/>
  <c r="AE187" i="62"/>
  <c r="AD187" i="62" s="1"/>
  <c r="AJ186" i="62"/>
  <c r="AI186" i="62"/>
  <c r="AE186" i="62"/>
  <c r="AD186" i="62" s="1"/>
  <c r="AI185" i="62"/>
  <c r="AJ185" i="62" s="1"/>
  <c r="AE185" i="62"/>
  <c r="AD185" i="62" s="1"/>
  <c r="AJ184" i="62"/>
  <c r="AI184" i="62"/>
  <c r="AE184" i="62"/>
  <c r="AD184" i="62" s="1"/>
  <c r="AI183" i="62"/>
  <c r="AJ183" i="62" s="1"/>
  <c r="AE183" i="62"/>
  <c r="AD183" i="62" s="1"/>
  <c r="AJ182" i="62"/>
  <c r="AI182" i="62"/>
  <c r="AE182" i="62"/>
  <c r="AD182" i="62" s="1"/>
  <c r="AI181" i="62"/>
  <c r="AJ181" i="62" s="1"/>
  <c r="AE181" i="62"/>
  <c r="AD181" i="62" s="1"/>
  <c r="AJ180" i="62"/>
  <c r="AI180" i="62"/>
  <c r="AE180" i="62"/>
  <c r="AD180" i="62" s="1"/>
  <c r="AI179" i="62"/>
  <c r="AJ179" i="62" s="1"/>
  <c r="AE179" i="62"/>
  <c r="AD179" i="62" s="1"/>
  <c r="AJ178" i="62"/>
  <c r="AI178" i="62"/>
  <c r="AE178" i="62"/>
  <c r="AD178" i="62" s="1"/>
  <c r="AI177" i="62"/>
  <c r="AJ177" i="62" s="1"/>
  <c r="AE177" i="62"/>
  <c r="AD177" i="62" s="1"/>
  <c r="AJ176" i="62"/>
  <c r="AI176" i="62"/>
  <c r="AE176" i="62"/>
  <c r="AD176" i="62" s="1"/>
  <c r="AI175" i="62"/>
  <c r="AJ175" i="62" s="1"/>
  <c r="AE175" i="62"/>
  <c r="AD175" i="62" s="1"/>
  <c r="AJ174" i="62"/>
  <c r="AI174" i="62"/>
  <c r="AE174" i="62"/>
  <c r="AD174" i="62" s="1"/>
  <c r="AI173" i="62"/>
  <c r="AJ173" i="62" s="1"/>
  <c r="AE173" i="62"/>
  <c r="AD173" i="62" s="1"/>
  <c r="AJ172" i="62"/>
  <c r="AI172" i="62"/>
  <c r="AE172" i="62"/>
  <c r="AD172" i="62" s="1"/>
  <c r="AI171" i="62"/>
  <c r="AJ171" i="62" s="1"/>
  <c r="AE171" i="62"/>
  <c r="AD171" i="62" s="1"/>
  <c r="AJ170" i="62"/>
  <c r="AI170" i="62"/>
  <c r="AE170" i="62"/>
  <c r="AD170" i="62" s="1"/>
  <c r="AI169" i="62"/>
  <c r="AJ169" i="62" s="1"/>
  <c r="AE169" i="62"/>
  <c r="AD169" i="62" s="1"/>
  <c r="AJ168" i="62"/>
  <c r="AI168" i="62"/>
  <c r="AE168" i="62"/>
  <c r="AD168" i="62" s="1"/>
  <c r="AI167" i="62"/>
  <c r="AJ167" i="62" s="1"/>
  <c r="AE167" i="62"/>
  <c r="AD167" i="62" s="1"/>
  <c r="AJ166" i="62"/>
  <c r="AI166" i="62"/>
  <c r="AE166" i="62"/>
  <c r="AD166" i="62" s="1"/>
  <c r="AI165" i="62"/>
  <c r="AJ165" i="62" s="1"/>
  <c r="AE165" i="62"/>
  <c r="AD165" i="62" s="1"/>
  <c r="AJ164" i="62"/>
  <c r="AI164" i="62"/>
  <c r="AE164" i="62"/>
  <c r="AD164" i="62" s="1"/>
  <c r="AI163" i="62"/>
  <c r="AJ163" i="62" s="1"/>
  <c r="AE163" i="62"/>
  <c r="AD163" i="62" s="1"/>
  <c r="AJ162" i="62"/>
  <c r="AI162" i="62"/>
  <c r="AE162" i="62"/>
  <c r="AD162" i="62" s="1"/>
  <c r="AI161" i="62"/>
  <c r="AJ161" i="62" s="1"/>
  <c r="AE161" i="62"/>
  <c r="AD161" i="62" s="1"/>
  <c r="AJ160" i="62"/>
  <c r="AI160" i="62"/>
  <c r="AE160" i="62"/>
  <c r="AD160" i="62" s="1"/>
  <c r="AI159" i="62"/>
  <c r="AJ159" i="62" s="1"/>
  <c r="AE159" i="62"/>
  <c r="AD159" i="62" s="1"/>
  <c r="AJ158" i="62"/>
  <c r="AI158" i="62"/>
  <c r="AE158" i="62"/>
  <c r="AD158" i="62" s="1"/>
  <c r="AI157" i="62"/>
  <c r="AJ157" i="62" s="1"/>
  <c r="AE157" i="62"/>
  <c r="AD157" i="62" s="1"/>
  <c r="AJ156" i="62"/>
  <c r="AI156" i="62"/>
  <c r="AE156" i="62"/>
  <c r="AD156" i="62" s="1"/>
  <c r="AI155" i="62"/>
  <c r="AJ155" i="62" s="1"/>
  <c r="AE155" i="62"/>
  <c r="AD155" i="62" s="1"/>
  <c r="AJ154" i="62"/>
  <c r="AI154" i="62"/>
  <c r="AE154" i="62"/>
  <c r="AD154" i="62" s="1"/>
  <c r="AI153" i="62"/>
  <c r="AJ153" i="62" s="1"/>
  <c r="AE153" i="62"/>
  <c r="AD153" i="62" s="1"/>
  <c r="AJ152" i="62"/>
  <c r="AI152" i="62"/>
  <c r="AE152" i="62"/>
  <c r="AD152" i="62" s="1"/>
  <c r="AI151" i="62"/>
  <c r="AJ151" i="62" s="1"/>
  <c r="AE151" i="62"/>
  <c r="AD151" i="62" s="1"/>
  <c r="AJ150" i="62"/>
  <c r="AI150" i="62"/>
  <c r="AE150" i="62"/>
  <c r="AD150" i="62" s="1"/>
  <c r="AI149" i="62"/>
  <c r="AJ149" i="62" s="1"/>
  <c r="AE149" i="62"/>
  <c r="AD149" i="62" s="1"/>
  <c r="AJ148" i="62"/>
  <c r="AI148" i="62"/>
  <c r="AE148" i="62"/>
  <c r="AD148" i="62" s="1"/>
  <c r="AI147" i="62"/>
  <c r="AJ147" i="62" s="1"/>
  <c r="AE147" i="62"/>
  <c r="AD147" i="62" s="1"/>
  <c r="AJ146" i="62"/>
  <c r="AI146" i="62"/>
  <c r="AE146" i="62"/>
  <c r="AD146" i="62" s="1"/>
  <c r="AI145" i="62"/>
  <c r="AJ145" i="62" s="1"/>
  <c r="AE145" i="62"/>
  <c r="AD145" i="62" s="1"/>
  <c r="AI144" i="62"/>
  <c r="AJ144" i="62" s="1"/>
  <c r="AE144" i="62"/>
  <c r="AD144" i="62"/>
  <c r="AI143" i="62"/>
  <c r="AJ143" i="62" s="1"/>
  <c r="AE143" i="62"/>
  <c r="AD143" i="62" s="1"/>
  <c r="AJ142" i="62"/>
  <c r="AI142" i="62"/>
  <c r="AE142" i="62"/>
  <c r="AD142" i="62" s="1"/>
  <c r="AI141" i="62"/>
  <c r="AJ141" i="62" s="1"/>
  <c r="AE141" i="62"/>
  <c r="AD141" i="62"/>
  <c r="AI140" i="62"/>
  <c r="AJ140" i="62" s="1"/>
  <c r="AE140" i="62"/>
  <c r="AD140" i="62" s="1"/>
  <c r="AI139" i="62"/>
  <c r="AJ139" i="62" s="1"/>
  <c r="AE139" i="62"/>
  <c r="AD139" i="62" s="1"/>
  <c r="AI138" i="62"/>
  <c r="AJ138" i="62" s="1"/>
  <c r="AE138" i="62"/>
  <c r="AD138" i="62"/>
  <c r="AI137" i="62"/>
  <c r="AJ137" i="62" s="1"/>
  <c r="AE137" i="62"/>
  <c r="AD137" i="62" s="1"/>
  <c r="AI136" i="62"/>
  <c r="AJ136" i="62" s="1"/>
  <c r="AE136" i="62"/>
  <c r="AD136" i="62"/>
  <c r="AI135" i="62"/>
  <c r="AJ135" i="62" s="1"/>
  <c r="AE135" i="62"/>
  <c r="AD135" i="62" s="1"/>
  <c r="AJ134" i="62"/>
  <c r="AI134" i="62"/>
  <c r="AE134" i="62"/>
  <c r="AD134" i="62" s="1"/>
  <c r="AI133" i="62"/>
  <c r="AJ133" i="62" s="1"/>
  <c r="AE133" i="62"/>
  <c r="AD133" i="62"/>
  <c r="AI132" i="62"/>
  <c r="AJ132" i="62" s="1"/>
  <c r="AE132" i="62"/>
  <c r="AD132" i="62" s="1"/>
  <c r="AI131" i="62"/>
  <c r="AJ131" i="62" s="1"/>
  <c r="AE131" i="62"/>
  <c r="AD131" i="62" s="1"/>
  <c r="AI130" i="62"/>
  <c r="AJ130" i="62" s="1"/>
  <c r="AE130" i="62"/>
  <c r="AD130" i="62"/>
  <c r="AI129" i="62"/>
  <c r="AJ129" i="62" s="1"/>
  <c r="AE129" i="62"/>
  <c r="AD129" i="62" s="1"/>
  <c r="AI128" i="62"/>
  <c r="AJ128" i="62" s="1"/>
  <c r="AE128" i="62"/>
  <c r="AD128" i="62"/>
  <c r="AI127" i="62"/>
  <c r="AJ127" i="62" s="1"/>
  <c r="AE127" i="62"/>
  <c r="AD127" i="62" s="1"/>
  <c r="AJ126" i="62"/>
  <c r="AI126" i="62"/>
  <c r="AE126" i="62"/>
  <c r="AD126" i="62" s="1"/>
  <c r="AI125" i="62"/>
  <c r="AJ125" i="62" s="1"/>
  <c r="AE125" i="62"/>
  <c r="AD125" i="62"/>
  <c r="AI124" i="62"/>
  <c r="AJ124" i="62" s="1"/>
  <c r="AE124" i="62"/>
  <c r="AD124" i="62" s="1"/>
  <c r="AI123" i="62"/>
  <c r="AJ123" i="62" s="1"/>
  <c r="AE123" i="62"/>
  <c r="AD123" i="62" s="1"/>
  <c r="AI122" i="62"/>
  <c r="AJ122" i="62" s="1"/>
  <c r="AE122" i="62"/>
  <c r="AD122" i="62"/>
  <c r="AI121" i="62"/>
  <c r="AJ121" i="62" s="1"/>
  <c r="AE121" i="62"/>
  <c r="AD121" i="62" s="1"/>
  <c r="AI120" i="62"/>
  <c r="AJ120" i="62" s="1"/>
  <c r="AE120" i="62"/>
  <c r="AD120" i="62"/>
  <c r="AI119" i="62"/>
  <c r="AJ119" i="62" s="1"/>
  <c r="AE119" i="62"/>
  <c r="AD119" i="62" s="1"/>
  <c r="AJ118" i="62"/>
  <c r="AI118" i="62"/>
  <c r="AE118" i="62"/>
  <c r="AD118" i="62" s="1"/>
  <c r="AI117" i="62"/>
  <c r="AJ117" i="62" s="1"/>
  <c r="AE117" i="62"/>
  <c r="AD117" i="62"/>
  <c r="AI116" i="62"/>
  <c r="AJ116" i="62" s="1"/>
  <c r="AE116" i="62"/>
  <c r="AD116" i="62" s="1"/>
  <c r="AI115" i="62"/>
  <c r="AJ115" i="62" s="1"/>
  <c r="AE115" i="62"/>
  <c r="AD115" i="62" s="1"/>
  <c r="AI114" i="62"/>
  <c r="AJ114" i="62" s="1"/>
  <c r="AE114" i="62"/>
  <c r="AD114" i="62"/>
  <c r="AI113" i="62"/>
  <c r="AJ113" i="62" s="1"/>
  <c r="AE113" i="62"/>
  <c r="AD113" i="62" s="1"/>
  <c r="AI112" i="62"/>
  <c r="AJ112" i="62" s="1"/>
  <c r="AE112" i="62"/>
  <c r="AD112" i="62"/>
  <c r="AI111" i="62"/>
  <c r="AJ111" i="62" s="1"/>
  <c r="AE111" i="62"/>
  <c r="AD111" i="62" s="1"/>
  <c r="AJ110" i="62"/>
  <c r="AI110" i="62"/>
  <c r="AE110" i="62"/>
  <c r="AD110" i="62" s="1"/>
  <c r="AI109" i="62"/>
  <c r="AJ109" i="62" s="1"/>
  <c r="AE109" i="62"/>
  <c r="AD109" i="62"/>
  <c r="AI108" i="62"/>
  <c r="AJ108" i="62" s="1"/>
  <c r="AE108" i="62"/>
  <c r="AD108" i="62" s="1"/>
  <c r="AI107" i="62"/>
  <c r="AJ107" i="62" s="1"/>
  <c r="AE107" i="62"/>
  <c r="AD107" i="62" s="1"/>
  <c r="AI106" i="62"/>
  <c r="AJ106" i="62" s="1"/>
  <c r="AE106" i="62"/>
  <c r="AD106" i="62"/>
  <c r="AI105" i="62"/>
  <c r="AJ105" i="62" s="1"/>
  <c r="AE105" i="62"/>
  <c r="AD105" i="62" s="1"/>
  <c r="AI104" i="62"/>
  <c r="AJ104" i="62" s="1"/>
  <c r="AE104" i="62"/>
  <c r="AD104" i="62"/>
  <c r="AI103" i="62"/>
  <c r="AJ103" i="62" s="1"/>
  <c r="AE103" i="62"/>
  <c r="AD103" i="62" s="1"/>
  <c r="AJ102" i="62"/>
  <c r="AI102" i="62"/>
  <c r="AE102" i="62"/>
  <c r="AD102" i="62" s="1"/>
  <c r="AI101" i="62"/>
  <c r="AJ101" i="62" s="1"/>
  <c r="AE101" i="62"/>
  <c r="AD101" i="62"/>
  <c r="AI100" i="62"/>
  <c r="AJ100" i="62" s="1"/>
  <c r="AE100" i="62"/>
  <c r="AD100" i="62" s="1"/>
  <c r="AI99" i="62"/>
  <c r="AJ99" i="62" s="1"/>
  <c r="AE99" i="62"/>
  <c r="AD99" i="62" s="1"/>
  <c r="AI98" i="62"/>
  <c r="AJ98" i="62" s="1"/>
  <c r="AE98" i="62"/>
  <c r="AD98" i="62"/>
  <c r="AI97" i="62"/>
  <c r="AJ97" i="62" s="1"/>
  <c r="AE97" i="62"/>
  <c r="AD97" i="62" s="1"/>
  <c r="AI96" i="62"/>
  <c r="AJ96" i="62" s="1"/>
  <c r="AE96" i="62"/>
  <c r="AD96" i="62"/>
  <c r="AI95" i="62"/>
  <c r="AJ95" i="62" s="1"/>
  <c r="AE95" i="62"/>
  <c r="AD95" i="62" s="1"/>
  <c r="AJ94" i="62"/>
  <c r="AI94" i="62"/>
  <c r="AE94" i="62"/>
  <c r="AD94" i="62" s="1"/>
  <c r="AI93" i="62"/>
  <c r="AJ93" i="62" s="1"/>
  <c r="AE93" i="62"/>
  <c r="AD93" i="62"/>
  <c r="AI92" i="62"/>
  <c r="AJ92" i="62" s="1"/>
  <c r="AE92" i="62"/>
  <c r="AD92" i="62" s="1"/>
  <c r="AI91" i="62"/>
  <c r="AJ91" i="62" s="1"/>
  <c r="AE91" i="62"/>
  <c r="AD91" i="62" s="1"/>
  <c r="AI90" i="62"/>
  <c r="AJ90" i="62" s="1"/>
  <c r="AE90" i="62"/>
  <c r="AD90" i="62"/>
  <c r="AI89" i="62"/>
  <c r="AJ89" i="62" s="1"/>
  <c r="AE89" i="62"/>
  <c r="AD89" i="62" s="1"/>
  <c r="AI88" i="62"/>
  <c r="AJ88" i="62" s="1"/>
  <c r="AE88" i="62"/>
  <c r="AD88" i="62"/>
  <c r="AI87" i="62"/>
  <c r="AJ87" i="62" s="1"/>
  <c r="AE87" i="62"/>
  <c r="AD87" i="62" s="1"/>
  <c r="AJ86" i="62"/>
  <c r="AI86" i="62"/>
  <c r="AE86" i="62"/>
  <c r="AD86" i="62" s="1"/>
  <c r="AI85" i="62"/>
  <c r="AJ85" i="62" s="1"/>
  <c r="AE85" i="62"/>
  <c r="AD85" i="62"/>
  <c r="AI84" i="62"/>
  <c r="AJ84" i="62" s="1"/>
  <c r="AE84" i="62"/>
  <c r="AD84" i="62" s="1"/>
  <c r="AI83" i="62"/>
  <c r="AJ83" i="62" s="1"/>
  <c r="AE83" i="62"/>
  <c r="AD83" i="62" s="1"/>
  <c r="AI82" i="62"/>
  <c r="AJ82" i="62" s="1"/>
  <c r="AE82" i="62"/>
  <c r="AD82" i="62"/>
  <c r="AI81" i="62"/>
  <c r="AJ81" i="62" s="1"/>
  <c r="AE81" i="62"/>
  <c r="AD81" i="62" s="1"/>
  <c r="AI80" i="62"/>
  <c r="AJ80" i="62" s="1"/>
  <c r="AE80" i="62"/>
  <c r="AD80" i="62"/>
  <c r="AI79" i="62"/>
  <c r="AJ79" i="62" s="1"/>
  <c r="AE79" i="62"/>
  <c r="AD79" i="62" s="1"/>
  <c r="AJ78" i="62"/>
  <c r="AI78" i="62"/>
  <c r="AE78" i="62"/>
  <c r="AD78" i="62" s="1"/>
  <c r="AI77" i="62"/>
  <c r="AJ77" i="62" s="1"/>
  <c r="AE77" i="62"/>
  <c r="AD77" i="62"/>
  <c r="AI76" i="62"/>
  <c r="AJ76" i="62" s="1"/>
  <c r="AE76" i="62"/>
  <c r="AD76" i="62" s="1"/>
  <c r="AI75" i="62"/>
  <c r="AJ75" i="62" s="1"/>
  <c r="AE75" i="62"/>
  <c r="AD75" i="62" s="1"/>
  <c r="AI74" i="62"/>
  <c r="AJ74" i="62" s="1"/>
  <c r="AE74" i="62"/>
  <c r="AD74" i="62"/>
  <c r="AI73" i="62"/>
  <c r="AJ73" i="62" s="1"/>
  <c r="AE73" i="62"/>
  <c r="AD73" i="62" s="1"/>
  <c r="AI72" i="62"/>
  <c r="AJ72" i="62" s="1"/>
  <c r="AE72" i="62"/>
  <c r="AD72" i="62"/>
  <c r="AI71" i="62"/>
  <c r="AJ71" i="62" s="1"/>
  <c r="AE71" i="62"/>
  <c r="AD71" i="62" s="1"/>
  <c r="AJ70" i="62"/>
  <c r="AI70" i="62"/>
  <c r="AE70" i="62"/>
  <c r="AD70" i="62" s="1"/>
  <c r="AI69" i="62"/>
  <c r="AJ69" i="62" s="1"/>
  <c r="AE69" i="62"/>
  <c r="AD69" i="62"/>
  <c r="AI68" i="62"/>
  <c r="AJ68" i="62" s="1"/>
  <c r="AE68" i="62"/>
  <c r="AD68" i="62" s="1"/>
  <c r="AI67" i="62"/>
  <c r="AJ67" i="62" s="1"/>
  <c r="AE67" i="62"/>
  <c r="AD67" i="62" s="1"/>
  <c r="AI66" i="62"/>
  <c r="AJ66" i="62" s="1"/>
  <c r="AE66" i="62"/>
  <c r="AD66" i="62"/>
  <c r="AI65" i="62"/>
  <c r="AJ65" i="62" s="1"/>
  <c r="AE65" i="62"/>
  <c r="AD65" i="62" s="1"/>
  <c r="AI64" i="62"/>
  <c r="AJ64" i="62" s="1"/>
  <c r="AE64" i="62"/>
  <c r="AD64" i="62"/>
  <c r="AI63" i="62"/>
  <c r="AJ63" i="62" s="1"/>
  <c r="AE63" i="62"/>
  <c r="AD63" i="62" s="1"/>
  <c r="AJ62" i="62"/>
  <c r="AI62" i="62"/>
  <c r="AE62" i="62"/>
  <c r="AD62" i="62" s="1"/>
  <c r="AI61" i="62"/>
  <c r="AJ61" i="62" s="1"/>
  <c r="AE61" i="62"/>
  <c r="AD61" i="62"/>
  <c r="AI60" i="62"/>
  <c r="AJ60" i="62" s="1"/>
  <c r="AE60" i="62"/>
  <c r="AD60" i="62" s="1"/>
  <c r="AI59" i="62"/>
  <c r="AJ59" i="62" s="1"/>
  <c r="AE59" i="62"/>
  <c r="AD59" i="62" s="1"/>
  <c r="AI58" i="62"/>
  <c r="AJ58" i="62" s="1"/>
  <c r="AE58" i="62"/>
  <c r="AD58" i="62"/>
  <c r="AI57" i="62"/>
  <c r="AJ57" i="62" s="1"/>
  <c r="AE57" i="62"/>
  <c r="AD57" i="62" s="1"/>
  <c r="AI56" i="62"/>
  <c r="AJ56" i="62" s="1"/>
  <c r="AE56" i="62"/>
  <c r="AD56" i="62"/>
  <c r="AI55" i="62"/>
  <c r="AJ55" i="62" s="1"/>
  <c r="AE55" i="62"/>
  <c r="AD55" i="62" s="1"/>
  <c r="AJ54" i="62"/>
  <c r="AI54" i="62"/>
  <c r="AE54" i="62"/>
  <c r="AD54" i="62" s="1"/>
  <c r="AI53" i="62"/>
  <c r="AJ53" i="62" s="1"/>
  <c r="AE53" i="62"/>
  <c r="AD53" i="62"/>
  <c r="AI52" i="62"/>
  <c r="AJ52" i="62" s="1"/>
  <c r="AE52" i="62"/>
  <c r="AD52" i="62" s="1"/>
  <c r="AI51" i="62"/>
  <c r="AJ51" i="62" s="1"/>
  <c r="AE51" i="62"/>
  <c r="AD51" i="62" s="1"/>
  <c r="AI50" i="62"/>
  <c r="AJ50" i="62" s="1"/>
  <c r="AE50" i="62"/>
  <c r="AD50" i="62"/>
  <c r="AI49" i="62"/>
  <c r="AJ49" i="62" s="1"/>
  <c r="AE49" i="62"/>
  <c r="AD49" i="62" s="1"/>
  <c r="AI48" i="62"/>
  <c r="AJ48" i="62" s="1"/>
  <c r="AE48" i="62"/>
  <c r="AD48" i="62"/>
  <c r="AI47" i="62"/>
  <c r="AJ47" i="62" s="1"/>
  <c r="AE47" i="62"/>
  <c r="AD47" i="62" s="1"/>
  <c r="AJ46" i="62"/>
  <c r="AI46" i="62"/>
  <c r="AE46" i="62"/>
  <c r="AD46" i="62" s="1"/>
  <c r="AI45" i="62"/>
  <c r="AJ45" i="62" s="1"/>
  <c r="AE45" i="62"/>
  <c r="AD45" i="62"/>
  <c r="AI44" i="62"/>
  <c r="AJ44" i="62" s="1"/>
  <c r="AE44" i="62"/>
  <c r="AD44" i="62" s="1"/>
  <c r="AI43" i="62"/>
  <c r="AJ43" i="62" s="1"/>
  <c r="AE43" i="62"/>
  <c r="AD43" i="62" s="1"/>
  <c r="AI42" i="62"/>
  <c r="AJ42" i="62" s="1"/>
  <c r="AE42" i="62"/>
  <c r="AD42" i="62"/>
  <c r="AI41" i="62"/>
  <c r="AJ41" i="62" s="1"/>
  <c r="AE41" i="62"/>
  <c r="AD41" i="62" s="1"/>
  <c r="AI40" i="62"/>
  <c r="AJ40" i="62" s="1"/>
  <c r="AE40" i="62"/>
  <c r="AD40" i="62"/>
  <c r="AI39" i="62"/>
  <c r="AJ39" i="62" s="1"/>
  <c r="AE39" i="62"/>
  <c r="AD39" i="62" s="1"/>
  <c r="AJ38" i="62"/>
  <c r="AI38" i="62"/>
  <c r="AE38" i="62"/>
  <c r="AD38" i="62" s="1"/>
  <c r="AI37" i="62"/>
  <c r="AJ37" i="62" s="1"/>
  <c r="AE37" i="62"/>
  <c r="AD37" i="62"/>
  <c r="AI36" i="62"/>
  <c r="AJ36" i="62" s="1"/>
  <c r="AE36" i="62"/>
  <c r="AD36" i="62" s="1"/>
  <c r="AI35" i="62"/>
  <c r="AJ35" i="62" s="1"/>
  <c r="AE35" i="62"/>
  <c r="AD35" i="62"/>
  <c r="AI34" i="62"/>
  <c r="AJ34" i="62" s="1"/>
  <c r="AE34" i="62"/>
  <c r="AD34" i="62" s="1"/>
  <c r="AI33" i="62"/>
  <c r="AJ33" i="62" s="1"/>
  <c r="AE33" i="62"/>
  <c r="AD33" i="62"/>
  <c r="AI32" i="62"/>
  <c r="AJ32" i="62" s="1"/>
  <c r="AE32" i="62"/>
  <c r="AD32" i="62" s="1"/>
  <c r="AI31" i="62"/>
  <c r="AJ31" i="62" s="1"/>
  <c r="AE31" i="62"/>
  <c r="AD31" i="62"/>
  <c r="AI30" i="62"/>
  <c r="AJ30" i="62" s="1"/>
  <c r="AE30" i="62"/>
  <c r="AD30" i="62" s="1"/>
  <c r="AI29" i="62"/>
  <c r="AJ29" i="62" s="1"/>
  <c r="AE29" i="62"/>
  <c r="AD29" i="62" s="1"/>
  <c r="AJ28" i="62"/>
  <c r="AI28" i="62"/>
  <c r="AE28" i="62"/>
  <c r="AD28" i="62" s="1"/>
  <c r="AI27" i="62"/>
  <c r="AJ27" i="62" s="1"/>
  <c r="AE27" i="62"/>
  <c r="AD27" i="62"/>
  <c r="AI26" i="62"/>
  <c r="AJ26" i="62" s="1"/>
  <c r="AE26" i="62"/>
  <c r="AD26" i="62" s="1"/>
  <c r="AI25" i="62"/>
  <c r="AJ25" i="62" s="1"/>
  <c r="AE25" i="62"/>
  <c r="AD25" i="62"/>
  <c r="AI24" i="62"/>
  <c r="AJ24" i="62" s="1"/>
  <c r="AE24" i="62"/>
  <c r="AD24" i="62" s="1"/>
  <c r="AI23" i="62"/>
  <c r="AJ23" i="62" s="1"/>
  <c r="AE23" i="62"/>
  <c r="AD23" i="62" s="1"/>
  <c r="AJ22" i="62"/>
  <c r="AI22" i="62"/>
  <c r="AE22" i="62"/>
  <c r="AD22" i="62" s="1"/>
  <c r="AJ21" i="62"/>
  <c r="AI21" i="62"/>
  <c r="AE21" i="62"/>
  <c r="AD21" i="62" s="1"/>
  <c r="AJ20" i="62"/>
  <c r="AI20" i="62"/>
  <c r="AE20" i="62"/>
  <c r="AD20" i="62" s="1"/>
  <c r="AJ19" i="62"/>
  <c r="AI19" i="62"/>
  <c r="AE19" i="62"/>
  <c r="AD19" i="62" s="1"/>
  <c r="AI18" i="62"/>
  <c r="AJ18" i="62" s="1"/>
  <c r="AE18" i="62"/>
  <c r="AD18" i="62" s="1"/>
  <c r="AN17" i="62"/>
  <c r="AM17" i="62"/>
  <c r="AO17" i="62" s="1"/>
  <c r="AI17" i="62"/>
  <c r="AJ17" i="62" s="1"/>
  <c r="AE17" i="62"/>
  <c r="AD17" i="62"/>
  <c r="AI16" i="62"/>
  <c r="AJ16" i="62" s="1"/>
  <c r="AE16" i="62"/>
  <c r="AD16" i="62" s="1"/>
  <c r="AI15" i="62"/>
  <c r="AJ15" i="62" s="1"/>
  <c r="AE15" i="62"/>
  <c r="AD15" i="62"/>
  <c r="AI14" i="62"/>
  <c r="AJ14" i="62" s="1"/>
  <c r="AE14" i="62"/>
  <c r="AD14" i="62" s="1"/>
  <c r="AI13" i="62"/>
  <c r="AJ13" i="62" s="1"/>
  <c r="AE13" i="62"/>
  <c r="AD13" i="62"/>
  <c r="AI12" i="62"/>
  <c r="AJ12" i="62" s="1"/>
  <c r="AE12" i="62"/>
  <c r="AD12" i="62" s="1"/>
  <c r="AI11" i="62"/>
  <c r="AJ11" i="62" s="1"/>
  <c r="AE11" i="62"/>
  <c r="AD11" i="62"/>
  <c r="AI10" i="62"/>
  <c r="AJ10" i="62" s="1"/>
  <c r="AE10" i="62"/>
  <c r="AD10" i="62" s="1"/>
  <c r="AI9" i="62"/>
  <c r="AJ9" i="62" s="1"/>
  <c r="AE9" i="62"/>
  <c r="AD9" i="62"/>
  <c r="B9" i="62"/>
  <c r="AI8" i="62"/>
  <c r="AJ8" i="62" s="1"/>
  <c r="AE8" i="62"/>
  <c r="AD8" i="62"/>
  <c r="M8" i="62"/>
  <c r="G8" i="62"/>
  <c r="W8" i="62" s="1"/>
  <c r="E8" i="62"/>
  <c r="AI7" i="62"/>
  <c r="AJ7" i="62" s="1"/>
  <c r="AE7" i="62"/>
  <c r="AD7" i="62" s="1"/>
  <c r="D7" i="62"/>
  <c r="I6" i="62" s="1"/>
  <c r="C7" i="62"/>
  <c r="H6" i="62" s="1"/>
  <c r="AI6" i="62"/>
  <c r="AJ6" i="62" s="1"/>
  <c r="AE6" i="62"/>
  <c r="AD6" i="62"/>
  <c r="AI5" i="62"/>
  <c r="AJ5" i="62" s="1"/>
  <c r="AE5" i="62"/>
  <c r="AD5" i="62" s="1"/>
  <c r="AI4" i="62"/>
  <c r="AJ4" i="62" s="1"/>
  <c r="AE4" i="62"/>
  <c r="AD4" i="62" s="1"/>
  <c r="AI3" i="62"/>
  <c r="AJ3" i="62" s="1"/>
  <c r="AE3" i="62"/>
  <c r="AD3" i="62"/>
  <c r="M3" i="62"/>
  <c r="AJ2" i="62"/>
  <c r="AI2" i="62"/>
  <c r="AE2" i="62"/>
  <c r="AD2" i="62"/>
  <c r="G9" i="62" l="1"/>
  <c r="W9" i="62"/>
  <c r="B22" i="39"/>
  <c r="F21" i="39"/>
  <c r="E21" i="39"/>
  <c r="D21" i="39"/>
  <c r="C21" i="39"/>
  <c r="K8" i="62"/>
  <c r="AM20" i="62"/>
  <c r="L8" i="62"/>
  <c r="AM19" i="62"/>
  <c r="E9" i="62"/>
  <c r="B10" i="62"/>
  <c r="AM22" i="62"/>
  <c r="AM21" i="62"/>
  <c r="M9" i="62"/>
  <c r="W10" i="62"/>
  <c r="G10" i="62"/>
  <c r="B23" i="39" l="1"/>
  <c r="F22" i="39"/>
  <c r="E22" i="39"/>
  <c r="C22" i="39"/>
  <c r="D22" i="39"/>
  <c r="T8" i="62"/>
  <c r="U8" i="62"/>
  <c r="G11" i="62"/>
  <c r="K9" i="62"/>
  <c r="L9" i="62"/>
  <c r="M10" i="62"/>
  <c r="B11" i="62"/>
  <c r="E10" i="62"/>
  <c r="AM23" i="62"/>
  <c r="AN20" i="62" s="1"/>
  <c r="D48" i="13" s="1"/>
  <c r="AN19" i="62"/>
  <c r="D47" i="13" s="1"/>
  <c r="AN21" i="62"/>
  <c r="D49" i="13" s="1"/>
  <c r="W11" i="62"/>
  <c r="AN22" i="62"/>
  <c r="D50" i="13" s="1"/>
  <c r="B24" i="39" l="1"/>
  <c r="F23" i="39"/>
  <c r="C23" i="39"/>
  <c r="E23" i="39"/>
  <c r="D23" i="39"/>
  <c r="W12" i="62"/>
  <c r="U9" i="62"/>
  <c r="E11" i="62"/>
  <c r="B12" i="62"/>
  <c r="M11" i="62"/>
  <c r="AO22" i="62"/>
  <c r="AO20" i="62"/>
  <c r="T9" i="62"/>
  <c r="L10" i="62"/>
  <c r="K10" i="62"/>
  <c r="G12" i="62"/>
  <c r="U10" i="62" l="1"/>
  <c r="T10" i="62"/>
  <c r="B25" i="39"/>
  <c r="F24" i="39"/>
  <c r="E24" i="39"/>
  <c r="D24" i="39"/>
  <c r="C24" i="39"/>
  <c r="K11" i="62"/>
  <c r="L11" i="62"/>
  <c r="G13" i="62"/>
  <c r="W13" i="62"/>
  <c r="M12" i="62"/>
  <c r="B13" i="62"/>
  <c r="E12" i="62"/>
  <c r="B26" i="39" l="1"/>
  <c r="F25" i="39"/>
  <c r="E25" i="39"/>
  <c r="C25" i="39"/>
  <c r="D25" i="39"/>
  <c r="L12" i="62"/>
  <c r="K12" i="62"/>
  <c r="E13" i="62"/>
  <c r="B14" i="62"/>
  <c r="M13" i="62"/>
  <c r="W14" i="62"/>
  <c r="G14" i="62"/>
  <c r="U11" i="62"/>
  <c r="T11" i="62"/>
  <c r="B34" i="39"/>
  <c r="F26" i="39" l="1"/>
  <c r="C26" i="39"/>
  <c r="E26" i="39"/>
  <c r="D26" i="39"/>
  <c r="B27" i="39"/>
  <c r="T12" i="62"/>
  <c r="W15" i="62"/>
  <c r="M14" i="62"/>
  <c r="B15" i="62"/>
  <c r="E14" i="62"/>
  <c r="G15" i="62"/>
  <c r="T13" i="62"/>
  <c r="K13" i="62"/>
  <c r="L13" i="62"/>
  <c r="U12" i="62"/>
  <c r="U14" i="62" l="1"/>
  <c r="B28" i="39"/>
  <c r="F27" i="39"/>
  <c r="E27" i="39"/>
  <c r="D27" i="39"/>
  <c r="C27" i="39"/>
  <c r="U13" i="62"/>
  <c r="G16" i="62"/>
  <c r="E15" i="62"/>
  <c r="B16" i="62"/>
  <c r="M15" i="62"/>
  <c r="W16" i="62"/>
  <c r="L14" i="62"/>
  <c r="K14" i="62"/>
  <c r="T14" i="62"/>
  <c r="U15" i="62" l="1"/>
  <c r="B29" i="39"/>
  <c r="F28" i="39"/>
  <c r="C28" i="39"/>
  <c r="E28" i="39"/>
  <c r="D28" i="39"/>
  <c r="W17" i="62"/>
  <c r="M16" i="62"/>
  <c r="B17" i="62"/>
  <c r="E16" i="62"/>
  <c r="G17" i="62"/>
  <c r="T15" i="62"/>
  <c r="K15" i="62"/>
  <c r="L15" i="62"/>
  <c r="B30" i="39" l="1"/>
  <c r="F29" i="39"/>
  <c r="E29" i="39"/>
  <c r="C29" i="39"/>
  <c r="D29" i="39"/>
  <c r="T16" i="62"/>
  <c r="G18" i="62"/>
  <c r="E17" i="62"/>
  <c r="M17" i="62"/>
  <c r="B18" i="62"/>
  <c r="W18" i="62"/>
  <c r="L16" i="62"/>
  <c r="K16" i="62"/>
  <c r="F30" i="39" l="1"/>
  <c r="E30" i="39"/>
  <c r="D30" i="39"/>
  <c r="C30" i="39"/>
  <c r="B19" i="62"/>
  <c r="M18" i="62"/>
  <c r="E18" i="62"/>
  <c r="U16" i="62"/>
  <c r="W19" i="62"/>
  <c r="K17" i="62"/>
  <c r="L17" i="62"/>
  <c r="G19" i="62"/>
  <c r="T17" i="62" l="1"/>
  <c r="U17" i="62"/>
  <c r="G20" i="62"/>
  <c r="K18" i="62"/>
  <c r="L18" i="62"/>
  <c r="W20" i="62"/>
  <c r="B20" i="62"/>
  <c r="E19" i="62"/>
  <c r="M19" i="62"/>
  <c r="E20" i="62" l="1"/>
  <c r="B21" i="62"/>
  <c r="M20" i="62"/>
  <c r="L19" i="62"/>
  <c r="K19" i="62"/>
  <c r="W21" i="62"/>
  <c r="U18" i="62"/>
  <c r="T18" i="62"/>
  <c r="G21" i="62"/>
  <c r="G22" i="62" l="1"/>
  <c r="W22" i="62"/>
  <c r="T19" i="62"/>
  <c r="L20" i="62"/>
  <c r="K20" i="62"/>
  <c r="E21" i="62"/>
  <c r="M21" i="62"/>
  <c r="B22" i="62"/>
  <c r="U19" i="62"/>
  <c r="U21" i="62" l="1"/>
  <c r="T20" i="62"/>
  <c r="K21" i="62"/>
  <c r="L21" i="62"/>
  <c r="W23" i="62"/>
  <c r="U20" i="62"/>
  <c r="G23" i="62"/>
  <c r="E22" i="62"/>
  <c r="B23" i="62"/>
  <c r="M22" i="62"/>
  <c r="U22" i="62" l="1"/>
  <c r="M23" i="62"/>
  <c r="B24" i="62"/>
  <c r="E23" i="62"/>
  <c r="G24" i="62"/>
  <c r="W24" i="62"/>
  <c r="T21" i="62"/>
  <c r="K22" i="62"/>
  <c r="L22" i="62"/>
  <c r="U23" i="62" l="1"/>
  <c r="G25" i="62"/>
  <c r="E24" i="62"/>
  <c r="B25" i="62"/>
  <c r="M24" i="62"/>
  <c r="W25" i="62"/>
  <c r="L23" i="62"/>
  <c r="K23" i="62"/>
  <c r="T22" i="62"/>
  <c r="K24" i="62" l="1"/>
  <c r="L24" i="62"/>
  <c r="T23" i="62"/>
  <c r="W26" i="62"/>
  <c r="M25" i="62"/>
  <c r="B26" i="62"/>
  <c r="E25" i="62"/>
  <c r="G26" i="62"/>
  <c r="L25" i="62" l="1"/>
  <c r="K25" i="62"/>
  <c r="U24" i="62"/>
  <c r="E26" i="62"/>
  <c r="B27" i="62"/>
  <c r="M26" i="62"/>
  <c r="T24" i="62"/>
  <c r="G27" i="62"/>
  <c r="W27" i="62"/>
  <c r="K26" i="62" l="1"/>
  <c r="L26" i="62"/>
  <c r="U25" i="62"/>
  <c r="M27" i="62"/>
  <c r="B28" i="62"/>
  <c r="E27" i="62"/>
  <c r="T25" i="62"/>
  <c r="L27" i="62" l="1"/>
  <c r="K27" i="62"/>
  <c r="E28" i="62"/>
  <c r="B29" i="62"/>
  <c r="M28" i="62"/>
  <c r="U26" i="62"/>
  <c r="T26" i="62"/>
  <c r="T27" i="62" l="1"/>
  <c r="T28" i="62"/>
  <c r="U28" i="62"/>
  <c r="K28" i="62"/>
  <c r="L28" i="62"/>
  <c r="M29" i="62"/>
  <c r="B30" i="62"/>
  <c r="E29" i="62"/>
  <c r="U27" i="62"/>
  <c r="T29" i="62" l="1"/>
  <c r="U29" i="62"/>
  <c r="E30" i="62"/>
  <c r="B31" i="62"/>
  <c r="M30" i="62"/>
  <c r="L29" i="62"/>
  <c r="K29" i="62"/>
  <c r="U30" i="62" l="1"/>
  <c r="B32" i="62"/>
  <c r="E31" i="62"/>
  <c r="M31" i="62"/>
  <c r="T30" i="62"/>
  <c r="L30" i="62"/>
  <c r="K30" i="62"/>
  <c r="U31" i="62" l="1"/>
  <c r="E32" i="62"/>
  <c r="B33" i="62"/>
  <c r="M32" i="62"/>
  <c r="L31" i="62"/>
  <c r="K31" i="62"/>
  <c r="U32" i="62" l="1"/>
  <c r="L32" i="62"/>
  <c r="K32" i="62"/>
  <c r="T31" i="62"/>
  <c r="B34" i="62"/>
  <c r="M33" i="62"/>
  <c r="E33" i="62"/>
  <c r="M34" i="62" l="1"/>
  <c r="B35" i="62"/>
  <c r="E34" i="62"/>
  <c r="L33" i="62"/>
  <c r="K33" i="62"/>
  <c r="T32" i="62"/>
  <c r="U33" i="62" l="1"/>
  <c r="E35" i="62"/>
  <c r="B36" i="62"/>
  <c r="M35" i="62"/>
  <c r="L34" i="62"/>
  <c r="K34" i="62"/>
  <c r="T33" i="62"/>
  <c r="U35" i="62" l="1"/>
  <c r="T34" i="62"/>
  <c r="L35" i="62"/>
  <c r="K35" i="62"/>
  <c r="U34" i="62"/>
  <c r="M36" i="62"/>
  <c r="B37" i="62"/>
  <c r="E36" i="62"/>
  <c r="T35" i="62" l="1"/>
  <c r="T36" i="62"/>
  <c r="U36" i="62"/>
  <c r="E37" i="62"/>
  <c r="B38" i="62"/>
  <c r="M37" i="62"/>
  <c r="L36" i="62"/>
  <c r="K36" i="62"/>
  <c r="U37" i="62" l="1"/>
  <c r="K37" i="62"/>
  <c r="L37" i="62"/>
  <c r="B39" i="62"/>
  <c r="M38" i="62"/>
  <c r="E38" i="62"/>
  <c r="T37" i="62" l="1"/>
  <c r="U38" i="62"/>
  <c r="L38" i="62"/>
  <c r="K38" i="62"/>
  <c r="T38" i="62"/>
  <c r="B40" i="62"/>
  <c r="M39" i="62"/>
  <c r="E39" i="62"/>
  <c r="L39" i="62" l="1"/>
  <c r="K39" i="62"/>
  <c r="E40" i="62"/>
  <c r="B41" i="62"/>
  <c r="M40" i="62"/>
  <c r="U40" i="62" l="1"/>
  <c r="U39" i="62"/>
  <c r="L40" i="62"/>
  <c r="K40" i="62"/>
  <c r="B42" i="62"/>
  <c r="M41" i="62"/>
  <c r="E41" i="62"/>
  <c r="T39" i="62"/>
  <c r="T40" i="62" l="1"/>
  <c r="L41" i="62"/>
  <c r="K41" i="62"/>
  <c r="E42" i="62"/>
  <c r="B43" i="62"/>
  <c r="M42" i="62"/>
  <c r="T41" i="62" l="1"/>
  <c r="L42" i="62"/>
  <c r="K42" i="62"/>
  <c r="U41" i="62"/>
  <c r="B44" i="62"/>
  <c r="M43" i="62"/>
  <c r="E43" i="62"/>
  <c r="U42" i="62" l="1"/>
  <c r="T42" i="62"/>
  <c r="T43" i="62"/>
  <c r="U43" i="62"/>
  <c r="E44" i="62"/>
  <c r="B45" i="62"/>
  <c r="M44" i="62"/>
  <c r="L43" i="62"/>
  <c r="K43" i="62"/>
  <c r="U44" i="62" l="1"/>
  <c r="T44" i="62"/>
  <c r="B46" i="62"/>
  <c r="M45" i="62"/>
  <c r="E45" i="62"/>
  <c r="L44" i="62"/>
  <c r="K44" i="62"/>
  <c r="L45" i="62" l="1"/>
  <c r="K45" i="62"/>
  <c r="E46" i="62"/>
  <c r="B47" i="62"/>
  <c r="M46" i="62"/>
  <c r="U46" i="62" l="1"/>
  <c r="L46" i="62"/>
  <c r="K46" i="62"/>
  <c r="T46" i="62"/>
  <c r="T45" i="62"/>
  <c r="B48" i="62"/>
  <c r="M47" i="62"/>
  <c r="E47" i="62"/>
  <c r="U45" i="62"/>
  <c r="L47" i="62" l="1"/>
  <c r="K47" i="62"/>
  <c r="E48" i="62"/>
  <c r="B49" i="62"/>
  <c r="M48" i="62"/>
  <c r="T48" i="62" l="1"/>
  <c r="U48" i="62"/>
  <c r="U47" i="62"/>
  <c r="L48" i="62"/>
  <c r="K48" i="62"/>
  <c r="B50" i="62"/>
  <c r="M49" i="62"/>
  <c r="E49" i="62"/>
  <c r="T47" i="62"/>
  <c r="L49" i="62" l="1"/>
  <c r="K49" i="62"/>
  <c r="E50" i="62"/>
  <c r="B51" i="62"/>
  <c r="M50" i="62"/>
  <c r="T50" i="62" l="1"/>
  <c r="T49" i="62"/>
  <c r="L50" i="62"/>
  <c r="K50" i="62"/>
  <c r="U49" i="62"/>
  <c r="B52" i="62"/>
  <c r="M51" i="62"/>
  <c r="E51" i="62"/>
  <c r="U50" i="62" l="1"/>
  <c r="E52" i="62"/>
  <c r="B53" i="62"/>
  <c r="M52" i="62"/>
  <c r="L51" i="62"/>
  <c r="K51" i="62"/>
  <c r="U51" i="62" l="1"/>
  <c r="T51" i="62"/>
  <c r="T52" i="62"/>
  <c r="U52" i="62"/>
  <c r="B54" i="62"/>
  <c r="M53" i="62"/>
  <c r="E53" i="62"/>
  <c r="L52" i="62"/>
  <c r="K52" i="62"/>
  <c r="L53" i="62" l="1"/>
  <c r="K53" i="62"/>
  <c r="E54" i="62"/>
  <c r="B55" i="62"/>
  <c r="M54" i="62"/>
  <c r="T54" i="62" l="1"/>
  <c r="U54" i="62"/>
  <c r="L54" i="62"/>
  <c r="K54" i="62"/>
  <c r="T53" i="62"/>
  <c r="B56" i="62"/>
  <c r="M55" i="62"/>
  <c r="E55" i="62"/>
  <c r="U53" i="62"/>
  <c r="L55" i="62" l="1"/>
  <c r="K55" i="62"/>
  <c r="E56" i="62"/>
  <c r="B57" i="62"/>
  <c r="M56" i="62"/>
  <c r="U56" i="62" l="1"/>
  <c r="U55" i="62"/>
  <c r="L56" i="62"/>
  <c r="K56" i="62"/>
  <c r="B58" i="62"/>
  <c r="M57" i="62"/>
  <c r="E57" i="62"/>
  <c r="T55" i="62"/>
  <c r="T56" i="62" l="1"/>
  <c r="L57" i="62"/>
  <c r="K57" i="62"/>
  <c r="E58" i="62"/>
  <c r="B59" i="62"/>
  <c r="M58" i="62"/>
  <c r="U58" i="62" l="1"/>
  <c r="T57" i="62"/>
  <c r="L58" i="62"/>
  <c r="K58" i="62"/>
  <c r="T58" i="62"/>
  <c r="U57" i="62"/>
  <c r="B60" i="62"/>
  <c r="M59" i="62"/>
  <c r="E59" i="62"/>
  <c r="E60" i="62" l="1"/>
  <c r="B61" i="62"/>
  <c r="M60" i="62"/>
  <c r="L59" i="62"/>
  <c r="K59" i="62"/>
  <c r="L60" i="62" l="1"/>
  <c r="K60" i="62"/>
  <c r="T59" i="62"/>
  <c r="U59" i="62"/>
  <c r="B62" i="62"/>
  <c r="M61" i="62"/>
  <c r="E61" i="62"/>
  <c r="T61" i="62" l="1"/>
  <c r="U61" i="62"/>
  <c r="E62" i="62"/>
  <c r="B63" i="62"/>
  <c r="M62" i="62"/>
  <c r="T60" i="62"/>
  <c r="U60" i="62"/>
  <c r="L61" i="62"/>
  <c r="K61" i="62"/>
  <c r="T62" i="62" l="1"/>
  <c r="U62" i="62"/>
  <c r="L62" i="62"/>
  <c r="K62" i="62"/>
  <c r="B64" i="62"/>
  <c r="M63" i="62"/>
  <c r="E63" i="62"/>
  <c r="L63" i="62" l="1"/>
  <c r="K63" i="62"/>
  <c r="E64" i="62"/>
  <c r="B65" i="62"/>
  <c r="M64" i="62"/>
  <c r="U64" i="62" l="1"/>
  <c r="B66" i="62"/>
  <c r="M65" i="62"/>
  <c r="E65" i="62"/>
  <c r="U63" i="62"/>
  <c r="L64" i="62"/>
  <c r="K64" i="62"/>
  <c r="T63" i="62"/>
  <c r="T64" i="62" l="1"/>
  <c r="L65" i="62"/>
  <c r="K65" i="62"/>
  <c r="E66" i="62"/>
  <c r="B67" i="62"/>
  <c r="M66" i="62"/>
  <c r="T66" i="62" l="1"/>
  <c r="U66" i="62"/>
  <c r="L66" i="62"/>
  <c r="K66" i="62"/>
  <c r="U65" i="62"/>
  <c r="T65" i="62"/>
  <c r="B68" i="62"/>
  <c r="M67" i="62"/>
  <c r="E67" i="62"/>
  <c r="U67" i="62" l="1"/>
  <c r="E68" i="62"/>
  <c r="B69" i="62"/>
  <c r="M68" i="62"/>
  <c r="L67" i="62"/>
  <c r="K67" i="62"/>
  <c r="T67" i="62" l="1"/>
  <c r="T68" i="62"/>
  <c r="U68" i="62"/>
  <c r="B70" i="62"/>
  <c r="M69" i="62"/>
  <c r="E69" i="62"/>
  <c r="L68" i="62"/>
  <c r="K68" i="62"/>
  <c r="E70" i="62" l="1"/>
  <c r="B71" i="62"/>
  <c r="M70" i="62"/>
  <c r="L69" i="62"/>
  <c r="K69" i="62"/>
  <c r="U70" i="62" l="1"/>
  <c r="B72" i="62"/>
  <c r="M71" i="62"/>
  <c r="E71" i="62"/>
  <c r="L70" i="62"/>
  <c r="K70" i="62"/>
  <c r="T70" i="62"/>
  <c r="U69" i="62"/>
  <c r="T69" i="62"/>
  <c r="T71" i="62" l="1"/>
  <c r="E72" i="62"/>
  <c r="B73" i="62"/>
  <c r="M72" i="62"/>
  <c r="L71" i="62"/>
  <c r="K71" i="62"/>
  <c r="T72" i="62" l="1"/>
  <c r="B74" i="62"/>
  <c r="M73" i="62"/>
  <c r="E73" i="62"/>
  <c r="U71" i="62"/>
  <c r="L72" i="62"/>
  <c r="K72" i="62"/>
  <c r="U73" i="62" l="1"/>
  <c r="T73" i="62"/>
  <c r="L73" i="62"/>
  <c r="K73" i="62"/>
  <c r="E74" i="62"/>
  <c r="B75" i="62"/>
  <c r="M74" i="62"/>
  <c r="U72" i="62"/>
  <c r="T74" i="62" l="1"/>
  <c r="L74" i="62"/>
  <c r="K74" i="62"/>
  <c r="B76" i="62"/>
  <c r="M75" i="62"/>
  <c r="E75" i="62"/>
  <c r="T75" i="62" l="1"/>
  <c r="U75" i="62"/>
  <c r="E76" i="62"/>
  <c r="B77" i="62"/>
  <c r="M76" i="62"/>
  <c r="L75" i="62"/>
  <c r="K75" i="62"/>
  <c r="U74" i="62"/>
  <c r="T76" i="62" l="1"/>
  <c r="U76" i="62"/>
  <c r="B78" i="62"/>
  <c r="M77" i="62"/>
  <c r="E77" i="62"/>
  <c r="L76" i="62"/>
  <c r="K76" i="62"/>
  <c r="T77" i="62" l="1"/>
  <c r="E78" i="62"/>
  <c r="B79" i="62"/>
  <c r="M78" i="62"/>
  <c r="L77" i="62"/>
  <c r="K77" i="62"/>
  <c r="U78" i="62" l="1"/>
  <c r="L78" i="62"/>
  <c r="K78" i="62"/>
  <c r="U77" i="62"/>
  <c r="B80" i="62"/>
  <c r="M79" i="62"/>
  <c r="E79" i="62"/>
  <c r="T78" i="62" l="1"/>
  <c r="T79" i="62"/>
  <c r="U79" i="62"/>
  <c r="L79" i="62"/>
  <c r="K79" i="62"/>
  <c r="E80" i="62"/>
  <c r="B81" i="62"/>
  <c r="M80" i="62"/>
  <c r="T80" i="62" l="1"/>
  <c r="U80" i="62"/>
  <c r="L80" i="62"/>
  <c r="K80" i="62"/>
  <c r="B82" i="62"/>
  <c r="M81" i="62"/>
  <c r="E81" i="62"/>
  <c r="L81" i="62" l="1"/>
  <c r="K81" i="62"/>
  <c r="E82" i="62"/>
  <c r="B83" i="62"/>
  <c r="M82" i="62"/>
  <c r="U82" i="62" l="1"/>
  <c r="T81" i="62"/>
  <c r="L82" i="62"/>
  <c r="K82" i="62"/>
  <c r="T82" i="62"/>
  <c r="U81" i="62"/>
  <c r="B84" i="62"/>
  <c r="M83" i="62"/>
  <c r="E83" i="62"/>
  <c r="U83" i="62" l="1"/>
  <c r="E84" i="62"/>
  <c r="B85" i="62"/>
  <c r="M84" i="62"/>
  <c r="L83" i="62"/>
  <c r="K83" i="62"/>
  <c r="T83" i="62" l="1"/>
  <c r="T84" i="62"/>
  <c r="B86" i="62"/>
  <c r="M85" i="62"/>
  <c r="E85" i="62"/>
  <c r="L84" i="62"/>
  <c r="K84" i="62"/>
  <c r="T85" i="62" l="1"/>
  <c r="U84" i="62"/>
  <c r="L85" i="62"/>
  <c r="K85" i="62"/>
  <c r="E86" i="62"/>
  <c r="B87" i="62"/>
  <c r="M86" i="62"/>
  <c r="L86" i="62" l="1"/>
  <c r="K86" i="62"/>
  <c r="T86" i="62"/>
  <c r="B88" i="62"/>
  <c r="M87" i="62"/>
  <c r="E87" i="62"/>
  <c r="U85" i="62"/>
  <c r="U87" i="62" l="1"/>
  <c r="L87" i="62"/>
  <c r="K87" i="62"/>
  <c r="U86" i="62"/>
  <c r="E88" i="62"/>
  <c r="B89" i="62"/>
  <c r="M88" i="62"/>
  <c r="T87" i="62" l="1"/>
  <c r="L88" i="62"/>
  <c r="K88" i="62"/>
  <c r="B90" i="62"/>
  <c r="M89" i="62"/>
  <c r="E89" i="62"/>
  <c r="T88" i="62" l="1"/>
  <c r="T89" i="62"/>
  <c r="U89" i="62"/>
  <c r="E90" i="62"/>
  <c r="B91" i="62"/>
  <c r="M90" i="62"/>
  <c r="L89" i="62"/>
  <c r="K89" i="62"/>
  <c r="U88" i="62"/>
  <c r="T90" i="62" l="1"/>
  <c r="L90" i="62"/>
  <c r="K90" i="62"/>
  <c r="B92" i="62"/>
  <c r="M91" i="62"/>
  <c r="E91" i="62"/>
  <c r="L91" i="62" l="1"/>
  <c r="K91" i="62"/>
  <c r="U90" i="62"/>
  <c r="E92" i="62"/>
  <c r="B93" i="62"/>
  <c r="M92" i="62"/>
  <c r="U92" i="62" l="1"/>
  <c r="L92" i="62"/>
  <c r="K92" i="62"/>
  <c r="B94" i="62"/>
  <c r="M93" i="62"/>
  <c r="E93" i="62"/>
  <c r="T91" i="62"/>
  <c r="U91" i="62"/>
  <c r="T92" i="62" l="1"/>
  <c r="U93" i="62"/>
  <c r="L93" i="62"/>
  <c r="K93" i="62"/>
  <c r="E94" i="62"/>
  <c r="B95" i="62"/>
  <c r="M94" i="62"/>
  <c r="T94" i="62" l="1"/>
  <c r="L94" i="62"/>
  <c r="K94" i="62"/>
  <c r="T93" i="62"/>
  <c r="B96" i="62"/>
  <c r="M95" i="62"/>
  <c r="E95" i="62"/>
  <c r="T95" i="62" l="1"/>
  <c r="L95" i="62"/>
  <c r="K95" i="62"/>
  <c r="U94" i="62"/>
  <c r="E96" i="62"/>
  <c r="B97" i="62"/>
  <c r="M96" i="62"/>
  <c r="U96" i="62" l="1"/>
  <c r="L96" i="62"/>
  <c r="K96" i="62"/>
  <c r="T96" i="62"/>
  <c r="U95" i="62"/>
  <c r="B98" i="62"/>
  <c r="M97" i="62"/>
  <c r="E97" i="62"/>
  <c r="L97" i="62" l="1"/>
  <c r="K97" i="62"/>
  <c r="E98" i="62"/>
  <c r="B99" i="62"/>
  <c r="M98" i="62"/>
  <c r="U98" i="62" l="1"/>
  <c r="T97" i="62"/>
  <c r="L98" i="62"/>
  <c r="K98" i="62"/>
  <c r="U97" i="62"/>
  <c r="B100" i="62"/>
  <c r="M99" i="62"/>
  <c r="E99" i="62"/>
  <c r="T98" i="62" l="1"/>
  <c r="T99" i="62"/>
  <c r="E100" i="62"/>
  <c r="B101" i="62"/>
  <c r="M100" i="62"/>
  <c r="L99" i="62"/>
  <c r="K99" i="62"/>
  <c r="U99" i="62" l="1"/>
  <c r="T100" i="62"/>
  <c r="B102" i="62"/>
  <c r="M101" i="62"/>
  <c r="E101" i="62"/>
  <c r="L100" i="62"/>
  <c r="K100" i="62"/>
  <c r="T101" i="62" l="1"/>
  <c r="U100" i="62"/>
  <c r="L101" i="62"/>
  <c r="K101" i="62"/>
  <c r="E102" i="62"/>
  <c r="B103" i="62"/>
  <c r="M102" i="62"/>
  <c r="T102" i="62" l="1"/>
  <c r="U101" i="62"/>
  <c r="B104" i="62"/>
  <c r="M103" i="62"/>
  <c r="E103" i="62"/>
  <c r="L102" i="62"/>
  <c r="K102" i="62"/>
  <c r="U103" i="62" l="1"/>
  <c r="U102" i="62"/>
  <c r="L103" i="62"/>
  <c r="T103" i="62"/>
  <c r="K103" i="62"/>
  <c r="E104" i="62"/>
  <c r="B105" i="62"/>
  <c r="M104" i="62"/>
  <c r="L104" i="62" l="1"/>
  <c r="K104" i="62"/>
  <c r="T104" i="62"/>
  <c r="B106" i="62"/>
  <c r="M105" i="62"/>
  <c r="E105" i="62"/>
  <c r="L105" i="62" l="1"/>
  <c r="K105" i="62"/>
  <c r="U104" i="62"/>
  <c r="E106" i="62"/>
  <c r="B107" i="62"/>
  <c r="M106" i="62"/>
  <c r="T105" i="62" l="1"/>
  <c r="L106" i="62"/>
  <c r="K106" i="62"/>
  <c r="B108" i="62"/>
  <c r="M107" i="62"/>
  <c r="E107" i="62"/>
  <c r="U105" i="62"/>
  <c r="U107" i="62" l="1"/>
  <c r="T107" i="62"/>
  <c r="T106" i="62"/>
  <c r="U106" i="62"/>
  <c r="E108" i="62"/>
  <c r="B109" i="62"/>
  <c r="M108" i="62"/>
  <c r="L107" i="62"/>
  <c r="K107" i="62"/>
  <c r="B110" i="62" l="1"/>
  <c r="M109" i="62"/>
  <c r="E109" i="62"/>
  <c r="L108" i="62"/>
  <c r="K108" i="62"/>
  <c r="T108" i="62" l="1"/>
  <c r="U108" i="62"/>
  <c r="L109" i="62"/>
  <c r="K109" i="62"/>
  <c r="E110" i="62"/>
  <c r="B111" i="62"/>
  <c r="M110" i="62"/>
  <c r="U109" i="62" l="1"/>
  <c r="T109" i="62"/>
  <c r="B112" i="62"/>
  <c r="M111" i="62"/>
  <c r="E111" i="62"/>
  <c r="L110" i="62"/>
  <c r="K110" i="62"/>
  <c r="U111" i="62" l="1"/>
  <c r="T110" i="62"/>
  <c r="U110" i="62"/>
  <c r="L111" i="62"/>
  <c r="K111" i="62"/>
  <c r="E112" i="62"/>
  <c r="B113" i="62"/>
  <c r="M112" i="62"/>
  <c r="L112" i="62" l="1"/>
  <c r="K112" i="62"/>
  <c r="B114" i="62"/>
  <c r="M113" i="62"/>
  <c r="E113" i="62"/>
  <c r="T111" i="62"/>
  <c r="L113" i="62" l="1"/>
  <c r="K113" i="62"/>
  <c r="T112" i="62"/>
  <c r="U112" i="62"/>
  <c r="E114" i="62"/>
  <c r="B115" i="62"/>
  <c r="M114" i="62"/>
  <c r="L114" i="62" l="1"/>
  <c r="K114" i="62"/>
  <c r="B116" i="62"/>
  <c r="M115" i="62"/>
  <c r="E115" i="62"/>
  <c r="T113" i="62"/>
  <c r="U113" i="62"/>
  <c r="U115" i="62" l="1"/>
  <c r="L115" i="62"/>
  <c r="T115" i="62"/>
  <c r="K115" i="62"/>
  <c r="T114" i="62"/>
  <c r="U114" i="62"/>
  <c r="E116" i="62"/>
  <c r="B117" i="62"/>
  <c r="M116" i="62"/>
  <c r="T116" i="62" l="1"/>
  <c r="B118" i="62"/>
  <c r="M117" i="62"/>
  <c r="E117" i="62"/>
  <c r="L116" i="62"/>
  <c r="K116" i="62"/>
  <c r="U117" i="62" l="1"/>
  <c r="U116" i="62"/>
  <c r="L117" i="62"/>
  <c r="K117" i="62"/>
  <c r="E118" i="62"/>
  <c r="B119" i="62"/>
  <c r="M118" i="62"/>
  <c r="T118" i="62" l="1"/>
  <c r="B120" i="62"/>
  <c r="M119" i="62"/>
  <c r="E119" i="62"/>
  <c r="L118" i="62"/>
  <c r="K118" i="62"/>
  <c r="T117" i="62"/>
  <c r="T119" i="62" l="1"/>
  <c r="U118" i="62"/>
  <c r="L119" i="62"/>
  <c r="K119" i="62"/>
  <c r="E120" i="62"/>
  <c r="B121" i="62"/>
  <c r="M120" i="62"/>
  <c r="U119" i="62" l="1"/>
  <c r="L120" i="62"/>
  <c r="K120" i="62"/>
  <c r="T120" i="62"/>
  <c r="B122" i="62"/>
  <c r="M121" i="62"/>
  <c r="E121" i="62"/>
  <c r="U120" i="62" l="1"/>
  <c r="L121" i="62"/>
  <c r="K121" i="62"/>
  <c r="E122" i="62"/>
  <c r="B123" i="62"/>
  <c r="M122" i="62"/>
  <c r="U122" i="62" l="1"/>
  <c r="T121" i="62"/>
  <c r="L122" i="62"/>
  <c r="K122" i="62"/>
  <c r="T122" i="62"/>
  <c r="U121" i="62"/>
  <c r="B124" i="62"/>
  <c r="M123" i="62"/>
  <c r="E123" i="62"/>
  <c r="T123" i="62" l="1"/>
  <c r="U123" i="62"/>
  <c r="E124" i="62"/>
  <c r="B125" i="62"/>
  <c r="M124" i="62"/>
  <c r="L123" i="62"/>
  <c r="K123" i="62"/>
  <c r="U124" i="62" l="1"/>
  <c r="B126" i="62"/>
  <c r="M125" i="62"/>
  <c r="E125" i="62"/>
  <c r="L124" i="62"/>
  <c r="K124" i="62"/>
  <c r="T124" i="62"/>
  <c r="U125" i="62" l="1"/>
  <c r="L125" i="62"/>
  <c r="K125" i="62"/>
  <c r="E126" i="62"/>
  <c r="B127" i="62"/>
  <c r="M126" i="62"/>
  <c r="U126" i="62" l="1"/>
  <c r="T126" i="62"/>
  <c r="B128" i="62"/>
  <c r="M127" i="62"/>
  <c r="E127" i="62"/>
  <c r="L126" i="62"/>
  <c r="K126" i="62"/>
  <c r="T125" i="62"/>
  <c r="T127" i="62" l="1"/>
  <c r="L127" i="62"/>
  <c r="K127" i="62"/>
  <c r="E128" i="62"/>
  <c r="B129" i="62"/>
  <c r="M128" i="62"/>
  <c r="T128" i="62" l="1"/>
  <c r="B130" i="62"/>
  <c r="M129" i="62"/>
  <c r="E129" i="62"/>
  <c r="U127" i="62"/>
  <c r="U128" i="62"/>
  <c r="L128" i="62"/>
  <c r="K128" i="62"/>
  <c r="L129" i="62" l="1"/>
  <c r="K129" i="62"/>
  <c r="E130" i="62"/>
  <c r="B131" i="62"/>
  <c r="M130" i="62"/>
  <c r="T130" i="62" l="1"/>
  <c r="U130" i="62"/>
  <c r="T129" i="62"/>
  <c r="L130" i="62"/>
  <c r="K130" i="62"/>
  <c r="U129" i="62"/>
  <c r="B132" i="62"/>
  <c r="M131" i="62"/>
  <c r="E131" i="62"/>
  <c r="T131" i="62" l="1"/>
  <c r="U131" i="62"/>
  <c r="E132" i="62"/>
  <c r="B133" i="62"/>
  <c r="M132" i="62"/>
  <c r="L131" i="62"/>
  <c r="K131" i="62"/>
  <c r="U132" i="62" l="1"/>
  <c r="T132" i="62"/>
  <c r="B134" i="62"/>
  <c r="M133" i="62"/>
  <c r="E133" i="62"/>
  <c r="L132" i="62"/>
  <c r="K132" i="62"/>
  <c r="U133" i="62" l="1"/>
  <c r="T133" i="62"/>
  <c r="L133" i="62"/>
  <c r="K133" i="62"/>
  <c r="E134" i="62"/>
  <c r="B135" i="62"/>
  <c r="M134" i="62"/>
  <c r="T134" i="62" l="1"/>
  <c r="B136" i="62"/>
  <c r="M135" i="62"/>
  <c r="E135" i="62"/>
  <c r="U134" i="62"/>
  <c r="L134" i="62"/>
  <c r="K134" i="62"/>
  <c r="T135" i="62" l="1"/>
  <c r="L135" i="62"/>
  <c r="K135" i="62"/>
  <c r="E136" i="62"/>
  <c r="B137" i="62"/>
  <c r="M136" i="62"/>
  <c r="L136" i="62" l="1"/>
  <c r="K136" i="62"/>
  <c r="B138" i="62"/>
  <c r="M137" i="62"/>
  <c r="E137" i="62"/>
  <c r="U135" i="62"/>
  <c r="U137" i="62" l="1"/>
  <c r="T137" i="62"/>
  <c r="E138" i="62"/>
  <c r="B139" i="62"/>
  <c r="M138" i="62"/>
  <c r="L137" i="62"/>
  <c r="K137" i="62"/>
  <c r="T136" i="62"/>
  <c r="U136" i="62"/>
  <c r="L138" i="62" l="1"/>
  <c r="K138" i="62"/>
  <c r="B140" i="62"/>
  <c r="M139" i="62"/>
  <c r="E139" i="62"/>
  <c r="U139" i="62" l="1"/>
  <c r="E140" i="62"/>
  <c r="B141" i="62"/>
  <c r="M140" i="62"/>
  <c r="L139" i="62"/>
  <c r="K139" i="62"/>
  <c r="T138" i="62"/>
  <c r="U138" i="62"/>
  <c r="T139" i="62" l="1"/>
  <c r="T140" i="62"/>
  <c r="B142" i="62"/>
  <c r="M141" i="62"/>
  <c r="E141" i="62"/>
  <c r="L140" i="62"/>
  <c r="K140" i="62"/>
  <c r="U140" i="62" l="1"/>
  <c r="U141" i="62"/>
  <c r="L141" i="62"/>
  <c r="K141" i="62"/>
  <c r="E142" i="62"/>
  <c r="B143" i="62"/>
  <c r="M142" i="62"/>
  <c r="T142" i="62" l="1"/>
  <c r="U142" i="62"/>
  <c r="B144" i="62"/>
  <c r="M143" i="62"/>
  <c r="E143" i="62"/>
  <c r="L142" i="62"/>
  <c r="K142" i="62"/>
  <c r="T141" i="62"/>
  <c r="E144" i="62" l="1"/>
  <c r="B145" i="62"/>
  <c r="M144" i="62"/>
  <c r="L143" i="62"/>
  <c r="K143" i="62"/>
  <c r="T143" i="62" l="1"/>
  <c r="B146" i="62"/>
  <c r="M145" i="62"/>
  <c r="E145" i="62"/>
  <c r="U143" i="62"/>
  <c r="L144" i="62"/>
  <c r="K144" i="62"/>
  <c r="T144" i="62"/>
  <c r="U144" i="62" l="1"/>
  <c r="L145" i="62"/>
  <c r="K145" i="62"/>
  <c r="B147" i="62"/>
  <c r="E146" i="62"/>
  <c r="M146" i="62"/>
  <c r="K146" i="62" l="1"/>
  <c r="L146" i="62"/>
  <c r="B148" i="62"/>
  <c r="M147" i="62"/>
  <c r="E147" i="62"/>
  <c r="T145" i="62"/>
  <c r="U145" i="62"/>
  <c r="B149" i="62" l="1"/>
  <c r="E148" i="62"/>
  <c r="M148" i="62"/>
  <c r="U146" i="62"/>
  <c r="L147" i="62"/>
  <c r="K147" i="62"/>
  <c r="T146" i="62"/>
  <c r="U148" i="62" l="1"/>
  <c r="U147" i="62"/>
  <c r="T147" i="62"/>
  <c r="K148" i="62"/>
  <c r="L148" i="62"/>
  <c r="B150" i="62"/>
  <c r="M149" i="62"/>
  <c r="E149" i="62"/>
  <c r="L149" i="62" l="1"/>
  <c r="K149" i="62"/>
  <c r="T148" i="62"/>
  <c r="B151" i="62"/>
  <c r="E150" i="62"/>
  <c r="M150" i="62"/>
  <c r="U150" i="62" l="1"/>
  <c r="B152" i="62"/>
  <c r="M151" i="62"/>
  <c r="E151" i="62"/>
  <c r="K150" i="62"/>
  <c r="L150" i="62"/>
  <c r="T149" i="62"/>
  <c r="U149" i="62"/>
  <c r="T150" i="62" l="1"/>
  <c r="L151" i="62"/>
  <c r="K151" i="62"/>
  <c r="B153" i="62"/>
  <c r="E152" i="62"/>
  <c r="M152" i="62"/>
  <c r="U152" i="62" l="1"/>
  <c r="K152" i="62"/>
  <c r="L152" i="62"/>
  <c r="B154" i="62"/>
  <c r="M153" i="62"/>
  <c r="E153" i="62"/>
  <c r="T151" i="62"/>
  <c r="U151" i="62"/>
  <c r="B155" i="62" l="1"/>
  <c r="E154" i="62"/>
  <c r="M154" i="62"/>
  <c r="L153" i="62"/>
  <c r="K153" i="62"/>
  <c r="T152" i="62"/>
  <c r="U153" i="62" l="1"/>
  <c r="T153" i="62"/>
  <c r="K154" i="62"/>
  <c r="L154" i="62"/>
  <c r="B156" i="62"/>
  <c r="M155" i="62"/>
  <c r="E155" i="62"/>
  <c r="B157" i="62" l="1"/>
  <c r="E156" i="62"/>
  <c r="M156" i="62"/>
  <c r="U154" i="62"/>
  <c r="L155" i="62"/>
  <c r="K155" i="62"/>
  <c r="T154" i="62"/>
  <c r="U156" i="62" l="1"/>
  <c r="U155" i="62"/>
  <c r="T155" i="62"/>
  <c r="K156" i="62"/>
  <c r="L156" i="62"/>
  <c r="B158" i="62"/>
  <c r="M157" i="62"/>
  <c r="E157" i="62"/>
  <c r="L157" i="62" l="1"/>
  <c r="K157" i="62"/>
  <c r="T156" i="62"/>
  <c r="B159" i="62"/>
  <c r="E158" i="62"/>
  <c r="M158" i="62"/>
  <c r="U158" i="62" l="1"/>
  <c r="B160" i="62"/>
  <c r="M159" i="62"/>
  <c r="E159" i="62"/>
  <c r="T158" i="62"/>
  <c r="K158" i="62"/>
  <c r="L158" i="62"/>
  <c r="T157" i="62"/>
  <c r="U157" i="62"/>
  <c r="L159" i="62" l="1"/>
  <c r="K159" i="62"/>
  <c r="B161" i="62"/>
  <c r="E160" i="62"/>
  <c r="M160" i="62"/>
  <c r="U160" i="62" l="1"/>
  <c r="K160" i="62"/>
  <c r="L160" i="62"/>
  <c r="B162" i="62"/>
  <c r="M161" i="62"/>
  <c r="E161" i="62"/>
  <c r="T159" i="62"/>
  <c r="U159" i="62"/>
  <c r="U161" i="62" l="1"/>
  <c r="B163" i="62"/>
  <c r="E162" i="62"/>
  <c r="M162" i="62"/>
  <c r="L161" i="62"/>
  <c r="K161" i="62"/>
  <c r="T161" i="62"/>
  <c r="T160" i="62"/>
  <c r="K162" i="62" l="1"/>
  <c r="L162" i="62"/>
  <c r="B164" i="62"/>
  <c r="M163" i="62"/>
  <c r="E163" i="62"/>
  <c r="B165" i="62" l="1"/>
  <c r="E164" i="62"/>
  <c r="M164" i="62"/>
  <c r="U162" i="62"/>
  <c r="L163" i="62"/>
  <c r="K163" i="62"/>
  <c r="T162" i="62"/>
  <c r="T164" i="62" l="1"/>
  <c r="U163" i="62"/>
  <c r="T163" i="62"/>
  <c r="K164" i="62"/>
  <c r="L164" i="62"/>
  <c r="B166" i="62"/>
  <c r="M165" i="62"/>
  <c r="E165" i="62"/>
  <c r="U165" i="62" l="1"/>
  <c r="L165" i="62"/>
  <c r="K165" i="62"/>
  <c r="T165" i="62"/>
  <c r="B167" i="62"/>
  <c r="E166" i="62"/>
  <c r="M166" i="62"/>
  <c r="U164" i="62"/>
  <c r="U166" i="62" l="1"/>
  <c r="B168" i="62"/>
  <c r="M167" i="62"/>
  <c r="E167" i="62"/>
  <c r="T166" i="62"/>
  <c r="K166" i="62"/>
  <c r="L166" i="62"/>
  <c r="L167" i="62" l="1"/>
  <c r="K167" i="62"/>
  <c r="B169" i="62"/>
  <c r="E168" i="62"/>
  <c r="M168" i="62"/>
  <c r="U168" i="62" l="1"/>
  <c r="K168" i="62"/>
  <c r="L168" i="62"/>
  <c r="B170" i="62"/>
  <c r="M169" i="62"/>
  <c r="E169" i="62"/>
  <c r="T167" i="62"/>
  <c r="U167" i="62"/>
  <c r="B171" i="62" l="1"/>
  <c r="E170" i="62"/>
  <c r="M170" i="62"/>
  <c r="L169" i="62"/>
  <c r="K169" i="62"/>
  <c r="T168" i="62"/>
  <c r="U169" i="62" l="1"/>
  <c r="T169" i="62"/>
  <c r="K170" i="62"/>
  <c r="L170" i="62"/>
  <c r="B172" i="62"/>
  <c r="M171" i="62"/>
  <c r="E171" i="62"/>
  <c r="B173" i="62" l="1"/>
  <c r="E172" i="62"/>
  <c r="M172" i="62"/>
  <c r="U170" i="62"/>
  <c r="L171" i="62"/>
  <c r="K171" i="62"/>
  <c r="T170" i="62"/>
  <c r="U172" i="62" l="1"/>
  <c r="U171" i="62"/>
  <c r="T171" i="62"/>
  <c r="K172" i="62"/>
  <c r="L172" i="62"/>
  <c r="B174" i="62"/>
  <c r="M173" i="62"/>
  <c r="E173" i="62"/>
  <c r="L173" i="62" l="1"/>
  <c r="K173" i="62"/>
  <c r="T172" i="62"/>
  <c r="B175" i="62"/>
  <c r="E174" i="62"/>
  <c r="M174" i="62"/>
  <c r="U174" i="62" l="1"/>
  <c r="B176" i="62"/>
  <c r="M175" i="62"/>
  <c r="E175" i="62"/>
  <c r="T174" i="62"/>
  <c r="K174" i="62"/>
  <c r="L174" i="62"/>
  <c r="T173" i="62"/>
  <c r="U173" i="62"/>
  <c r="L175" i="62" l="1"/>
  <c r="K175" i="62"/>
  <c r="B177" i="62"/>
  <c r="E176" i="62"/>
  <c r="M176" i="62"/>
  <c r="U176" i="62" l="1"/>
  <c r="K176" i="62"/>
  <c r="L176" i="62"/>
  <c r="B178" i="62"/>
  <c r="M177" i="62"/>
  <c r="E177" i="62"/>
  <c r="T175" i="62"/>
  <c r="U175" i="62"/>
  <c r="U177" i="62" l="1"/>
  <c r="B179" i="62"/>
  <c r="E178" i="62"/>
  <c r="M178" i="62"/>
  <c r="L177" i="62"/>
  <c r="K177" i="62"/>
  <c r="T176" i="62"/>
  <c r="T177" i="62" l="1"/>
  <c r="K178" i="62"/>
  <c r="L178" i="62"/>
  <c r="B180" i="62"/>
  <c r="M179" i="62"/>
  <c r="E179" i="62"/>
  <c r="B181" i="62" l="1"/>
  <c r="E180" i="62"/>
  <c r="M180" i="62"/>
  <c r="U178" i="62"/>
  <c r="L179" i="62"/>
  <c r="K179" i="62"/>
  <c r="T178" i="62"/>
  <c r="U180" i="62" l="1"/>
  <c r="U179" i="62"/>
  <c r="T179" i="62"/>
  <c r="K180" i="62"/>
  <c r="L180" i="62"/>
  <c r="B182" i="62"/>
  <c r="M181" i="62"/>
  <c r="E181" i="62"/>
  <c r="L181" i="62" l="1"/>
  <c r="K181" i="62"/>
  <c r="T181" i="62"/>
  <c r="T180" i="62"/>
  <c r="B183" i="62"/>
  <c r="E182" i="62"/>
  <c r="M182" i="62"/>
  <c r="U182" i="62" l="1"/>
  <c r="B184" i="62"/>
  <c r="M183" i="62"/>
  <c r="E183" i="62"/>
  <c r="T182" i="62"/>
  <c r="K182" i="62"/>
  <c r="L182" i="62"/>
  <c r="U181" i="62"/>
  <c r="T183" i="62" l="1"/>
  <c r="U183" i="62"/>
  <c r="L183" i="62"/>
  <c r="K183" i="62"/>
  <c r="B185" i="62"/>
  <c r="E184" i="62"/>
  <c r="M184" i="62"/>
  <c r="K184" i="62" l="1"/>
  <c r="L184" i="62"/>
  <c r="B186" i="62"/>
  <c r="M185" i="62"/>
  <c r="E185" i="62"/>
  <c r="B187" i="62" l="1"/>
  <c r="E186" i="62"/>
  <c r="M186" i="62"/>
  <c r="U184" i="62"/>
  <c r="L185" i="62"/>
  <c r="K185" i="62"/>
  <c r="T184" i="62"/>
  <c r="T185" i="62" l="1"/>
  <c r="U185" i="62"/>
  <c r="K186" i="62"/>
  <c r="L186" i="62"/>
  <c r="B188" i="62"/>
  <c r="M187" i="62"/>
  <c r="E187" i="62"/>
  <c r="T186" i="62" l="1"/>
  <c r="U186" i="62"/>
  <c r="L187" i="62"/>
  <c r="T187" i="62"/>
  <c r="K187" i="62"/>
  <c r="B189" i="62"/>
  <c r="E188" i="62"/>
  <c r="M188" i="62"/>
  <c r="U187" i="62" l="1"/>
  <c r="K188" i="62"/>
  <c r="L188" i="62"/>
  <c r="B190" i="62"/>
  <c r="M189" i="62"/>
  <c r="E189" i="62"/>
  <c r="T189" i="62" l="1"/>
  <c r="L189" i="62"/>
  <c r="K189" i="62"/>
  <c r="B191" i="62"/>
  <c r="E190" i="62"/>
  <c r="M190" i="62"/>
  <c r="U188" i="62"/>
  <c r="T188" i="62"/>
  <c r="K190" i="62" l="1"/>
  <c r="L190" i="62"/>
  <c r="B192" i="62"/>
  <c r="M191" i="62"/>
  <c r="E191" i="62"/>
  <c r="U189" i="62"/>
  <c r="B193" i="62" l="1"/>
  <c r="E192" i="62"/>
  <c r="M192" i="62"/>
  <c r="U190" i="62"/>
  <c r="L191" i="62"/>
  <c r="K191" i="62"/>
  <c r="T190" i="62"/>
  <c r="U192" i="62" l="1"/>
  <c r="U191" i="62"/>
  <c r="T191" i="62"/>
  <c r="K192" i="62"/>
  <c r="L192" i="62"/>
  <c r="B194" i="62"/>
  <c r="M193" i="62"/>
  <c r="E193" i="62"/>
  <c r="L193" i="62" l="1"/>
  <c r="K193" i="62"/>
  <c r="T193" i="62"/>
  <c r="T192" i="62"/>
  <c r="B195" i="62"/>
  <c r="E194" i="62"/>
  <c r="M194" i="62"/>
  <c r="U194" i="62" l="1"/>
  <c r="B196" i="62"/>
  <c r="M195" i="62"/>
  <c r="E195" i="62"/>
  <c r="T194" i="62"/>
  <c r="K194" i="62"/>
  <c r="L194" i="62"/>
  <c r="U193" i="62"/>
  <c r="L195" i="62" l="1"/>
  <c r="K195" i="62"/>
  <c r="B197" i="62"/>
  <c r="E196" i="62"/>
  <c r="M196" i="62"/>
  <c r="K196" i="62" l="1"/>
  <c r="L196" i="62"/>
  <c r="B198" i="62"/>
  <c r="M197" i="62"/>
  <c r="E197" i="62"/>
  <c r="T195" i="62"/>
  <c r="U195" i="62"/>
  <c r="B199" i="62" l="1"/>
  <c r="E198" i="62"/>
  <c r="M198" i="62"/>
  <c r="U196" i="62"/>
  <c r="L197" i="62"/>
  <c r="K197" i="62"/>
  <c r="T197" i="62"/>
  <c r="T196" i="62"/>
  <c r="T198" i="62" l="1"/>
  <c r="U197" i="62"/>
  <c r="K198" i="62"/>
  <c r="L198" i="62"/>
  <c r="B200" i="62"/>
  <c r="M199" i="62"/>
  <c r="E199" i="62"/>
  <c r="L199" i="62" l="1"/>
  <c r="K199" i="62"/>
  <c r="B201" i="62"/>
  <c r="E200" i="62"/>
  <c r="M200" i="62"/>
  <c r="U198" i="62"/>
  <c r="K200" i="62" l="1"/>
  <c r="L200" i="62"/>
  <c r="E201" i="62"/>
  <c r="B202" i="62"/>
  <c r="M201" i="62"/>
  <c r="T199" i="62"/>
  <c r="U199" i="62"/>
  <c r="K201" i="62" l="1"/>
  <c r="L201" i="62"/>
  <c r="U200" i="62"/>
  <c r="B203" i="62"/>
  <c r="M202" i="62"/>
  <c r="E202" i="62"/>
  <c r="T200" i="62"/>
  <c r="U202" i="62" l="1"/>
  <c r="K202" i="62"/>
  <c r="L202" i="62"/>
  <c r="U201" i="62"/>
  <c r="B204" i="62"/>
  <c r="E203" i="62"/>
  <c r="M203" i="62"/>
  <c r="T201" i="62"/>
  <c r="T202" i="62" l="1"/>
  <c r="K203" i="62"/>
  <c r="L203" i="62"/>
  <c r="B205" i="62"/>
  <c r="M204" i="62"/>
  <c r="E204" i="62"/>
  <c r="L204" i="62" l="1"/>
  <c r="K204" i="62"/>
  <c r="E205" i="62"/>
  <c r="B206" i="62"/>
  <c r="M205" i="62"/>
  <c r="U203" i="62"/>
  <c r="T203" i="62"/>
  <c r="T204" i="62" l="1"/>
  <c r="K205" i="62"/>
  <c r="L205" i="62"/>
  <c r="B207" i="62"/>
  <c r="M206" i="62"/>
  <c r="E206" i="62"/>
  <c r="U204" i="62"/>
  <c r="U205" i="62" l="1"/>
  <c r="K206" i="62"/>
  <c r="L206" i="62"/>
  <c r="T205" i="62"/>
  <c r="B208" i="62"/>
  <c r="E207" i="62"/>
  <c r="M207" i="62"/>
  <c r="K207" i="62" l="1"/>
  <c r="L207" i="62"/>
  <c r="B209" i="62"/>
  <c r="M208" i="62"/>
  <c r="E208" i="62"/>
  <c r="T206" i="62"/>
  <c r="U206" i="62"/>
  <c r="L208" i="62" l="1"/>
  <c r="K208" i="62"/>
  <c r="E209" i="62"/>
  <c r="B210" i="62"/>
  <c r="M209" i="62"/>
  <c r="U207" i="62"/>
  <c r="T207" i="62"/>
  <c r="U209" i="62" l="1"/>
  <c r="T208" i="62"/>
  <c r="K209" i="62"/>
  <c r="L209" i="62"/>
  <c r="B211" i="62"/>
  <c r="M210" i="62"/>
  <c r="E210" i="62"/>
  <c r="U208" i="62"/>
  <c r="U210" i="62" l="1"/>
  <c r="K210" i="62"/>
  <c r="T210" i="62"/>
  <c r="L210" i="62"/>
  <c r="T209" i="62"/>
  <c r="B212" i="62"/>
  <c r="E211" i="62"/>
  <c r="M211" i="62"/>
  <c r="T211" i="62" l="1"/>
  <c r="K211" i="62"/>
  <c r="L211" i="62"/>
  <c r="B213" i="62"/>
  <c r="M212" i="62"/>
  <c r="E212" i="62"/>
  <c r="L212" i="62" l="1"/>
  <c r="K212" i="62"/>
  <c r="E213" i="62"/>
  <c r="B214" i="62"/>
  <c r="M213" i="62"/>
  <c r="U211" i="62"/>
  <c r="U212" i="62" l="1"/>
  <c r="U213" i="62"/>
  <c r="T212" i="62"/>
  <c r="K213" i="62"/>
  <c r="L213" i="62"/>
  <c r="B215" i="62"/>
  <c r="M214" i="62"/>
  <c r="E214" i="62"/>
  <c r="T214" i="62" l="1"/>
  <c r="U214" i="62"/>
  <c r="K214" i="62"/>
  <c r="L214" i="62"/>
  <c r="T213" i="62"/>
  <c r="B216" i="62"/>
  <c r="E215" i="62"/>
  <c r="M215" i="62"/>
  <c r="U215" i="62" l="1"/>
  <c r="K215" i="62"/>
  <c r="L215" i="62"/>
  <c r="B217" i="62"/>
  <c r="M216" i="62"/>
  <c r="E216" i="62"/>
  <c r="U216" i="62" l="1"/>
  <c r="E217" i="62"/>
  <c r="B218" i="62"/>
  <c r="M217" i="62"/>
  <c r="L216" i="62"/>
  <c r="K216" i="62"/>
  <c r="T215" i="62"/>
  <c r="T216" i="62" l="1"/>
  <c r="T217" i="62"/>
  <c r="K217" i="62"/>
  <c r="L217" i="62"/>
  <c r="B219" i="62"/>
  <c r="M218" i="62"/>
  <c r="E218" i="62"/>
  <c r="T218" i="62" l="1"/>
  <c r="U217" i="62"/>
  <c r="K218" i="62"/>
  <c r="L218" i="62"/>
  <c r="B220" i="62"/>
  <c r="E219" i="62"/>
  <c r="M219" i="62"/>
  <c r="U219" i="62" l="1"/>
  <c r="U218" i="62"/>
  <c r="T219" i="62"/>
  <c r="K219" i="62"/>
  <c r="L219" i="62"/>
  <c r="B221" i="62"/>
  <c r="M220" i="62"/>
  <c r="E220" i="62"/>
  <c r="U220" i="62" l="1"/>
  <c r="L220" i="62"/>
  <c r="K220" i="62"/>
  <c r="E221" i="62"/>
  <c r="B222" i="62"/>
  <c r="M221" i="62"/>
  <c r="T220" i="62" l="1"/>
  <c r="K221" i="62"/>
  <c r="L221" i="62"/>
  <c r="B223" i="62"/>
  <c r="M222" i="62"/>
  <c r="E222" i="62"/>
  <c r="U221" i="62" l="1"/>
  <c r="U222" i="62"/>
  <c r="K222" i="62"/>
  <c r="L222" i="62"/>
  <c r="T221" i="62"/>
  <c r="B224" i="62"/>
  <c r="E223" i="62"/>
  <c r="M223" i="62"/>
  <c r="T222" i="62" l="1"/>
  <c r="U223" i="62"/>
  <c r="B225" i="62"/>
  <c r="M224" i="62"/>
  <c r="E224" i="62"/>
  <c r="T223" i="62"/>
  <c r="K223" i="62"/>
  <c r="L223" i="62"/>
  <c r="L224" i="62" l="1"/>
  <c r="K224" i="62"/>
  <c r="E225" i="62"/>
  <c r="B226" i="62"/>
  <c r="M225" i="62"/>
  <c r="U225" i="62" l="1"/>
  <c r="T224" i="62"/>
  <c r="K225" i="62"/>
  <c r="L225" i="62"/>
  <c r="B227" i="62"/>
  <c r="M226" i="62"/>
  <c r="E226" i="62"/>
  <c r="U224" i="62"/>
  <c r="T226" i="62" l="1"/>
  <c r="U226" i="62"/>
  <c r="K226" i="62"/>
  <c r="L226" i="62"/>
  <c r="T225" i="62"/>
  <c r="B228" i="62"/>
  <c r="E227" i="62"/>
  <c r="M227" i="62"/>
  <c r="K227" i="62" l="1"/>
  <c r="L227" i="62"/>
  <c r="M228" i="62"/>
  <c r="B229" i="62"/>
  <c r="E228" i="62"/>
  <c r="U228" i="62" l="1"/>
  <c r="E229" i="62"/>
  <c r="B230" i="62"/>
  <c r="M229" i="62"/>
  <c r="L228" i="62"/>
  <c r="K228" i="62"/>
  <c r="U227" i="62"/>
  <c r="T227" i="62"/>
  <c r="T228" i="62" l="1"/>
  <c r="L229" i="62"/>
  <c r="K229" i="62"/>
  <c r="E230" i="62"/>
  <c r="M230" i="62"/>
  <c r="B231" i="62"/>
  <c r="U230" i="62" l="1"/>
  <c r="T229" i="62"/>
  <c r="U229" i="62"/>
  <c r="K230" i="62"/>
  <c r="T230" i="62"/>
  <c r="L230" i="62"/>
  <c r="E231" i="62"/>
  <c r="B232" i="62"/>
  <c r="M231" i="62"/>
  <c r="L231" i="62" l="1"/>
  <c r="K231" i="62"/>
  <c r="E232" i="62"/>
  <c r="M232" i="62"/>
  <c r="B233" i="62"/>
  <c r="U232" i="62" l="1"/>
  <c r="K232" i="62"/>
  <c r="L232" i="62"/>
  <c r="E233" i="62"/>
  <c r="B234" i="62"/>
  <c r="M233" i="62"/>
  <c r="U231" i="62"/>
  <c r="T231" i="62"/>
  <c r="L233" i="62" l="1"/>
  <c r="K233" i="62"/>
  <c r="E234" i="62"/>
  <c r="M234" i="62"/>
  <c r="B235" i="62"/>
  <c r="T232" i="62"/>
  <c r="T233" i="62" l="1"/>
  <c r="U233" i="62"/>
  <c r="E235" i="62"/>
  <c r="B236" i="62"/>
  <c r="M235" i="62"/>
  <c r="K234" i="62"/>
  <c r="L234" i="62"/>
  <c r="U234" i="62" l="1"/>
  <c r="T234" i="62"/>
  <c r="L235" i="62"/>
  <c r="K235" i="62"/>
  <c r="E236" i="62"/>
  <c r="M236" i="62"/>
  <c r="B237" i="62"/>
  <c r="U236" i="62" l="1"/>
  <c r="T236" i="62"/>
  <c r="U235" i="62"/>
  <c r="E237" i="62"/>
  <c r="B238" i="62"/>
  <c r="M237" i="62"/>
  <c r="T235" i="62"/>
  <c r="L236" i="62"/>
  <c r="K236" i="62"/>
  <c r="E238" i="62" l="1"/>
  <c r="M238" i="62"/>
  <c r="B239" i="62"/>
  <c r="L237" i="62"/>
  <c r="K237" i="62"/>
  <c r="U237" i="62"/>
  <c r="T237" i="62" l="1"/>
  <c r="K238" i="62"/>
  <c r="T238" i="62"/>
  <c r="L238" i="62"/>
  <c r="E239" i="62"/>
  <c r="B240" i="62"/>
  <c r="M239" i="62"/>
  <c r="E240" i="62" l="1"/>
  <c r="M240" i="62"/>
  <c r="B241" i="62"/>
  <c r="L239" i="62"/>
  <c r="K239" i="62"/>
  <c r="U239" i="62"/>
  <c r="U238" i="62"/>
  <c r="U240" i="62" l="1"/>
  <c r="T239" i="62"/>
  <c r="E241" i="62"/>
  <c r="B242" i="62"/>
  <c r="M241" i="62"/>
  <c r="K240" i="62"/>
  <c r="L240" i="62"/>
  <c r="U241" i="62" l="1"/>
  <c r="L241" i="62"/>
  <c r="T241" i="62"/>
  <c r="K241" i="62"/>
  <c r="T240" i="62"/>
  <c r="E242" i="62"/>
  <c r="M242" i="62"/>
  <c r="B243" i="62"/>
  <c r="T242" i="62" l="1"/>
  <c r="U242" i="62"/>
  <c r="K242" i="62"/>
  <c r="L242" i="62"/>
  <c r="E243" i="62"/>
  <c r="B244" i="62"/>
  <c r="M243" i="62"/>
  <c r="L243" i="62" l="1"/>
  <c r="K243" i="62"/>
  <c r="E244" i="62"/>
  <c r="M244" i="62"/>
  <c r="B245" i="62"/>
  <c r="U244" i="62" l="1"/>
  <c r="U243" i="62"/>
  <c r="E245" i="62"/>
  <c r="B246" i="62"/>
  <c r="M245" i="62"/>
  <c r="T243" i="62"/>
  <c r="T244" i="62"/>
  <c r="L244" i="62"/>
  <c r="K244" i="62"/>
  <c r="U245" i="62" l="1"/>
  <c r="E246" i="62"/>
  <c r="M246" i="62"/>
  <c r="B247" i="62"/>
  <c r="L245" i="62"/>
  <c r="K245" i="62"/>
  <c r="T246" i="62" l="1"/>
  <c r="T245" i="62"/>
  <c r="K246" i="62"/>
  <c r="L246" i="62"/>
  <c r="E247" i="62"/>
  <c r="M247" i="62"/>
  <c r="L247" i="62" l="1"/>
  <c r="K247" i="62"/>
  <c r="X27" i="62"/>
  <c r="Z9" i="62"/>
  <c r="H8" i="62"/>
  <c r="D10" i="29" s="1"/>
  <c r="Y9" i="62"/>
  <c r="I9" i="62"/>
  <c r="X9" i="62"/>
  <c r="H9" i="62"/>
  <c r="I10" i="62"/>
  <c r="H10" i="62"/>
  <c r="Y10" i="62"/>
  <c r="X10" i="62"/>
  <c r="X11" i="62"/>
  <c r="AA9" i="62"/>
  <c r="Z10" i="62"/>
  <c r="AA10" i="62"/>
  <c r="Z12" i="62"/>
  <c r="I12" i="62"/>
  <c r="H12" i="62"/>
  <c r="AA11" i="62"/>
  <c r="I11" i="62"/>
  <c r="H11" i="62"/>
  <c r="Y11" i="62"/>
  <c r="Z11" i="62"/>
  <c r="AA12" i="62"/>
  <c r="X12" i="62"/>
  <c r="Z14" i="62"/>
  <c r="H13" i="62"/>
  <c r="Y13" i="62"/>
  <c r="AA13" i="62"/>
  <c r="X13" i="62"/>
  <c r="Y12" i="62"/>
  <c r="Z13" i="62"/>
  <c r="I13" i="62"/>
  <c r="Y15" i="62"/>
  <c r="Z15" i="62"/>
  <c r="I14" i="62"/>
  <c r="H15" i="62"/>
  <c r="X16" i="62"/>
  <c r="AA15" i="62"/>
  <c r="I15" i="62"/>
  <c r="X14" i="62"/>
  <c r="H14" i="62"/>
  <c r="X15" i="62"/>
  <c r="AA14" i="62"/>
  <c r="Y14" i="62"/>
  <c r="AA16" i="62"/>
  <c r="AA17" i="62"/>
  <c r="I16" i="62"/>
  <c r="Z16" i="62"/>
  <c r="I17" i="62"/>
  <c r="H16" i="62"/>
  <c r="H17" i="62"/>
  <c r="X17" i="62"/>
  <c r="Y16" i="62"/>
  <c r="Y17" i="62"/>
  <c r="Z17" i="62"/>
  <c r="X18" i="62"/>
  <c r="AA18" i="62"/>
  <c r="H18" i="62"/>
  <c r="I18" i="62"/>
  <c r="AA19" i="62"/>
  <c r="X21" i="62"/>
  <c r="Z18" i="62"/>
  <c r="X20" i="62"/>
  <c r="H19" i="62"/>
  <c r="X19" i="62"/>
  <c r="Y19" i="62"/>
  <c r="Y18" i="62"/>
  <c r="Z20" i="62"/>
  <c r="I21" i="62"/>
  <c r="Z19" i="62"/>
  <c r="AA20" i="62"/>
  <c r="I19" i="62"/>
  <c r="Y20" i="62"/>
  <c r="H20" i="62"/>
  <c r="H23" i="62"/>
  <c r="Z21" i="62"/>
  <c r="H22" i="62"/>
  <c r="H21" i="62"/>
  <c r="Y21" i="62"/>
  <c r="Y22" i="62"/>
  <c r="AA22" i="62"/>
  <c r="I20" i="62"/>
  <c r="AA21" i="62"/>
  <c r="Z22" i="62"/>
  <c r="H24" i="62"/>
  <c r="Y24" i="62"/>
  <c r="X22" i="62"/>
  <c r="Z24" i="62"/>
  <c r="AA23" i="62"/>
  <c r="Z23" i="62"/>
  <c r="I23" i="62"/>
  <c r="Y23" i="62"/>
  <c r="I22" i="62"/>
  <c r="AA24" i="62"/>
  <c r="X24" i="62"/>
  <c r="X23" i="62"/>
  <c r="I25" i="62"/>
  <c r="I24" i="62"/>
  <c r="Y25" i="62"/>
  <c r="Z25" i="62"/>
  <c r="AA25" i="62"/>
  <c r="AA26" i="62"/>
  <c r="Y26" i="62"/>
  <c r="I27" i="62"/>
  <c r="H25" i="62"/>
  <c r="X25" i="62"/>
  <c r="H26" i="62"/>
  <c r="X26" i="62"/>
  <c r="H27" i="62"/>
  <c r="Z26" i="62"/>
  <c r="I26" i="62"/>
  <c r="Z27" i="62"/>
  <c r="I8" i="62"/>
  <c r="C10" i="29" s="1"/>
  <c r="U246" i="62"/>
  <c r="C30" i="32" l="1"/>
  <c r="D30" i="32"/>
  <c r="E30" i="32"/>
  <c r="F30" i="32"/>
  <c r="AA27" i="62"/>
  <c r="I33" i="62"/>
  <c r="T247" i="62"/>
  <c r="Y8" i="62"/>
  <c r="D10" i="32" s="1"/>
  <c r="Y27" i="62"/>
  <c r="U247" i="62"/>
  <c r="AA8" i="62"/>
  <c r="X8" i="62"/>
  <c r="H33" i="62"/>
  <c r="Z8" i="62"/>
  <c r="X37" i="62" l="1"/>
  <c r="C10" i="32"/>
  <c r="AA37" i="62"/>
  <c r="F10" i="32"/>
  <c r="Z37" i="62"/>
  <c r="E10" i="32"/>
  <c r="Y37" i="62"/>
  <c r="I11" i="45" l="1"/>
  <c r="I12" i="45" s="1"/>
  <c r="I13" i="45" l="1"/>
  <c r="I11" i="44"/>
  <c r="I12" i="44" s="1"/>
  <c r="I13" i="44" l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34" i="44"/>
  <c r="I14" i="45"/>
  <c r="I35" i="44"/>
  <c r="I36" i="44"/>
  <c r="I15" i="45" l="1"/>
  <c r="I16" i="45" l="1"/>
  <c r="I17" i="45" l="1"/>
  <c r="N10" i="13"/>
  <c r="K10" i="13"/>
  <c r="H10" i="13"/>
  <c r="E10" i="13"/>
  <c r="I18" i="45" l="1"/>
  <c r="I19" i="45" s="1"/>
  <c r="I20" i="45" s="1"/>
  <c r="I21" i="45" l="1"/>
  <c r="I22" i="45" l="1"/>
  <c r="I23" i="45" l="1"/>
  <c r="I24" i="45" l="1"/>
  <c r="I25" i="45" l="1"/>
  <c r="I26" i="45" l="1"/>
  <c r="I34" i="45" l="1"/>
  <c r="I35" i="45"/>
  <c r="B11" i="59"/>
  <c r="I27" i="45"/>
  <c r="I36" i="45" s="1"/>
  <c r="B12" i="59" l="1"/>
  <c r="B13" i="59" l="1"/>
  <c r="F11" i="59"/>
  <c r="B14" i="59" l="1"/>
  <c r="F12" i="59"/>
  <c r="B15" i="59" l="1"/>
  <c r="F13" i="59"/>
  <c r="B16" i="59" l="1"/>
  <c r="F14" i="59"/>
  <c r="B17" i="59" l="1"/>
  <c r="F15" i="59"/>
  <c r="B18" i="59" l="1"/>
  <c r="F16" i="59"/>
  <c r="B19" i="59" l="1"/>
  <c r="F17" i="59"/>
  <c r="B20" i="59" l="1"/>
  <c r="F18" i="59"/>
  <c r="B21" i="59" l="1"/>
  <c r="F19" i="59"/>
  <c r="B22" i="59" l="1"/>
  <c r="F20" i="59"/>
  <c r="B23" i="59" l="1"/>
  <c r="F21" i="59"/>
  <c r="B24" i="59" l="1"/>
  <c r="F22" i="59"/>
  <c r="B25" i="59" l="1"/>
  <c r="F23" i="59"/>
  <c r="B26" i="59" l="1"/>
  <c r="F24" i="59"/>
  <c r="B27" i="59" l="1"/>
  <c r="F25" i="59"/>
  <c r="B28" i="59" l="1"/>
  <c r="F26" i="59"/>
  <c r="B29" i="59" l="1"/>
  <c r="B30" i="59" s="1"/>
  <c r="B31" i="59" s="1"/>
  <c r="B32" i="59" s="1"/>
  <c r="B33" i="59" s="1"/>
  <c r="B34" i="59" s="1"/>
  <c r="F27" i="59"/>
  <c r="F28" i="59" l="1"/>
  <c r="F29" i="59" l="1"/>
  <c r="C29" i="59" l="1"/>
  <c r="D29" i="59"/>
  <c r="F30" i="59"/>
  <c r="D30" i="59" l="1"/>
  <c r="C30" i="59"/>
  <c r="F31" i="59"/>
  <c r="C31" i="59" l="1"/>
  <c r="D31" i="59"/>
  <c r="F32" i="59"/>
  <c r="D32" i="59" l="1"/>
  <c r="C32" i="59"/>
  <c r="F33" i="59"/>
  <c r="D33" i="59" l="1"/>
  <c r="C33" i="59"/>
  <c r="F34" i="59"/>
  <c r="C34" i="59" l="1"/>
  <c r="D34" i="59"/>
  <c r="B12" i="45"/>
  <c r="D12" i="45" l="1"/>
  <c r="C12" i="45"/>
  <c r="F12" i="45"/>
  <c r="E12" i="45"/>
  <c r="B13" i="45"/>
  <c r="E13" i="45" l="1"/>
  <c r="D13" i="45"/>
  <c r="C13" i="45"/>
  <c r="F13" i="45"/>
  <c r="B14" i="45"/>
  <c r="B15" i="45" l="1"/>
  <c r="F14" i="45"/>
  <c r="E14" i="45"/>
  <c r="D14" i="45"/>
  <c r="C14" i="45"/>
  <c r="B16" i="45"/>
  <c r="B12" i="44"/>
  <c r="E16" i="45" l="1"/>
  <c r="D16" i="45"/>
  <c r="C16" i="45"/>
  <c r="F16" i="45"/>
  <c r="D15" i="45"/>
  <c r="C15" i="45"/>
  <c r="F15" i="45"/>
  <c r="E15" i="45"/>
  <c r="B17" i="45"/>
  <c r="B13" i="44"/>
  <c r="F17" i="45" l="1"/>
  <c r="E17" i="45"/>
  <c r="D17" i="45"/>
  <c r="C17" i="45"/>
  <c r="B18" i="45"/>
  <c r="B14" i="44"/>
  <c r="E18" i="45" l="1"/>
  <c r="D18" i="45"/>
  <c r="C18" i="45"/>
  <c r="F18" i="45"/>
  <c r="B15" i="44"/>
  <c r="B19" i="45"/>
  <c r="F19" i="45" l="1"/>
  <c r="E19" i="45"/>
  <c r="D19" i="45"/>
  <c r="C19" i="45"/>
  <c r="B20" i="45"/>
  <c r="B16" i="44"/>
  <c r="E20" i="45" l="1"/>
  <c r="D20" i="45"/>
  <c r="C20" i="45"/>
  <c r="F20" i="45"/>
  <c r="B21" i="45"/>
  <c r="B17" i="44"/>
  <c r="F21" i="45" l="1"/>
  <c r="E21" i="45"/>
  <c r="D21" i="45"/>
  <c r="C21" i="45"/>
  <c r="B22" i="45"/>
  <c r="B18" i="44"/>
  <c r="E22" i="45" l="1"/>
  <c r="D22" i="45"/>
  <c r="C22" i="45"/>
  <c r="F22" i="45"/>
  <c r="B23" i="45"/>
  <c r="B19" i="44"/>
  <c r="F23" i="45" l="1"/>
  <c r="E23" i="45"/>
  <c r="D23" i="45"/>
  <c r="C23" i="45"/>
  <c r="B24" i="45"/>
  <c r="B20" i="44"/>
  <c r="E24" i="45" l="1"/>
  <c r="D24" i="45"/>
  <c r="C24" i="45"/>
  <c r="F24" i="45"/>
  <c r="B25" i="45"/>
  <c r="B21" i="44"/>
  <c r="E25" i="45" l="1"/>
  <c r="D25" i="45"/>
  <c r="C25" i="45"/>
  <c r="F25" i="45"/>
  <c r="B26" i="45"/>
  <c r="B22" i="44"/>
  <c r="B34" i="45"/>
  <c r="K41" i="45"/>
  <c r="F26" i="45" l="1"/>
  <c r="E26" i="45"/>
  <c r="D26" i="45"/>
  <c r="C26" i="45"/>
  <c r="B27" i="45"/>
  <c r="B23" i="44"/>
  <c r="F27" i="45" l="1"/>
  <c r="E27" i="45"/>
  <c r="D27" i="45"/>
  <c r="C27" i="45"/>
  <c r="B28" i="45"/>
  <c r="B24" i="44"/>
  <c r="F28" i="45" l="1"/>
  <c r="E28" i="45"/>
  <c r="D28" i="45"/>
  <c r="C28" i="45"/>
  <c r="B29" i="45"/>
  <c r="B25" i="44"/>
  <c r="F29" i="45" l="1"/>
  <c r="E29" i="45"/>
  <c r="D29" i="45"/>
  <c r="C29" i="45"/>
  <c r="B30" i="45"/>
  <c r="B26" i="44"/>
  <c r="K41" i="44"/>
  <c r="B34" i="44"/>
  <c r="F30" i="45" l="1"/>
  <c r="E30" i="45"/>
  <c r="D30" i="45"/>
  <c r="C30" i="45"/>
  <c r="B27" i="44"/>
  <c r="B28" i="44" l="1"/>
  <c r="B29" i="44" l="1"/>
  <c r="B30" i="44" l="1"/>
  <c r="B33" i="32" l="1"/>
  <c r="B13" i="13" l="1"/>
  <c r="B14" i="13" l="1"/>
  <c r="B15" i="13" l="1"/>
  <c r="B16" i="13" l="1"/>
  <c r="B17" i="13" l="1"/>
  <c r="B18" i="13" l="1"/>
  <c r="B19" i="13" l="1"/>
  <c r="B20" i="13" l="1"/>
  <c r="B21" i="13" l="1"/>
  <c r="B22" i="13" l="1"/>
  <c r="B23" i="13" l="1"/>
  <c r="B24" i="13" l="1"/>
  <c r="B25" i="13" l="1"/>
  <c r="B26" i="13" l="1"/>
  <c r="B27" i="13" l="1"/>
  <c r="J37" i="13" l="1"/>
  <c r="M37" i="13"/>
  <c r="G37" i="13"/>
  <c r="D37" i="13"/>
  <c r="B36" i="13"/>
  <c r="B28" i="13"/>
  <c r="J40" i="13" l="1"/>
  <c r="D40" i="13"/>
  <c r="G40" i="13"/>
  <c r="M40" i="13"/>
  <c r="B29" i="13"/>
  <c r="B39" i="13"/>
  <c r="B11" i="32"/>
  <c r="G43" i="13" l="1"/>
  <c r="J43" i="13"/>
  <c r="M43" i="13"/>
  <c r="D43" i="13"/>
  <c r="C11" i="32"/>
  <c r="E11" i="32"/>
  <c r="F11" i="32"/>
  <c r="D11" i="32"/>
  <c r="B42" i="13"/>
  <c r="B12" i="32"/>
  <c r="F12" i="32" l="1"/>
  <c r="C12" i="32"/>
  <c r="E12" i="32"/>
  <c r="D12" i="32"/>
  <c r="B13" i="32"/>
  <c r="F13" i="32" l="1"/>
  <c r="C13" i="32"/>
  <c r="D13" i="32"/>
  <c r="E13" i="32"/>
  <c r="B14" i="32"/>
  <c r="B11" i="29"/>
  <c r="D14" i="32" l="1"/>
  <c r="E14" i="32"/>
  <c r="C14" i="32"/>
  <c r="F14" i="32"/>
  <c r="D11" i="29"/>
  <c r="C11" i="29"/>
  <c r="B15" i="32"/>
  <c r="C12" i="29" l="1"/>
  <c r="D12" i="29"/>
  <c r="D15" i="32"/>
  <c r="F15" i="32"/>
  <c r="E15" i="32"/>
  <c r="C15" i="32"/>
  <c r="B16" i="32"/>
  <c r="F16" i="32" l="1"/>
  <c r="D16" i="32"/>
  <c r="C16" i="32"/>
  <c r="E16" i="32"/>
  <c r="C13" i="29"/>
  <c r="D13" i="29"/>
  <c r="B17" i="32"/>
  <c r="C14" i="29" l="1"/>
  <c r="D14" i="29"/>
  <c r="E17" i="32"/>
  <c r="D17" i="32"/>
  <c r="C17" i="32"/>
  <c r="F17" i="32"/>
  <c r="B18" i="32"/>
  <c r="C15" i="29" l="1"/>
  <c r="D15" i="29"/>
  <c r="D18" i="32"/>
  <c r="C18" i="32"/>
  <c r="E18" i="32"/>
  <c r="F18" i="32"/>
  <c r="B19" i="32"/>
  <c r="E19" i="32" l="1"/>
  <c r="F19" i="32"/>
  <c r="D19" i="32"/>
  <c r="C19" i="32"/>
  <c r="C16" i="29"/>
  <c r="D16" i="29"/>
  <c r="B20" i="32"/>
  <c r="E20" i="32" l="1"/>
  <c r="C20" i="32"/>
  <c r="D20" i="32"/>
  <c r="F20" i="32"/>
  <c r="C17" i="29"/>
  <c r="D17" i="29"/>
  <c r="B21" i="32"/>
  <c r="D18" i="29" l="1"/>
  <c r="C18" i="29"/>
  <c r="D21" i="32"/>
  <c r="C21" i="32"/>
  <c r="F21" i="32"/>
  <c r="E21" i="32"/>
  <c r="B22" i="32"/>
  <c r="C19" i="29" l="1"/>
  <c r="D19" i="29"/>
  <c r="C22" i="32"/>
  <c r="F22" i="32"/>
  <c r="D22" i="32"/>
  <c r="E22" i="32"/>
  <c r="B23" i="32"/>
  <c r="E23" i="32" l="1"/>
  <c r="D23" i="32"/>
  <c r="F23" i="32"/>
  <c r="C23" i="32"/>
  <c r="C20" i="29"/>
  <c r="D20" i="29"/>
  <c r="B24" i="32"/>
  <c r="C24" i="32" l="1"/>
  <c r="D24" i="32"/>
  <c r="F24" i="32"/>
  <c r="E24" i="32"/>
  <c r="D21" i="29"/>
  <c r="C21" i="29"/>
  <c r="B25" i="32"/>
  <c r="C22" i="29" l="1"/>
  <c r="D22" i="29"/>
  <c r="C25" i="32"/>
  <c r="D25" i="32"/>
  <c r="E25" i="32"/>
  <c r="F25" i="32"/>
  <c r="B26" i="32"/>
  <c r="C23" i="29" l="1"/>
  <c r="D23" i="29"/>
  <c r="F26" i="32"/>
  <c r="C26" i="32"/>
  <c r="E26" i="32"/>
  <c r="D26" i="32"/>
  <c r="B27" i="32"/>
  <c r="C24" i="29" l="1"/>
  <c r="D24" i="29"/>
  <c r="F27" i="32"/>
  <c r="C27" i="32"/>
  <c r="D27" i="32"/>
  <c r="E27" i="32"/>
  <c r="B28" i="32"/>
  <c r="C25" i="29" l="1"/>
  <c r="D25" i="29"/>
  <c r="B29" i="32"/>
  <c r="D28" i="32"/>
  <c r="E28" i="32"/>
  <c r="C28" i="32"/>
  <c r="F28" i="32"/>
  <c r="C26" i="29" l="1"/>
  <c r="D26" i="29"/>
  <c r="E29" i="32"/>
  <c r="C29" i="32"/>
  <c r="D29" i="32"/>
  <c r="F29" i="32"/>
  <c r="C27" i="29" l="1"/>
  <c r="D27" i="29"/>
  <c r="B12" i="36" l="1"/>
  <c r="C12" i="36" l="1"/>
  <c r="D12" i="36"/>
  <c r="F12" i="36"/>
  <c r="E12" i="36"/>
  <c r="B13" i="36"/>
  <c r="C13" i="36" l="1"/>
  <c r="F13" i="36"/>
  <c r="E13" i="36"/>
  <c r="D13" i="36"/>
  <c r="B14" i="36"/>
  <c r="C14" i="36" l="1"/>
  <c r="F14" i="36"/>
  <c r="D14" i="36"/>
  <c r="E14" i="36"/>
  <c r="B15" i="36"/>
  <c r="C15" i="36" l="1"/>
  <c r="F15" i="36"/>
  <c r="E15" i="36"/>
  <c r="D15" i="36"/>
  <c r="B16" i="36"/>
  <c r="C16" i="36" l="1"/>
  <c r="D16" i="36"/>
  <c r="F16" i="36"/>
  <c r="E16" i="36"/>
  <c r="B17" i="36"/>
  <c r="C17" i="36" l="1"/>
  <c r="F17" i="36"/>
  <c r="D17" i="36"/>
  <c r="E17" i="36"/>
  <c r="B18" i="36"/>
  <c r="C18" i="36" l="1"/>
  <c r="F18" i="36"/>
  <c r="E18" i="36"/>
  <c r="D18" i="36"/>
  <c r="B19" i="36"/>
  <c r="C19" i="36" l="1"/>
  <c r="F19" i="36"/>
  <c r="D19" i="36"/>
  <c r="E19" i="36"/>
  <c r="B20" i="36"/>
  <c r="C20" i="36" l="1"/>
  <c r="D20" i="36"/>
  <c r="F20" i="36"/>
  <c r="E20" i="36"/>
  <c r="B21" i="36"/>
  <c r="C21" i="36" l="1"/>
  <c r="F21" i="36"/>
  <c r="E21" i="36"/>
  <c r="D21" i="36"/>
  <c r="B22" i="36"/>
  <c r="C22" i="36" l="1"/>
  <c r="F22" i="36"/>
  <c r="D22" i="36"/>
  <c r="E22" i="36"/>
  <c r="B23" i="36"/>
  <c r="C23" i="36" l="1"/>
  <c r="F23" i="36"/>
  <c r="E23" i="36"/>
  <c r="D23" i="36"/>
  <c r="B24" i="36"/>
  <c r="C24" i="36" l="1"/>
  <c r="F24" i="36"/>
  <c r="D24" i="36"/>
  <c r="E24" i="36"/>
  <c r="B25" i="36"/>
  <c r="C25" i="36" l="1"/>
  <c r="D25" i="36"/>
  <c r="F25" i="36"/>
  <c r="E25" i="36"/>
  <c r="B26" i="36"/>
  <c r="B34" i="36"/>
  <c r="C26" i="36" l="1"/>
  <c r="F26" i="36"/>
  <c r="F34" i="36" s="1"/>
  <c r="E26" i="36"/>
  <c r="E34" i="36" s="1"/>
  <c r="D26" i="36"/>
  <c r="D34" i="36" s="1"/>
  <c r="C34" i="36"/>
  <c r="B27" i="36"/>
  <c r="C27" i="36" l="1"/>
  <c r="F27" i="36"/>
  <c r="D27" i="36"/>
  <c r="E27" i="36"/>
  <c r="B28" i="36"/>
  <c r="C28" i="36" l="1"/>
  <c r="F28" i="36"/>
  <c r="E28" i="36"/>
  <c r="D28" i="36"/>
  <c r="B29" i="36"/>
  <c r="C29" i="36" l="1"/>
  <c r="F29" i="36"/>
  <c r="E29" i="36"/>
  <c r="D29" i="36"/>
  <c r="B30" i="36"/>
  <c r="C30" i="36" l="1"/>
  <c r="F30" i="36"/>
  <c r="D30" i="36"/>
  <c r="E30" i="36"/>
  <c r="C20" i="13"/>
  <c r="C18" i="13"/>
  <c r="C21" i="13"/>
  <c r="C14" i="13"/>
  <c r="C19" i="13"/>
  <c r="C12" i="13"/>
  <c r="C16" i="13"/>
  <c r="C17" i="13"/>
  <c r="C13" i="13"/>
  <c r="C15" i="13"/>
  <c r="E16" i="13" l="1"/>
  <c r="E21" i="13"/>
  <c r="E18" i="13"/>
  <c r="E19" i="13"/>
  <c r="E20" i="13"/>
  <c r="E17" i="13"/>
  <c r="E15" i="13"/>
  <c r="E13" i="13"/>
  <c r="E14" i="13"/>
  <c r="E12" i="13"/>
  <c r="D35" i="36" l="1"/>
  <c r="D36" i="36"/>
  <c r="C29" i="13"/>
  <c r="F35" i="36"/>
  <c r="F36" i="36"/>
  <c r="C27" i="13"/>
  <c r="C23" i="13"/>
  <c r="C24" i="13"/>
  <c r="C22" i="13"/>
  <c r="C28" i="13"/>
  <c r="C26" i="13"/>
  <c r="E28" i="13" l="1"/>
  <c r="E27" i="13"/>
  <c r="E24" i="13"/>
  <c r="E26" i="13"/>
  <c r="E23" i="13"/>
  <c r="E29" i="13"/>
  <c r="E36" i="36"/>
  <c r="C25" i="13"/>
  <c r="E22" i="13"/>
  <c r="C36" i="36"/>
  <c r="C35" i="36"/>
  <c r="E35" i="36"/>
  <c r="E25" i="13" l="1"/>
  <c r="E43" i="13" s="1"/>
  <c r="C40" i="13"/>
  <c r="C37" i="13"/>
  <c r="C43" i="13"/>
  <c r="O19" i="45"/>
  <c r="L13" i="45"/>
  <c r="R13" i="45"/>
  <c r="L20" i="45"/>
  <c r="L14" i="45"/>
  <c r="U20" i="45"/>
  <c r="L18" i="45"/>
  <c r="U17" i="45"/>
  <c r="R12" i="45"/>
  <c r="U11" i="45"/>
  <c r="L19" i="45"/>
  <c r="L17" i="45"/>
  <c r="L15" i="45"/>
  <c r="R18" i="45"/>
  <c r="U13" i="45"/>
  <c r="U19" i="45"/>
  <c r="U12" i="45"/>
  <c r="U15" i="45"/>
  <c r="R10" i="45"/>
  <c r="R17" i="45"/>
  <c r="U10" i="45"/>
  <c r="L12" i="45"/>
  <c r="R19" i="45"/>
  <c r="L11" i="45"/>
  <c r="U18" i="45"/>
  <c r="R11" i="45"/>
  <c r="L10" i="45"/>
  <c r="U14" i="45"/>
  <c r="U16" i="45"/>
  <c r="R20" i="45"/>
  <c r="R14" i="45"/>
  <c r="O10" i="45"/>
  <c r="R16" i="45"/>
  <c r="R15" i="45"/>
  <c r="L16" i="45"/>
  <c r="E37" i="13" l="1"/>
  <c r="E40" i="13"/>
  <c r="O15" i="45"/>
  <c r="L16" i="13"/>
  <c r="N16" i="13" s="1"/>
  <c r="L18" i="13"/>
  <c r="N18" i="13" s="1"/>
  <c r="O17" i="45"/>
  <c r="O20" i="45"/>
  <c r="L21" i="13"/>
  <c r="N21" i="13" s="1"/>
  <c r="O14" i="45"/>
  <c r="L15" i="13"/>
  <c r="O12" i="45"/>
  <c r="L13" i="13"/>
  <c r="L20" i="13"/>
  <c r="N20" i="13" s="1"/>
  <c r="O13" i="45"/>
  <c r="L14" i="13"/>
  <c r="L12" i="13"/>
  <c r="O11" i="45"/>
  <c r="O18" i="45"/>
  <c r="L19" i="13"/>
  <c r="N19" i="13" s="1"/>
  <c r="O16" i="45"/>
  <c r="L17" i="13"/>
  <c r="N17" i="13" s="1"/>
  <c r="N15" i="13" l="1"/>
  <c r="N14" i="13"/>
  <c r="N13" i="13"/>
  <c r="N12" i="13"/>
  <c r="U21" i="45" l="1"/>
  <c r="U22" i="45"/>
  <c r="O21" i="45" l="1"/>
  <c r="L22" i="45"/>
  <c r="R22" i="45"/>
  <c r="R21" i="45"/>
  <c r="O22" i="45" l="1"/>
  <c r="L23" i="13"/>
  <c r="N23" i="13" s="1"/>
  <c r="L25" i="45"/>
  <c r="R25" i="45"/>
  <c r="U25" i="45"/>
  <c r="R24" i="45"/>
  <c r="U23" i="45"/>
  <c r="U27" i="45"/>
  <c r="R27" i="45"/>
  <c r="L24" i="45"/>
  <c r="L23" i="45"/>
  <c r="U26" i="45"/>
  <c r="U24" i="45"/>
  <c r="L27" i="45"/>
  <c r="L26" i="45"/>
  <c r="R23" i="45"/>
  <c r="R26" i="45"/>
  <c r="R41" i="45" l="1"/>
  <c r="U41" i="45"/>
  <c r="U34" i="45"/>
  <c r="V34" i="45" s="1"/>
  <c r="U35" i="45"/>
  <c r="V35" i="45" s="1"/>
  <c r="F35" i="45" s="1"/>
  <c r="U36" i="45"/>
  <c r="V36" i="45" s="1"/>
  <c r="F36" i="45" s="1"/>
  <c r="R36" i="45"/>
  <c r="S36" i="45" s="1"/>
  <c r="E36" i="45" s="1"/>
  <c r="R34" i="45"/>
  <c r="S34" i="45" s="1"/>
  <c r="R35" i="45"/>
  <c r="S35" i="45" s="1"/>
  <c r="L29" i="13"/>
  <c r="N29" i="13" s="1"/>
  <c r="L21" i="45"/>
  <c r="L22" i="13"/>
  <c r="E35" i="45"/>
  <c r="O23" i="45"/>
  <c r="L24" i="13"/>
  <c r="N24" i="13" s="1"/>
  <c r="O26" i="45"/>
  <c r="L27" i="13"/>
  <c r="N27" i="13" s="1"/>
  <c r="O27" i="45"/>
  <c r="L28" i="13"/>
  <c r="N28" i="13" s="1"/>
  <c r="O25" i="45"/>
  <c r="L26" i="13"/>
  <c r="N26" i="13" s="1"/>
  <c r="L25" i="13"/>
  <c r="N25" i="13" s="1"/>
  <c r="O24" i="45"/>
  <c r="O36" i="45" l="1"/>
  <c r="P36" i="45" s="1"/>
  <c r="D36" i="45" s="1"/>
  <c r="O35" i="45"/>
  <c r="P35" i="45" s="1"/>
  <c r="D35" i="45" s="1"/>
  <c r="O41" i="45"/>
  <c r="L41" i="45"/>
  <c r="L36" i="45"/>
  <c r="M36" i="45" s="1"/>
  <c r="C36" i="45" s="1"/>
  <c r="L34" i="45"/>
  <c r="M34" i="45" s="1"/>
  <c r="L35" i="45"/>
  <c r="M35" i="45" s="1"/>
  <c r="C35" i="45" s="1"/>
  <c r="O34" i="45"/>
  <c r="P34" i="45" s="1"/>
  <c r="L43" i="13"/>
  <c r="L40" i="13"/>
  <c r="L37" i="13"/>
  <c r="F34" i="45"/>
  <c r="V20" i="45"/>
  <c r="V19" i="45"/>
  <c r="V21" i="45"/>
  <c r="V22" i="45"/>
  <c r="V24" i="45"/>
  <c r="V26" i="45"/>
  <c r="V15" i="45"/>
  <c r="V18" i="45"/>
  <c r="V11" i="45"/>
  <c r="V10" i="45"/>
  <c r="V13" i="45"/>
  <c r="V27" i="45"/>
  <c r="V23" i="45"/>
  <c r="V12" i="45"/>
  <c r="V17" i="45"/>
  <c r="V14" i="45"/>
  <c r="V25" i="45"/>
  <c r="V16" i="45"/>
  <c r="N22" i="13"/>
  <c r="E34" i="45"/>
  <c r="S26" i="45"/>
  <c r="S22" i="45"/>
  <c r="S21" i="45"/>
  <c r="S14" i="45"/>
  <c r="S27" i="45"/>
  <c r="S13" i="45"/>
  <c r="S18" i="45"/>
  <c r="S24" i="45"/>
  <c r="S19" i="45"/>
  <c r="S11" i="45"/>
  <c r="S15" i="45"/>
  <c r="S17" i="45"/>
  <c r="S12" i="45"/>
  <c r="S16" i="45"/>
  <c r="S10" i="45"/>
  <c r="S25" i="45"/>
  <c r="S23" i="45"/>
  <c r="S20" i="45"/>
  <c r="S41" i="45" l="1"/>
  <c r="S42" i="45" s="1"/>
  <c r="V41" i="45"/>
  <c r="V42" i="45" s="1"/>
  <c r="N37" i="13"/>
  <c r="N43" i="13"/>
  <c r="N40" i="13"/>
  <c r="P12" i="45"/>
  <c r="P11" i="45"/>
  <c r="P21" i="45"/>
  <c r="P25" i="45"/>
  <c r="P23" i="45"/>
  <c r="P10" i="45"/>
  <c r="P16" i="45"/>
  <c r="P13" i="45"/>
  <c r="P22" i="45"/>
  <c r="P17" i="45"/>
  <c r="P14" i="45"/>
  <c r="P18" i="45"/>
  <c r="P27" i="45"/>
  <c r="P20" i="45"/>
  <c r="P24" i="45"/>
  <c r="P26" i="45"/>
  <c r="P15" i="45"/>
  <c r="P19" i="45"/>
  <c r="D34" i="45"/>
  <c r="M27" i="45"/>
  <c r="M17" i="45"/>
  <c r="M11" i="45"/>
  <c r="M16" i="45"/>
  <c r="M24" i="45"/>
  <c r="C34" i="45"/>
  <c r="M25" i="45"/>
  <c r="M26" i="45"/>
  <c r="M12" i="45"/>
  <c r="M15" i="45"/>
  <c r="M19" i="45"/>
  <c r="M13" i="45"/>
  <c r="M14" i="45"/>
  <c r="M21" i="45"/>
  <c r="M23" i="45"/>
  <c r="M22" i="45"/>
  <c r="M10" i="45"/>
  <c r="M20" i="45"/>
  <c r="M18" i="45"/>
  <c r="P41" i="45" l="1"/>
  <c r="P42" i="45" s="1"/>
  <c r="M41" i="45"/>
  <c r="M42" i="45" s="1"/>
  <c r="R25" i="44" l="1"/>
  <c r="U25" i="44"/>
  <c r="U10" i="44"/>
  <c r="L23" i="44"/>
  <c r="U23" i="44"/>
  <c r="U24" i="44"/>
  <c r="R22" i="44"/>
  <c r="R27" i="44"/>
  <c r="L22" i="44"/>
  <c r="U26" i="44"/>
  <c r="O10" i="44"/>
  <c r="L24" i="44"/>
  <c r="L11" i="44"/>
  <c r="L25" i="44"/>
  <c r="L26" i="44"/>
  <c r="L10" i="44"/>
  <c r="L27" i="44"/>
  <c r="R24" i="44"/>
  <c r="R26" i="44"/>
  <c r="U27" i="44"/>
  <c r="U22" i="44"/>
  <c r="U11" i="44"/>
  <c r="R11" i="44"/>
  <c r="O11" i="44"/>
  <c r="R23" i="44"/>
  <c r="R10" i="44"/>
  <c r="I29" i="13" l="1"/>
  <c r="K29" i="13" s="1"/>
  <c r="I28" i="13"/>
  <c r="K28" i="13" s="1"/>
  <c r="O22" i="44"/>
  <c r="O25" i="44"/>
  <c r="I25" i="13"/>
  <c r="K25" i="13" s="1"/>
  <c r="O24" i="44"/>
  <c r="I24" i="13"/>
  <c r="K24" i="13" s="1"/>
  <c r="O27" i="44"/>
  <c r="I27" i="13"/>
  <c r="K27" i="13" s="1"/>
  <c r="O26" i="44"/>
  <c r="I26" i="13"/>
  <c r="K26" i="13" s="1"/>
  <c r="O23" i="44"/>
  <c r="I23" i="13"/>
  <c r="K23" i="13" s="1"/>
  <c r="U21" i="44" l="1"/>
  <c r="O13" i="44" l="1"/>
  <c r="O19" i="44"/>
  <c r="O15" i="44"/>
  <c r="U14" i="44"/>
  <c r="U18" i="44"/>
  <c r="U17" i="44"/>
  <c r="U20" i="44"/>
  <c r="U19" i="44"/>
  <c r="L21" i="44"/>
  <c r="R12" i="44"/>
  <c r="L14" i="44"/>
  <c r="R17" i="44"/>
  <c r="L20" i="44"/>
  <c r="R16" i="44"/>
  <c r="U12" i="44"/>
  <c r="R21" i="44"/>
  <c r="L12" i="44"/>
  <c r="U16" i="44"/>
  <c r="L15" i="44"/>
  <c r="R13" i="44"/>
  <c r="R18" i="44"/>
  <c r="L16" i="44"/>
  <c r="U13" i="44"/>
  <c r="U15" i="44"/>
  <c r="L19" i="44"/>
  <c r="R15" i="44"/>
  <c r="L13" i="44"/>
  <c r="U34" i="44" l="1"/>
  <c r="V34" i="44" s="1"/>
  <c r="U41" i="44"/>
  <c r="I22" i="13"/>
  <c r="K22" i="13" s="1"/>
  <c r="U36" i="44"/>
  <c r="V36" i="44" s="1"/>
  <c r="F36" i="44" s="1"/>
  <c r="O12" i="44"/>
  <c r="I12" i="13"/>
  <c r="U35" i="44"/>
  <c r="V35" i="44" s="1"/>
  <c r="F35" i="44" s="1"/>
  <c r="O17" i="44"/>
  <c r="O16" i="44"/>
  <c r="I16" i="13"/>
  <c r="K16" i="13" s="1"/>
  <c r="I13" i="13"/>
  <c r="O14" i="44"/>
  <c r="O21" i="44"/>
  <c r="O18" i="44"/>
  <c r="O20" i="44"/>
  <c r="R14" i="44"/>
  <c r="R20" i="44"/>
  <c r="R19" i="44"/>
  <c r="L18" i="44"/>
  <c r="L17" i="44"/>
  <c r="R34" i="44" l="1"/>
  <c r="R41" i="44"/>
  <c r="L41" i="44"/>
  <c r="L34" i="44"/>
  <c r="O34" i="44"/>
  <c r="O41" i="44"/>
  <c r="L35" i="44"/>
  <c r="M35" i="44" s="1"/>
  <c r="C35" i="44" s="1"/>
  <c r="I21" i="13"/>
  <c r="K21" i="13" s="1"/>
  <c r="I15" i="13"/>
  <c r="R35" i="44"/>
  <c r="S35" i="44" s="1"/>
  <c r="E35" i="44" s="1"/>
  <c r="O36" i="44"/>
  <c r="P36" i="44" s="1"/>
  <c r="D36" i="44" s="1"/>
  <c r="L36" i="44"/>
  <c r="M36" i="44" s="1"/>
  <c r="C36" i="44" s="1"/>
  <c r="S34" i="44"/>
  <c r="I18" i="13"/>
  <c r="K18" i="13" s="1"/>
  <c r="I14" i="13"/>
  <c r="K12" i="13"/>
  <c r="I19" i="13"/>
  <c r="K19" i="13" s="1"/>
  <c r="F34" i="44"/>
  <c r="V16" i="44"/>
  <c r="V13" i="44"/>
  <c r="V14" i="44"/>
  <c r="V10" i="44"/>
  <c r="V23" i="44"/>
  <c r="V17" i="44"/>
  <c r="V25" i="44"/>
  <c r="V15" i="44"/>
  <c r="V19" i="44"/>
  <c r="V27" i="44"/>
  <c r="V22" i="44"/>
  <c r="V18" i="44"/>
  <c r="V12" i="44"/>
  <c r="V20" i="44"/>
  <c r="V26" i="44"/>
  <c r="V21" i="44"/>
  <c r="V11" i="44"/>
  <c r="V24" i="44"/>
  <c r="P34" i="44"/>
  <c r="O35" i="44"/>
  <c r="P35" i="44" s="1"/>
  <c r="D35" i="44" s="1"/>
  <c r="M34" i="44"/>
  <c r="R36" i="44"/>
  <c r="S36" i="44" s="1"/>
  <c r="E36" i="44" s="1"/>
  <c r="I20" i="13"/>
  <c r="K20" i="13" s="1"/>
  <c r="K13" i="13"/>
  <c r="I17" i="13"/>
  <c r="K17" i="13" s="1"/>
  <c r="V41" i="44" l="1"/>
  <c r="V42" i="44" s="1"/>
  <c r="K15" i="13"/>
  <c r="K43" i="13" s="1"/>
  <c r="I43" i="13"/>
  <c r="I40" i="13"/>
  <c r="I37" i="13"/>
  <c r="P18" i="44"/>
  <c r="P16" i="44"/>
  <c r="P25" i="44"/>
  <c r="D34" i="44"/>
  <c r="P11" i="44"/>
  <c r="P20" i="44"/>
  <c r="P13" i="44"/>
  <c r="P14" i="44"/>
  <c r="P27" i="44"/>
  <c r="P21" i="44"/>
  <c r="P24" i="44"/>
  <c r="P22" i="44"/>
  <c r="P15" i="44"/>
  <c r="P19" i="44"/>
  <c r="P26" i="44"/>
  <c r="P10" i="44"/>
  <c r="P23" i="44"/>
  <c r="P17" i="44"/>
  <c r="P12" i="44"/>
  <c r="S16" i="44"/>
  <c r="S24" i="44"/>
  <c r="S10" i="44"/>
  <c r="S21" i="44"/>
  <c r="S26" i="44"/>
  <c r="S12" i="44"/>
  <c r="S13" i="44"/>
  <c r="S25" i="44"/>
  <c r="S18" i="44"/>
  <c r="S19" i="44"/>
  <c r="S11" i="44"/>
  <c r="S27" i="44"/>
  <c r="E34" i="44"/>
  <c r="S23" i="44"/>
  <c r="S20" i="44"/>
  <c r="S22" i="44"/>
  <c r="S17" i="44"/>
  <c r="S15" i="44"/>
  <c r="S14" i="44"/>
  <c r="K14" i="13"/>
  <c r="M20" i="44"/>
  <c r="M24" i="44"/>
  <c r="M16" i="44"/>
  <c r="M12" i="44"/>
  <c r="M21" i="44"/>
  <c r="M17" i="44"/>
  <c r="M27" i="44"/>
  <c r="C34" i="44"/>
  <c r="M23" i="44"/>
  <c r="M10" i="44"/>
  <c r="M19" i="44"/>
  <c r="M22" i="44"/>
  <c r="M15" i="44"/>
  <c r="M13" i="44"/>
  <c r="M18" i="44"/>
  <c r="M11" i="44"/>
  <c r="M14" i="44"/>
  <c r="M26" i="44"/>
  <c r="M25" i="44"/>
  <c r="K40" i="13" l="1"/>
  <c r="P41" i="44"/>
  <c r="P42" i="44" s="1"/>
  <c r="M41" i="44"/>
  <c r="M42" i="44" s="1"/>
  <c r="S41" i="44"/>
  <c r="S42" i="44" s="1"/>
  <c r="K37" i="13"/>
  <c r="F15" i="13" l="1"/>
  <c r="F18" i="13" l="1"/>
  <c r="H18" i="13" s="1"/>
  <c r="F20" i="13"/>
  <c r="H20" i="13" s="1"/>
  <c r="F17" i="13"/>
  <c r="H17" i="13" s="1"/>
  <c r="F13" i="13"/>
  <c r="F14" i="13"/>
  <c r="H15" i="13"/>
  <c r="F12" i="13"/>
  <c r="H12" i="13" s="1"/>
  <c r="F16" i="13"/>
  <c r="H16" i="13" s="1"/>
  <c r="F21" i="13"/>
  <c r="H21" i="13" s="1"/>
  <c r="F19" i="13"/>
  <c r="H19" i="13" s="1"/>
  <c r="H13" i="13" l="1"/>
  <c r="H14" i="13"/>
  <c r="F27" i="13" l="1"/>
  <c r="H27" i="13" s="1"/>
  <c r="F28" i="13"/>
  <c r="H28" i="13" s="1"/>
  <c r="F26" i="13"/>
  <c r="H26" i="13" s="1"/>
  <c r="E34" i="39"/>
  <c r="E36" i="39"/>
  <c r="E35" i="39"/>
  <c r="C34" i="39"/>
  <c r="C36" i="39"/>
  <c r="C35" i="39"/>
  <c r="F35" i="39"/>
  <c r="F34" i="39"/>
  <c r="F36" i="39"/>
  <c r="F22" i="13"/>
  <c r="D36" i="39"/>
  <c r="D34" i="39"/>
  <c r="D35" i="39"/>
  <c r="F25" i="13"/>
  <c r="H25" i="13" s="1"/>
  <c r="F24" i="13"/>
  <c r="H24" i="13" s="1"/>
  <c r="F29" i="13"/>
  <c r="H29" i="13" s="1"/>
  <c r="F23" i="13"/>
  <c r="H23" i="13" s="1"/>
  <c r="H22" i="13" l="1"/>
  <c r="F43" i="13"/>
  <c r="F40" i="13"/>
  <c r="F37" i="13"/>
  <c r="H43" i="13" l="1"/>
  <c r="H40" i="13"/>
  <c r="H37" i="13"/>
</calcChain>
</file>

<file path=xl/sharedStrings.xml><?xml version="1.0" encoding="utf-8"?>
<sst xmlns="http://schemas.openxmlformats.org/spreadsheetml/2006/main" count="445" uniqueCount="269">
  <si>
    <t>Year</t>
  </si>
  <si>
    <t>(a)</t>
  </si>
  <si>
    <t>(b)</t>
  </si>
  <si>
    <t>(c)</t>
  </si>
  <si>
    <t>(d)</t>
  </si>
  <si>
    <t>Table 3</t>
  </si>
  <si>
    <t>Table 4</t>
  </si>
  <si>
    <t>$/MWH</t>
  </si>
  <si>
    <t>$/MMBtu</t>
  </si>
  <si>
    <t>Winter</t>
  </si>
  <si>
    <t>Summer</t>
  </si>
  <si>
    <t>Current</t>
  </si>
  <si>
    <t>Avoided Costs</t>
  </si>
  <si>
    <t>Comparison between Proposed and Current Avoided Costs</t>
  </si>
  <si>
    <t>Table 1</t>
  </si>
  <si>
    <t>Source</t>
  </si>
  <si>
    <t>Natural Gas Price - Delivered to Plant</t>
  </si>
  <si>
    <t>($/MWH)</t>
  </si>
  <si>
    <t>Prices on this tab are formated to be cut and pasted directly into the tariff page</t>
  </si>
  <si>
    <t>Market Price $/MWH</t>
  </si>
  <si>
    <t>HLH</t>
  </si>
  <si>
    <t>LLH</t>
  </si>
  <si>
    <t>Mid-Columbia</t>
  </si>
  <si>
    <t>Palo Verde</t>
  </si>
  <si>
    <t>Electricity Market Prices</t>
  </si>
  <si>
    <t>Month</t>
  </si>
  <si>
    <t>$/MWh</t>
  </si>
  <si>
    <t>Calendar Year</t>
  </si>
  <si>
    <t>Off-Peak Energy Prices (¢/kWh)</t>
  </si>
  <si>
    <t xml:space="preserve">Deliveries During </t>
  </si>
  <si>
    <t>Capacity Contribution</t>
  </si>
  <si>
    <t>Wind</t>
  </si>
  <si>
    <t>Integration Costs</t>
  </si>
  <si>
    <t>Solar</t>
  </si>
  <si>
    <t>Avoided Cost Prices for Wind QF</t>
  </si>
  <si>
    <t>Avoided Cost Prices for Base Load QF</t>
  </si>
  <si>
    <t>Capacity (MW)</t>
  </si>
  <si>
    <t>Resource</t>
  </si>
  <si>
    <t>East</t>
  </si>
  <si>
    <t>Existing Plant Retirements/Conversions</t>
  </si>
  <si>
    <t>Expansion Resources</t>
  </si>
  <si>
    <t>West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</si>
  <si>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</si>
  <si>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</si>
  <si>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</si>
  <si>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</si>
  <si>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</si>
  <si>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</si>
  <si>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 Prices for Fixed Solar QF</t>
  </si>
  <si>
    <t>Avoided Cost Prices for Tracking Solar QF</t>
  </si>
  <si>
    <t>on-peak Summer</t>
  </si>
  <si>
    <t>on-peak Winter</t>
  </si>
  <si>
    <t>off-peak Summer</t>
  </si>
  <si>
    <t>off-peak Winter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</si>
  <si>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</si>
  <si>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</si>
  <si>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</si>
  <si>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</si>
  <si>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</si>
  <si>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</si>
  <si>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</si>
  <si>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</si>
  <si>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</si>
  <si>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</si>
  <si>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</si>
  <si>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</si>
  <si>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</si>
  <si>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</si>
  <si>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</si>
  <si>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 xml:space="preserve"> </t>
  </si>
  <si>
    <t>On Peak Energy Prices (¢/kWh)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</si>
  <si>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</si>
  <si>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</si>
  <si>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</si>
  <si>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</si>
  <si>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</si>
  <si>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</si>
  <si>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</si>
  <si>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</si>
  <si>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</si>
  <si>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</si>
  <si>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</si>
  <si>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3  (Coal Early Retirement/Conversions)</t>
  </si>
  <si>
    <t>Gadsby 1-6</t>
  </si>
  <si>
    <t>Generation Profile_Solar Fixed</t>
  </si>
  <si>
    <t>Generation Profile_Solar Tracking</t>
  </si>
  <si>
    <t>Table 6</t>
  </si>
  <si>
    <t>IRP - Wyo NE</t>
  </si>
  <si>
    <t>Burnertip Annual Average Price</t>
  </si>
  <si>
    <t>15-year (2019-2033) Nominal Levelized</t>
  </si>
  <si>
    <t>15-year (2020-2034) Nominal Levelized</t>
  </si>
  <si>
    <t>Off-Peak Energy Prices (¢/kWh) (1)</t>
  </si>
  <si>
    <t>Craig 1  (Coal Early Retirement/Conversions)</t>
  </si>
  <si>
    <t>Wind, GO</t>
  </si>
  <si>
    <t>Total Wind</t>
  </si>
  <si>
    <t>JimBridger 1  (Coal Early Retirement/Conversions)</t>
  </si>
  <si>
    <t>JimBridger 2  (Coal Early Retirement/Conversions)</t>
  </si>
  <si>
    <t>Annual</t>
  </si>
  <si>
    <t>No.</t>
  </si>
  <si>
    <t>Partial Displacement</t>
  </si>
  <si>
    <t>Name plate</t>
  </si>
  <si>
    <t>Start Date</t>
  </si>
  <si>
    <t>Total Signed MW</t>
  </si>
  <si>
    <t>Period</t>
  </si>
  <si>
    <t>On Peak Winter</t>
  </si>
  <si>
    <t>On Peak Summer</t>
  </si>
  <si>
    <t>Total Hours</t>
  </si>
  <si>
    <t>HLH Hour %</t>
  </si>
  <si>
    <t>Sun/Hol</t>
  </si>
  <si>
    <t>HLH Days</t>
  </si>
  <si>
    <t>Table 5</t>
  </si>
  <si>
    <t>(e)</t>
  </si>
  <si>
    <t>(f)</t>
  </si>
  <si>
    <t>(g)</t>
  </si>
  <si>
    <t>(h)</t>
  </si>
  <si>
    <t>(i)</t>
  </si>
  <si>
    <t>(j)</t>
  </si>
  <si>
    <t>(k)</t>
  </si>
  <si>
    <t>(l)</t>
  </si>
  <si>
    <t>Proposed</t>
  </si>
  <si>
    <t>Total Difference</t>
  </si>
  <si>
    <t>(1): On- and off- peak prices are reduced by integration charges</t>
  </si>
  <si>
    <t>On-Peak Energy Prices (¢/kWh)</t>
  </si>
  <si>
    <t>Peak Winter</t>
  </si>
  <si>
    <t>Peak Summer</t>
  </si>
  <si>
    <t>Off Peak  Winter</t>
  </si>
  <si>
    <t>Off Peak  Summer</t>
  </si>
  <si>
    <t>$ With degradation</t>
  </si>
  <si>
    <t>0.5 % Degradation</t>
  </si>
  <si>
    <t>Check</t>
  </si>
  <si>
    <t>(x) Extrapolated</t>
  </si>
  <si>
    <t>Wind, UT</t>
  </si>
  <si>
    <t>Total Solar</t>
  </si>
  <si>
    <t>1/ Front office transaction amounts reflect one-year transaction periods, are not additive, and are reported as a 10/20-year annual average.</t>
  </si>
  <si>
    <t>West Side</t>
  </si>
  <si>
    <t>Existing Plant Retirements and PPA Termination</t>
  </si>
  <si>
    <t>Craig 2  (Coal Early Retirement/Conversions)</t>
  </si>
  <si>
    <t>Huntington 1</t>
  </si>
  <si>
    <t>Huntington 2</t>
  </si>
  <si>
    <t>Colstrip 3  (Coal Early Retirement/Conversions)</t>
  </si>
  <si>
    <t>Colstrip 4  (Coal Early Retirement/Conversions)</t>
  </si>
  <si>
    <t>Naughton 1  (Coal Early Retirement/Conversions)</t>
  </si>
  <si>
    <t>Naughton 2  (Coal Early Retirement/Conversions)</t>
  </si>
  <si>
    <t>Retire - Hydro</t>
  </si>
  <si>
    <t>Retire - Wind</t>
  </si>
  <si>
    <t>Expire - Wind PPA</t>
  </si>
  <si>
    <t>Expire - Solar PPA</t>
  </si>
  <si>
    <t>Retire - Other</t>
  </si>
  <si>
    <t>Coal Ret_WY - Gas RePower</t>
  </si>
  <si>
    <t>CCCT - DJohns - J 1x1</t>
  </si>
  <si>
    <t>Total CCCT</t>
  </si>
  <si>
    <t>SCCT Frame NTN</t>
  </si>
  <si>
    <t>SCCT Frame WYSW</t>
  </si>
  <si>
    <t>Total SCCT</t>
  </si>
  <si>
    <t>Wind, WYAE</t>
  </si>
  <si>
    <t>Wind+Storage, GO</t>
  </si>
  <si>
    <t>Utility Solar+Storage - PV - Utah-S</t>
  </si>
  <si>
    <t>Utility Solar+Storage - PV - Huntington</t>
  </si>
  <si>
    <t>Utility Solar+Storage - PV - Utah-N</t>
  </si>
  <si>
    <t>Demand Response, ID-Irrigate</t>
  </si>
  <si>
    <t>Demand Response, UT-Cool/WH</t>
  </si>
  <si>
    <t>Demand Response, UT-3rd Party Contracts</t>
  </si>
  <si>
    <t>Demand Response, UT-Irrigate</t>
  </si>
  <si>
    <t>Demand Response, UT-Thermostat</t>
  </si>
  <si>
    <t>Demand Response, WY-Cool/WH</t>
  </si>
  <si>
    <t>Demand Response, WY-3rd Party Contracts</t>
  </si>
  <si>
    <t>Demand Response, WY-Irrigate</t>
  </si>
  <si>
    <t>Demand Response, WY-Thermostat</t>
  </si>
  <si>
    <t>Demand Response, UT-Ancillary Services</t>
  </si>
  <si>
    <t>Demand Response, WY-Ancillary Services</t>
  </si>
  <si>
    <t>Demand Response Total</t>
  </si>
  <si>
    <t>Energy Efficiency, ID</t>
  </si>
  <si>
    <t>Energy Efficiency, UT</t>
  </si>
  <si>
    <t>Energy Efficiency, WY</t>
  </si>
  <si>
    <t>Energy Efficiency Total</t>
  </si>
  <si>
    <t>Battery Storage - Utah-S</t>
  </si>
  <si>
    <t>Battery Storage - WYSW</t>
  </si>
  <si>
    <t>Battery Storage - Idaho</t>
  </si>
  <si>
    <t>FOT East - Summer</t>
  </si>
  <si>
    <t>JimBridger 3</t>
  </si>
  <si>
    <t>JimBridger 4</t>
  </si>
  <si>
    <t>Hermiston</t>
  </si>
  <si>
    <t>SCCT Frame WV</t>
  </si>
  <si>
    <t>Wind+Storage, YK</t>
  </si>
  <si>
    <t>Utility Solar+Storage - PV - Jbridger</t>
  </si>
  <si>
    <t>Utility Solar+Storage - PV - S-Oregon</t>
  </si>
  <si>
    <t>Utility Solar+Storage - PV - Yakima</t>
  </si>
  <si>
    <t>Demand Response, OR-Ancillary Services</t>
  </si>
  <si>
    <t>Demand Response, WA-Ancillary Services</t>
  </si>
  <si>
    <t>Demand Response, CA-Cool/WH</t>
  </si>
  <si>
    <t>Demand Response, CA-3rd Party Contracts</t>
  </si>
  <si>
    <t>Demand Response, CA-Irrigate</t>
  </si>
  <si>
    <t>Demand Response, CA-Thermostat</t>
  </si>
  <si>
    <t>Demand Response, OR-3rd Party Contracts</t>
  </si>
  <si>
    <t>Demand Response, OR-Irrigate</t>
  </si>
  <si>
    <t>Demand Response, WA-Cool/WH</t>
  </si>
  <si>
    <t>Demand Response, WA-3rd Party Contracts</t>
  </si>
  <si>
    <t>Demand Response, WA-Irrigate</t>
  </si>
  <si>
    <t>Demand Response, WA-Thermostat</t>
  </si>
  <si>
    <t>Demand Response  Total</t>
  </si>
  <si>
    <t>Energy Efficiency, CA</t>
  </si>
  <si>
    <t>Energy Efficiency, OR</t>
  </si>
  <si>
    <t>Energy Efficiency, WA</t>
  </si>
  <si>
    <t>Energy Efficiency  Total</t>
  </si>
  <si>
    <t>Battery Storage - S-Oregon</t>
  </si>
  <si>
    <t>Battery Storage - Willamette Valley</t>
  </si>
  <si>
    <t>Battery Storage - Portland NC</t>
  </si>
  <si>
    <t>Battery Storage - Walla Walla</t>
  </si>
  <si>
    <t>Battery Storage - Yakima</t>
  </si>
  <si>
    <t>FOT West - Summer</t>
  </si>
  <si>
    <t>FOT West - Winter</t>
  </si>
  <si>
    <t>2019 IRP Update Preferred Portfolio</t>
  </si>
  <si>
    <t>Contracts Queue</t>
  </si>
  <si>
    <t>Signed Contracts</t>
  </si>
  <si>
    <t>Cypress Creek Renewables - Merrill Solar LLC</t>
  </si>
  <si>
    <t>Graphite Solar I</t>
  </si>
  <si>
    <t>Mariah Wind</t>
  </si>
  <si>
    <t>Orem Family wind</t>
  </si>
  <si>
    <t>Capacity Factor (%)</t>
  </si>
  <si>
    <t>Capacity Contribution (%)</t>
  </si>
  <si>
    <t>Summer/Winter:</t>
  </si>
  <si>
    <t>S</t>
  </si>
  <si>
    <t>W</t>
  </si>
  <si>
    <t>Solar &amp; Storage</t>
  </si>
  <si>
    <t>Idaho Falls, ID</t>
  </si>
  <si>
    <t>Lakeview, OR</t>
  </si>
  <si>
    <t>Milford, UT</t>
  </si>
  <si>
    <t>Yakima, WA</t>
  </si>
  <si>
    <t>Rock Springs, WY</t>
  </si>
  <si>
    <t>Wind &amp; Storage</t>
  </si>
  <si>
    <t>Pocatello, ID</t>
  </si>
  <si>
    <t>Arlington, OR</t>
  </si>
  <si>
    <t>Monticello, UT</t>
  </si>
  <si>
    <t>Goldendale, WA</t>
  </si>
  <si>
    <t>Medicine Bow, WY</t>
  </si>
  <si>
    <t>Table N.4 – Final CF Method Capacity Contribution Values for Wind, Solar, and Storage</t>
  </si>
  <si>
    <t>Stand-alone Storage</t>
  </si>
  <si>
    <t>2 hour duration</t>
  </si>
  <si>
    <t>4 hour duration</t>
  </si>
  <si>
    <t>9 hour duration</t>
  </si>
  <si>
    <t>PacifiCorp’s 2019 IRP, Volume I  – Table 8.18 – 2019 Preferred Portfolio page 258</t>
  </si>
  <si>
    <t>PacifiCorp’s 2019 IRP, Volume II, Appendix N: Capacity Contribution Study – page 404</t>
  </si>
  <si>
    <t>(2): Levelized prices reflect a 0.5% annual degradation rate</t>
  </si>
  <si>
    <t>(3): Renewable energy credits transfer to the utility starting in 2024</t>
  </si>
  <si>
    <t>Off-Peak Energy Prices (¢/kWh) (2)</t>
  </si>
  <si>
    <t>(2): Renewable energy credits transfer to the utility starting in 2023</t>
  </si>
  <si>
    <t>Wind Integration</t>
  </si>
  <si>
    <t>Solar Integration</t>
  </si>
  <si>
    <t>Source: 2019 Integrated Resource Plan.  Volume II, Appendix F, Figure F.15</t>
  </si>
  <si>
    <t>Discount Rate - 2019 IRP</t>
  </si>
  <si>
    <t>OR Solar 7, LLC (Jacksonville)</t>
  </si>
  <si>
    <t>Horseshoe Solar</t>
  </si>
  <si>
    <t>Rocket Solar</t>
  </si>
  <si>
    <t>Skysol Solar QF</t>
  </si>
  <si>
    <t>Appaloosa Solar I-A</t>
  </si>
  <si>
    <t>Appaloosa Solar I-B</t>
  </si>
  <si>
    <t>Birch Creek Hydro QF PPA  (pending commission approval)</t>
  </si>
  <si>
    <t>Fall Creek Rural Electric Co-op QF PPA (pending commission approval)</t>
  </si>
  <si>
    <t>Captain Jack Solar QF PPA</t>
  </si>
  <si>
    <t>Elektron Solar PPA 1</t>
  </si>
  <si>
    <t>Elektron Solar PPA 2</t>
  </si>
  <si>
    <t>Castle Solar, LLC, PPA</t>
  </si>
  <si>
    <t>Tesoro Non Firm</t>
  </si>
  <si>
    <t>Kennecott Smelter Non Firm</t>
  </si>
  <si>
    <t>Kennecott Refinery Non Firm</t>
  </si>
  <si>
    <t>Exxon Mobil</t>
  </si>
  <si>
    <t>US MagCorp Non-Firm</t>
  </si>
  <si>
    <t>Yakima Tieton Cowiche</t>
  </si>
  <si>
    <t>Yakima Tieton Orchard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</si>
</sst>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0.0%"/>
    <numFmt numFmtId="169" formatCode="_(* #,##0.0_);_(* \(#,##0.0\);_(* &quot;-&quot;??_);_(@_)"/>
    <numFmt numFmtId="170" formatCode="&quot;$&quot;###0;[Red]\(&quot;$&quot;###0\)"/>
    <numFmt numFmtId="171" formatCode="_(&quot;$&quot;* #,##0_);_(&quot;$&quot;* \(#,##0\);_(&quot;$&quot;* &quot;-&quot;??_);_(@_)"/>
    <numFmt numFmtId="172" formatCode="_(* #,##0_);[Red]_(* \(#,##0\);_(* &quot;-&quot;_);_(@_)"/>
    <numFmt numFmtId="173" formatCode="0.000"/>
    <numFmt numFmtId="174" formatCode="0.000%"/>
    <numFmt numFmtId="175" formatCode="#,##0.000_);\(#,##0.000\)"/>
    <numFmt numFmtId="176" formatCode="_(* #,##0.000_);[Red]_(* \(#,##0.000\);_(* &quot;-&quot;_);_(@_)"/>
    <numFmt numFmtId="177" formatCode="_(* #,##0.00_);[Red]_(* \(#,##0.00\);_(* &quot;-&quot;_);_(@_)"/>
    <numFmt numFmtId="178" formatCode="_(* #,##0.000_);_(* \(#,##0.000\);_(* &quot;-&quot;??_);_(@_)"/>
    <numFmt numFmtId="179" formatCode="[$-409]mmmm\ d\,\ yyyy;@"/>
    <numFmt numFmtId="180" formatCode="yyyy\ mm\ dd"/>
    <numFmt numFmtId="181" formatCode="_(* #,##0.0000_);_(* \(#,##0.0000\);_(* &quot;-&quot;??_);_(@_)"/>
    <numFmt numFmtId="182" formatCode="_(&quot;$&quot;* #,##0.000_);_(&quot;$&quot;* \(#,##0.000\);_(&quot;$&quot;* &quot;-&quot;??_);_(@_)"/>
    <numFmt numFmtId="183" formatCode="\ \ \ \ \ \ 0000\ \(\3\)"/>
    <numFmt numFmtId="184" formatCode="\ \ \ \ &quot;$&quot;0.00\ \(\x\)"/>
    <numFmt numFmtId="185" formatCode="\ \ \ \ &quot;$&quot;00.00\ \(\x\)"/>
  </numFmts>
  <fonts count="45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Times New Roman"/>
      <family val="1"/>
    </font>
    <font>
      <u/>
      <sz val="10"/>
      <color theme="10"/>
      <name val="Arial"/>
      <family val="2"/>
    </font>
    <font>
      <sz val="10"/>
      <color rgb="FF1F497D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172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8" fillId="0" borderId="0" applyFont="0" applyFill="0" applyBorder="0" applyProtection="0">
      <alignment horizontal="right"/>
    </xf>
    <xf numFmtId="0" fontId="17" fillId="0" borderId="0" applyNumberFormat="0" applyFill="0" applyBorder="0" applyAlignment="0">
      <protection locked="0"/>
    </xf>
    <xf numFmtId="165" fontId="19" fillId="0" borderId="0" applyNumberFormat="0" applyFill="0" applyBorder="0" applyAlignment="0" applyProtection="0"/>
    <xf numFmtId="0" fontId="20" fillId="0" borderId="1" applyNumberFormat="0" applyBorder="0" applyAlignment="0"/>
    <xf numFmtId="0" fontId="9" fillId="0" borderId="0"/>
    <xf numFmtId="172" fontId="9" fillId="0" borderId="0"/>
    <xf numFmtId="0" fontId="7" fillId="0" borderId="0"/>
    <xf numFmtId="172" fontId="7" fillId="0" borderId="0"/>
    <xf numFmtId="12" fontId="16" fillId="2" borderId="2">
      <alignment horizontal="left"/>
    </xf>
    <xf numFmtId="9" fontId="7" fillId="0" borderId="0" applyFont="0" applyFill="0" applyBorder="0" applyAlignment="0" applyProtection="0"/>
    <xf numFmtId="37" fontId="20" fillId="3" borderId="0" applyNumberFormat="0" applyBorder="0" applyAlignment="0" applyProtection="0"/>
    <xf numFmtId="37" fontId="21" fillId="0" borderId="0"/>
    <xf numFmtId="3" fontId="22" fillId="4" borderId="3" applyProtection="0"/>
    <xf numFmtId="172" fontId="7" fillId="0" borderId="0"/>
    <xf numFmtId="172" fontId="9" fillId="0" borderId="0"/>
    <xf numFmtId="0" fontId="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172" fontId="9" fillId="0" borderId="0"/>
    <xf numFmtId="172" fontId="7" fillId="0" borderId="0"/>
    <xf numFmtId="172" fontId="4" fillId="0" borderId="0"/>
    <xf numFmtId="172" fontId="7" fillId="0" borderId="0"/>
    <xf numFmtId="0" fontId="7" fillId="0" borderId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35" fillId="0" borderId="0" applyNumberFormat="0" applyFill="0" applyBorder="0" applyAlignment="0" applyProtection="0"/>
    <xf numFmtId="0" fontId="7" fillId="0" borderId="0"/>
    <xf numFmtId="172" fontId="7" fillId="0" borderId="0"/>
    <xf numFmtId="43" fontId="7" fillId="0" borderId="0" applyFont="0" applyFill="0" applyBorder="0" applyAlignment="0" applyProtection="0"/>
    <xf numFmtId="172" fontId="7" fillId="0" borderId="0"/>
    <xf numFmtId="0" fontId="3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0">
    <xf numFmtId="172" fontId="0" fillId="0" borderId="0" xfId="0"/>
    <xf numFmtId="172" fontId="10" fillId="0" borderId="0" xfId="0" applyFont="1" applyFill="1" applyAlignment="1">
      <alignment horizontal="centerContinuous"/>
    </xf>
    <xf numFmtId="172" fontId="15" fillId="0" borderId="0" xfId="0" applyFont="1" applyFill="1" applyAlignment="1">
      <alignment horizontal="centerContinuous"/>
    </xf>
    <xf numFmtId="172" fontId="11" fillId="0" borderId="0" xfId="0" applyFont="1" applyFill="1" applyAlignment="1">
      <alignment horizontal="centerContinuous"/>
    </xf>
    <xf numFmtId="172" fontId="13" fillId="0" borderId="0" xfId="0" applyFont="1" applyFill="1"/>
    <xf numFmtId="172" fontId="13" fillId="0" borderId="0" xfId="0" applyFont="1" applyFill="1" applyAlignment="1">
      <alignment horizontal="centerContinuous"/>
    </xf>
    <xf numFmtId="172" fontId="14" fillId="0" borderId="0" xfId="0" applyFont="1" applyFill="1"/>
    <xf numFmtId="172" fontId="10" fillId="0" borderId="0" xfId="8" applyFont="1" applyFill="1" applyAlignment="1">
      <alignment horizontal="centerContinuous"/>
    </xf>
    <xf numFmtId="172" fontId="8" fillId="0" borderId="4" xfId="8" applyFont="1" applyFill="1" applyBorder="1" applyAlignment="1">
      <alignment horizontal="center"/>
    </xf>
    <xf numFmtId="172" fontId="12" fillId="0" borderId="0" xfId="8" quotePrefix="1" applyFont="1" applyFill="1" applyBorder="1" applyAlignment="1">
      <alignment horizontal="center"/>
    </xf>
    <xf numFmtId="172" fontId="11" fillId="0" borderId="0" xfId="8" applyFont="1" applyFill="1" applyAlignment="1">
      <alignment horizontal="centerContinuous"/>
    </xf>
    <xf numFmtId="172" fontId="8" fillId="0" borderId="9" xfId="8" applyFont="1" applyFill="1" applyBorder="1" applyAlignment="1">
      <alignment horizontal="centerContinuous"/>
    </xf>
    <xf numFmtId="172" fontId="8" fillId="0" borderId="5" xfId="8" applyFont="1" applyFill="1" applyBorder="1" applyAlignment="1">
      <alignment horizontal="center"/>
    </xf>
    <xf numFmtId="172" fontId="8" fillId="0" borderId="8" xfId="8" applyFont="1" applyFill="1" applyBorder="1" applyAlignment="1">
      <alignment horizontal="center"/>
    </xf>
    <xf numFmtId="172" fontId="23" fillId="0" borderId="0" xfId="8" applyFont="1" applyFill="1" applyAlignment="1">
      <alignment horizontal="left"/>
    </xf>
    <xf numFmtId="172" fontId="0" fillId="0" borderId="0" xfId="8" applyFont="1" applyFill="1"/>
    <xf numFmtId="172" fontId="0" fillId="0" borderId="0" xfId="0" applyFont="1" applyFill="1"/>
    <xf numFmtId="168" fontId="0" fillId="0" borderId="0" xfId="12" applyNumberFormat="1" applyFont="1" applyFill="1"/>
    <xf numFmtId="172" fontId="0" fillId="0" borderId="0" xfId="8" applyFont="1" applyFill="1" applyAlignment="1">
      <alignment horizontal="centerContinuous"/>
    </xf>
    <xf numFmtId="172" fontId="0" fillId="0" borderId="8" xfId="8" applyFont="1" applyFill="1" applyBorder="1"/>
    <xf numFmtId="172" fontId="0" fillId="0" borderId="0" xfId="8" quotePrefix="1" applyFont="1" applyFill="1" applyBorder="1" applyAlignment="1">
      <alignment horizontal="center"/>
    </xf>
    <xf numFmtId="0" fontId="0" fillId="0" borderId="0" xfId="8" applyNumberFormat="1" applyFont="1" applyFill="1" applyAlignment="1">
      <alignment horizontal="center"/>
    </xf>
    <xf numFmtId="167" fontId="0" fillId="0" borderId="0" xfId="8" applyNumberFormat="1" applyFont="1" applyFill="1" applyBorder="1" applyAlignment="1">
      <alignment horizontal="center"/>
    </xf>
    <xf numFmtId="172" fontId="0" fillId="0" borderId="0" xfId="8" applyFont="1" applyFill="1" applyAlignment="1">
      <alignment horizontal="right"/>
    </xf>
    <xf numFmtId="172" fontId="0" fillId="0" borderId="0" xfId="8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2" fontId="25" fillId="0" borderId="0" xfId="0" applyFont="1" applyFill="1"/>
    <xf numFmtId="172" fontId="25" fillId="0" borderId="0" xfId="0" applyFont="1" applyFill="1" applyBorder="1" applyAlignment="1">
      <alignment horizontal="center"/>
    </xf>
    <xf numFmtId="172" fontId="25" fillId="0" borderId="0" xfId="0" applyFont="1" applyFill="1" applyAlignment="1">
      <alignment horizontal="center"/>
    </xf>
    <xf numFmtId="172" fontId="26" fillId="0" borderId="0" xfId="0" applyFont="1" applyFill="1" applyBorder="1" applyAlignment="1">
      <alignment horizontal="centerContinuous"/>
    </xf>
    <xf numFmtId="172" fontId="27" fillId="0" borderId="0" xfId="0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173" fontId="25" fillId="0" borderId="0" xfId="0" applyNumberFormat="1" applyFont="1" applyFill="1" applyAlignment="1">
      <alignment horizontal="center"/>
    </xf>
    <xf numFmtId="173" fontId="25" fillId="0" borderId="0" xfId="0" applyNumberFormat="1" applyFont="1" applyFill="1" applyBorder="1" applyAlignment="1">
      <alignment horizontal="center"/>
    </xf>
    <xf numFmtId="8" fontId="25" fillId="0" borderId="0" xfId="0" applyNumberFormat="1" applyFont="1" applyFill="1" applyAlignment="1">
      <alignment horizontal="left"/>
    </xf>
    <xf numFmtId="174" fontId="25" fillId="0" borderId="0" xfId="0" applyNumberFormat="1" applyFont="1" applyFill="1" applyAlignment="1">
      <alignment horizontal="center"/>
    </xf>
    <xf numFmtId="172" fontId="25" fillId="0" borderId="0" xfId="0" applyFont="1" applyFill="1" applyAlignment="1">
      <alignment horizontal="right"/>
    </xf>
    <xf numFmtId="172" fontId="25" fillId="0" borderId="0" xfId="0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39" fontId="25" fillId="0" borderId="0" xfId="0" applyNumberFormat="1" applyFont="1" applyFill="1" applyBorder="1" applyAlignment="1">
      <alignment horizontal="center"/>
    </xf>
    <xf numFmtId="39" fontId="25" fillId="0" borderId="0" xfId="0" applyNumberFormat="1" applyFont="1" applyFill="1" applyBorder="1" applyAlignment="1">
      <alignment horizontal="center" vertical="center"/>
    </xf>
    <xf numFmtId="172" fontId="9" fillId="0" borderId="0" xfId="0" applyFont="1" applyFill="1" applyBorder="1"/>
    <xf numFmtId="9" fontId="0" fillId="0" borderId="0" xfId="12" applyFont="1" applyFill="1"/>
    <xf numFmtId="172" fontId="9" fillId="0" borderId="0" xfId="17" applyFont="1" applyFill="1"/>
    <xf numFmtId="8" fontId="9" fillId="0" borderId="0" xfId="17" applyNumberFormat="1" applyFont="1" applyFill="1" applyAlignment="1">
      <alignment horizontal="right"/>
    </xf>
    <xf numFmtId="172" fontId="15" fillId="0" borderId="0" xfId="0" applyFont="1" applyFill="1"/>
    <xf numFmtId="172" fontId="0" fillId="0" borderId="0" xfId="0" applyFill="1"/>
    <xf numFmtId="172" fontId="26" fillId="0" borderId="0" xfId="0" applyFont="1" applyFill="1" applyBorder="1" applyAlignment="1">
      <alignment horizontal="left"/>
    </xf>
    <xf numFmtId="172" fontId="27" fillId="0" borderId="0" xfId="0" applyFont="1" applyFill="1" applyBorder="1" applyAlignment="1">
      <alignment horizontal="left" vertical="top"/>
    </xf>
    <xf numFmtId="172" fontId="25" fillId="0" borderId="0" xfId="0" applyFont="1" applyFill="1" applyBorder="1"/>
    <xf numFmtId="164" fontId="25" fillId="0" borderId="0" xfId="1" applyNumberFormat="1" applyFont="1" applyFill="1" applyBorder="1" applyAlignment="1">
      <alignment horizontal="left" vertical="top"/>
    </xf>
    <xf numFmtId="171" fontId="25" fillId="0" borderId="0" xfId="2" applyNumberFormat="1" applyFont="1" applyFill="1" applyBorder="1" applyAlignment="1">
      <alignment horizontal="left" vertical="top"/>
    </xf>
    <xf numFmtId="178" fontId="25" fillId="0" borderId="0" xfId="1" applyNumberFormat="1" applyFont="1" applyFill="1" applyBorder="1" applyAlignment="1">
      <alignment horizontal="left" vertical="top"/>
    </xf>
    <xf numFmtId="175" fontId="25" fillId="0" borderId="0" xfId="0" applyNumberFormat="1" applyFont="1" applyFill="1" applyBorder="1" applyAlignment="1">
      <alignment horizontal="left" vertical="top"/>
    </xf>
    <xf numFmtId="177" fontId="25" fillId="0" borderId="0" xfId="0" applyNumberFormat="1" applyFont="1" applyFill="1" applyBorder="1"/>
    <xf numFmtId="171" fontId="25" fillId="0" borderId="0" xfId="2" applyNumberFormat="1" applyFont="1" applyFill="1" applyBorder="1"/>
    <xf numFmtId="164" fontId="25" fillId="0" borderId="0" xfId="1" applyNumberFormat="1" applyFont="1" applyFill="1" applyBorder="1"/>
    <xf numFmtId="172" fontId="25" fillId="0" borderId="0" xfId="0" applyFont="1" applyFill="1" applyBorder="1" applyAlignment="1">
      <alignment horizontal="left" vertical="top"/>
    </xf>
    <xf numFmtId="10" fontId="25" fillId="0" borderId="0" xfId="12" applyNumberFormat="1" applyFont="1" applyFill="1" applyBorder="1" applyAlignment="1">
      <alignment horizontal="left" vertical="top"/>
    </xf>
    <xf numFmtId="172" fontId="0" fillId="0" borderId="0" xfId="0" applyBorder="1"/>
    <xf numFmtId="172" fontId="0" fillId="0" borderId="0" xfId="0" applyFill="1" applyBorder="1"/>
    <xf numFmtId="172" fontId="9" fillId="0" borderId="0" xfId="0" applyFont="1" applyFill="1" applyAlignment="1">
      <alignment horizontal="centerContinuous"/>
    </xf>
    <xf numFmtId="172" fontId="9" fillId="0" borderId="0" xfId="0" applyFont="1" applyFill="1"/>
    <xf numFmtId="172" fontId="16" fillId="0" borderId="0" xfId="0" applyFont="1" applyFill="1" applyAlignment="1">
      <alignment horizontal="centerContinuous"/>
    </xf>
    <xf numFmtId="0" fontId="16" fillId="0" borderId="0" xfId="20" applyFont="1" applyFill="1" applyAlignment="1">
      <alignment horizontal="centerContinuous"/>
    </xf>
    <xf numFmtId="172" fontId="24" fillId="0" borderId="0" xfId="0" applyFont="1" applyFill="1" applyAlignment="1">
      <alignment horizontal="centerContinuous"/>
    </xf>
    <xf numFmtId="172" fontId="0" fillId="0" borderId="0" xfId="8" quotePrefix="1" applyFont="1" applyFill="1"/>
    <xf numFmtId="172" fontId="7" fillId="0" borderId="0" xfId="0" applyFont="1" applyFill="1" applyBorder="1" applyAlignment="1">
      <alignment horizontal="center"/>
    </xf>
    <xf numFmtId="172" fontId="8" fillId="0" borderId="0" xfId="0" applyFont="1" applyFill="1" applyAlignment="1">
      <alignment horizontal="right"/>
    </xf>
    <xf numFmtId="179" fontId="9" fillId="0" borderId="0" xfId="0" applyNumberFormat="1" applyFont="1" applyFill="1"/>
    <xf numFmtId="172" fontId="9" fillId="0" borderId="0" xfId="0" applyFont="1" applyFill="1" applyAlignment="1">
      <alignment horizontal="left"/>
    </xf>
    <xf numFmtId="0" fontId="24" fillId="0" borderId="0" xfId="20" applyFont="1" applyFill="1" applyBorder="1" applyAlignment="1">
      <alignment horizontal="center"/>
    </xf>
    <xf numFmtId="172" fontId="24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172" fontId="24" fillId="0" borderId="9" xfId="0" applyFont="1" applyFill="1" applyBorder="1" applyAlignment="1">
      <alignment horizontal="centerContinuous"/>
    </xf>
    <xf numFmtId="172" fontId="8" fillId="0" borderId="0" xfId="0" applyFont="1" applyFill="1"/>
    <xf numFmtId="0" fontId="24" fillId="0" borderId="11" xfId="20" applyFont="1" applyFill="1" applyBorder="1" applyAlignment="1">
      <alignment horizontal="center"/>
    </xf>
    <xf numFmtId="172" fontId="31" fillId="0" borderId="11" xfId="0" applyFont="1" applyFill="1" applyBorder="1" applyAlignment="1">
      <alignment horizontal="center"/>
    </xf>
    <xf numFmtId="172" fontId="31" fillId="0" borderId="9" xfId="0" applyFont="1" applyFill="1" applyBorder="1" applyAlignment="1">
      <alignment horizontal="center"/>
    </xf>
    <xf numFmtId="173" fontId="9" fillId="0" borderId="0" xfId="2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39" fontId="9" fillId="0" borderId="0" xfId="1" applyNumberFormat="1" applyFont="1" applyFill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4" fontId="7" fillId="0" borderId="10" xfId="2" applyNumberFormat="1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73" fontId="9" fillId="0" borderId="7" xfId="2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4" fontId="7" fillId="0" borderId="8" xfId="2" applyNumberFormat="1" applyFont="1" applyFill="1" applyBorder="1" applyAlignment="1">
      <alignment horizontal="center"/>
    </xf>
    <xf numFmtId="43" fontId="9" fillId="0" borderId="0" xfId="1" applyFont="1" applyFill="1"/>
    <xf numFmtId="39" fontId="9" fillId="0" borderId="9" xfId="1" applyNumberFormat="1" applyFont="1" applyFill="1" applyBorder="1" applyAlignment="1">
      <alignment horizontal="center"/>
    </xf>
    <xf numFmtId="172" fontId="9" fillId="0" borderId="9" xfId="0" applyFont="1" applyFill="1" applyBorder="1" applyAlignment="1">
      <alignment horizontal="centerContinuous"/>
    </xf>
    <xf numFmtId="43" fontId="9" fillId="0" borderId="9" xfId="1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"/>
    </xf>
    <xf numFmtId="0" fontId="7" fillId="0" borderId="0" xfId="20" applyFont="1" applyFill="1" applyAlignment="1">
      <alignment horizontal="center"/>
    </xf>
    <xf numFmtId="172" fontId="9" fillId="5" borderId="0" xfId="0" applyFont="1" applyFill="1"/>
    <xf numFmtId="172" fontId="7" fillId="0" borderId="0" xfId="0" applyFont="1" applyFill="1"/>
    <xf numFmtId="172" fontId="7" fillId="0" borderId="0" xfId="0" applyFont="1" applyFill="1" applyAlignment="1">
      <alignment horizontal="center"/>
    </xf>
    <xf numFmtId="0" fontId="9" fillId="0" borderId="0" xfId="20" applyFont="1" applyFill="1" applyAlignment="1">
      <alignment horizontal="center"/>
    </xf>
    <xf numFmtId="172" fontId="7" fillId="0" borderId="9" xfId="0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172" fontId="9" fillId="0" borderId="0" xfId="0" applyFont="1" applyFill="1" applyAlignment="1">
      <alignment wrapText="1"/>
    </xf>
    <xf numFmtId="177" fontId="9" fillId="0" borderId="0" xfId="0" applyNumberFormat="1" applyFont="1" applyFill="1"/>
    <xf numFmtId="0" fontId="9" fillId="0" borderId="0" xfId="0" applyNumberFormat="1" applyFont="1" applyFill="1"/>
    <xf numFmtId="172" fontId="9" fillId="0" borderId="10" xfId="0" applyFont="1" applyFill="1" applyBorder="1" applyAlignment="1">
      <alignment horizontal="center"/>
    </xf>
    <xf numFmtId="172" fontId="9" fillId="0" borderId="0" xfId="0" quotePrefix="1" applyFont="1" applyFill="1" applyBorder="1" applyAlignment="1">
      <alignment horizontal="center"/>
    </xf>
    <xf numFmtId="172" fontId="9" fillId="0" borderId="10" xfId="0" quotePrefix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8" fontId="9" fillId="0" borderId="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>
      <alignment horizontal="center"/>
    </xf>
    <xf numFmtId="172" fontId="9" fillId="0" borderId="0" xfId="0" applyFont="1" applyFill="1" applyAlignment="1">
      <alignment horizontal="right"/>
    </xf>
    <xf numFmtId="3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7" applyFont="1"/>
    <xf numFmtId="176" fontId="9" fillId="0" borderId="0" xfId="0" applyNumberFormat="1" applyFont="1" applyFill="1"/>
    <xf numFmtId="9" fontId="0" fillId="0" borderId="0" xfId="12" applyNumberFormat="1" applyFont="1" applyFill="1"/>
    <xf numFmtId="8" fontId="25" fillId="0" borderId="0" xfId="0" applyNumberFormat="1" applyFont="1" applyFill="1"/>
    <xf numFmtId="177" fontId="25" fillId="0" borderId="0" xfId="0" applyNumberFormat="1" applyFont="1" applyFill="1"/>
    <xf numFmtId="8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172" fontId="8" fillId="0" borderId="0" xfId="0" applyFont="1" applyFill="1" applyBorder="1" applyAlignment="1">
      <alignment horizontal="centerContinuous" wrapText="1"/>
    </xf>
    <xf numFmtId="172" fontId="9" fillId="0" borderId="22" xfId="0" applyFont="1" applyFill="1" applyBorder="1"/>
    <xf numFmtId="172" fontId="8" fillId="6" borderId="27" xfId="0" applyFont="1" applyFill="1" applyBorder="1" applyAlignment="1">
      <alignment horizontal="centerContinuous"/>
    </xf>
    <xf numFmtId="172" fontId="9" fillId="6" borderId="28" xfId="0" applyFont="1" applyFill="1" applyBorder="1" applyAlignment="1">
      <alignment horizontal="centerContinuous"/>
    </xf>
    <xf numFmtId="172" fontId="0" fillId="0" borderId="0" xfId="0" applyAlignment="1">
      <alignment horizontal="right"/>
    </xf>
    <xf numFmtId="168" fontId="32" fillId="0" borderId="0" xfId="12" applyNumberFormat="1" applyFont="1" applyFill="1"/>
    <xf numFmtId="1" fontId="32" fillId="0" borderId="0" xfId="9" applyNumberFormat="1" applyFont="1" applyFill="1" applyAlignment="1" applyProtection="1">
      <alignment horizontal="center"/>
      <protection locked="0"/>
    </xf>
    <xf numFmtId="172" fontId="10" fillId="0" borderId="0" xfId="8" applyFont="1" applyFill="1" applyAlignment="1">
      <alignment horizontal="center"/>
    </xf>
    <xf numFmtId="172" fontId="0" fillId="0" borderId="0" xfId="8" applyFont="1" applyFill="1" applyAlignment="1">
      <alignment horizontal="center"/>
    </xf>
    <xf numFmtId="168" fontId="34" fillId="0" borderId="0" xfId="12" applyNumberFormat="1" applyFont="1" applyFill="1"/>
    <xf numFmtId="172" fontId="0" fillId="0" borderId="0" xfId="8" applyFont="1" applyFill="1" applyAlignment="1">
      <alignment horizontal="centerContinuous" wrapText="1"/>
    </xf>
    <xf numFmtId="9" fontId="9" fillId="0" borderId="0" xfId="12" applyFont="1" applyFill="1"/>
    <xf numFmtId="172" fontId="32" fillId="0" borderId="0" xfId="27" applyFont="1" applyFill="1"/>
    <xf numFmtId="0" fontId="32" fillId="0" borderId="5" xfId="27" applyNumberFormat="1" applyFont="1" applyFill="1" applyBorder="1" applyAlignment="1">
      <alignment horizontal="center"/>
    </xf>
    <xf numFmtId="180" fontId="32" fillId="0" borderId="6" xfId="21" applyNumberFormat="1" applyFont="1" applyFill="1" applyBorder="1" applyAlignment="1">
      <alignment horizontal="center"/>
    </xf>
    <xf numFmtId="43" fontId="32" fillId="0" borderId="5" xfId="21" applyFont="1" applyFill="1" applyBorder="1"/>
    <xf numFmtId="0" fontId="32" fillId="0" borderId="8" xfId="27" applyNumberFormat="1" applyFont="1" applyFill="1" applyBorder="1" applyAlignment="1">
      <alignment horizontal="center"/>
    </xf>
    <xf numFmtId="43" fontId="32" fillId="0" borderId="11" xfId="21" applyFont="1" applyFill="1" applyBorder="1"/>
    <xf numFmtId="180" fontId="32" fillId="0" borderId="12" xfId="21" applyNumberFormat="1" applyFont="1" applyFill="1" applyBorder="1" applyAlignment="1">
      <alignment horizontal="center"/>
    </xf>
    <xf numFmtId="2" fontId="32" fillId="0" borderId="9" xfId="21" applyNumberFormat="1" applyFont="1" applyFill="1" applyBorder="1" applyAlignment="1">
      <alignment horizontal="center"/>
    </xf>
    <xf numFmtId="180" fontId="32" fillId="0" borderId="29" xfId="21" applyNumberFormat="1" applyFont="1" applyFill="1" applyBorder="1" applyAlignment="1">
      <alignment horizontal="center"/>
    </xf>
    <xf numFmtId="172" fontId="33" fillId="0" borderId="0" xfId="17" applyFont="1" applyFill="1" applyAlignment="1">
      <alignment horizontal="centerContinuous"/>
    </xf>
    <xf numFmtId="172" fontId="32" fillId="0" borderId="0" xfId="17" applyFont="1" applyFill="1" applyAlignment="1">
      <alignment horizontal="centerContinuous"/>
    </xf>
    <xf numFmtId="172" fontId="32" fillId="0" borderId="0" xfId="17" applyFont="1" applyFill="1"/>
    <xf numFmtId="172" fontId="32" fillId="0" borderId="0" xfId="17" applyFont="1" applyFill="1" applyBorder="1" applyAlignment="1">
      <alignment horizontal="centerContinuous"/>
    </xf>
    <xf numFmtId="172" fontId="32" fillId="0" borderId="0" xfId="17" applyFont="1" applyFill="1" applyBorder="1"/>
    <xf numFmtId="172" fontId="33" fillId="0" borderId="21" xfId="17" applyFont="1" applyFill="1" applyBorder="1" applyAlignment="1">
      <alignment horizontal="center"/>
    </xf>
    <xf numFmtId="172" fontId="33" fillId="0" borderId="21" xfId="17" applyFont="1" applyFill="1" applyBorder="1" applyAlignment="1">
      <alignment horizontal="center" wrapText="1"/>
    </xf>
    <xf numFmtId="172" fontId="33" fillId="0" borderId="21" xfId="17" applyFont="1" applyFill="1" applyBorder="1" applyAlignment="1">
      <alignment horizontal="centerContinuous" wrapText="1"/>
    </xf>
    <xf numFmtId="172" fontId="33" fillId="0" borderId="8" xfId="17" applyFont="1" applyFill="1" applyBorder="1" applyAlignment="1">
      <alignment horizontal="centerContinuous"/>
    </xf>
    <xf numFmtId="172" fontId="33" fillId="0" borderId="8" xfId="17" quotePrefix="1" applyFont="1" applyFill="1" applyBorder="1" applyAlignment="1">
      <alignment horizontal="center" wrapText="1"/>
    </xf>
    <xf numFmtId="172" fontId="33" fillId="0" borderId="11" xfId="17" applyFont="1" applyFill="1" applyBorder="1" applyAlignment="1">
      <alignment horizontal="center"/>
    </xf>
    <xf numFmtId="172" fontId="33" fillId="0" borderId="7" xfId="17" applyFont="1" applyFill="1" applyBorder="1" applyAlignment="1">
      <alignment horizontal="center"/>
    </xf>
    <xf numFmtId="172" fontId="32" fillId="0" borderId="0" xfId="17" quotePrefix="1" applyFont="1" applyFill="1" applyBorder="1" applyAlignment="1">
      <alignment horizontal="center"/>
    </xf>
    <xf numFmtId="0" fontId="32" fillId="0" borderId="0" xfId="17" applyNumberFormat="1" applyFont="1" applyFill="1" applyAlignment="1">
      <alignment horizontal="center"/>
    </xf>
    <xf numFmtId="8" fontId="32" fillId="0" borderId="0" xfId="17" applyNumberFormat="1" applyFont="1" applyFill="1" applyAlignment="1">
      <alignment horizontal="center"/>
    </xf>
    <xf numFmtId="172" fontId="36" fillId="0" borderId="0" xfId="16" applyFont="1" applyAlignment="1">
      <alignment vertical="center"/>
    </xf>
    <xf numFmtId="172" fontId="35" fillId="0" borderId="0" xfId="32"/>
    <xf numFmtId="44" fontId="32" fillId="0" borderId="0" xfId="2" applyFont="1" applyFill="1"/>
    <xf numFmtId="0" fontId="32" fillId="0" borderId="0" xfId="17" applyNumberFormat="1" applyFont="1" applyFill="1"/>
    <xf numFmtId="8" fontId="32" fillId="0" borderId="0" xfId="17" applyNumberFormat="1" applyFont="1" applyFill="1" applyAlignment="1">
      <alignment horizontal="right"/>
    </xf>
    <xf numFmtId="172" fontId="8" fillId="0" borderId="9" xfId="0" quotePrefix="1" applyFont="1" applyFill="1" applyBorder="1" applyAlignment="1">
      <alignment horizontal="center"/>
    </xf>
    <xf numFmtId="172" fontId="9" fillId="0" borderId="9" xfId="0" applyFont="1" applyFill="1" applyBorder="1"/>
    <xf numFmtId="172" fontId="8" fillId="0" borderId="9" xfId="0" applyFont="1" applyFill="1" applyBorder="1" applyAlignment="1">
      <alignment horizontal="centerContinuous"/>
    </xf>
    <xf numFmtId="172" fontId="8" fillId="0" borderId="9" xfId="0" applyFont="1" applyFill="1" applyBorder="1" applyAlignment="1">
      <alignment horizontal="center"/>
    </xf>
    <xf numFmtId="0" fontId="7" fillId="0" borderId="0" xfId="33"/>
    <xf numFmtId="17" fontId="37" fillId="0" borderId="0" xfId="33" applyNumberFormat="1" applyFont="1" applyBorder="1"/>
    <xf numFmtId="0" fontId="7" fillId="8" borderId="0" xfId="33" applyFill="1"/>
    <xf numFmtId="172" fontId="7" fillId="0" borderId="0" xfId="34"/>
    <xf numFmtId="9" fontId="0" fillId="0" borderId="0" xfId="29" applyFont="1"/>
    <xf numFmtId="164" fontId="0" fillId="0" borderId="0" xfId="35" applyNumberFormat="1" applyFont="1"/>
    <xf numFmtId="165" fontId="0" fillId="0" borderId="0" xfId="0" applyNumberFormat="1"/>
    <xf numFmtId="172" fontId="9" fillId="0" borderId="9" xfId="0" applyFont="1" applyFill="1" applyBorder="1" applyAlignment="1">
      <alignment horizontal="center" wrapText="1"/>
    </xf>
    <xf numFmtId="172" fontId="9" fillId="0" borderId="9" xfId="0" applyFont="1" applyFill="1" applyBorder="1" applyAlignment="1">
      <alignment horizontal="center"/>
    </xf>
    <xf numFmtId="17" fontId="9" fillId="0" borderId="9" xfId="0" applyNumberFormat="1" applyFont="1" applyFill="1" applyBorder="1" applyAlignment="1">
      <alignment horizontal="centerContinuous"/>
    </xf>
    <xf numFmtId="17" fontId="9" fillId="0" borderId="9" xfId="0" applyNumberFormat="1" applyFont="1" applyFill="1" applyBorder="1" applyAlignment="1">
      <alignment horizontal="center"/>
    </xf>
    <xf numFmtId="172" fontId="0" fillId="0" borderId="0" xfId="0" quotePrefix="1" applyFont="1" applyFill="1" applyBorder="1" applyAlignment="1">
      <alignment horizontal="center"/>
    </xf>
    <xf numFmtId="172" fontId="0" fillId="0" borderId="10" xfId="0" quotePrefix="1" applyFont="1" applyFill="1" applyBorder="1" applyAlignment="1">
      <alignment horizontal="center"/>
    </xf>
    <xf numFmtId="172" fontId="0" fillId="0" borderId="0" xfId="0" applyFont="1" applyFill="1" applyBorder="1"/>
    <xf numFmtId="172" fontId="9" fillId="0" borderId="10" xfId="0" applyFont="1" applyFill="1" applyBorder="1"/>
    <xf numFmtId="172" fontId="0" fillId="0" borderId="10" xfId="0" applyFont="1" applyFill="1" applyBorder="1"/>
    <xf numFmtId="0" fontId="9" fillId="0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8" fontId="9" fillId="0" borderId="7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72" fontId="9" fillId="0" borderId="0" xfId="0" applyFont="1" applyFill="1" applyBorder="1" applyAlignment="1">
      <alignment horizontal="center"/>
    </xf>
    <xf numFmtId="172" fontId="9" fillId="0" borderId="0" xfId="0" applyFont="1" applyFill="1" applyBorder="1" applyAlignment="1">
      <alignment horizontal="left"/>
    </xf>
    <xf numFmtId="172" fontId="9" fillId="0" borderId="0" xfId="0" applyFont="1" applyFill="1" applyBorder="1" applyAlignment="1">
      <alignment horizontal="right"/>
    </xf>
    <xf numFmtId="172" fontId="9" fillId="0" borderId="27" xfId="0" quotePrefix="1" applyFont="1" applyFill="1" applyBorder="1" applyAlignment="1">
      <alignment horizontal="centerContinuous"/>
    </xf>
    <xf numFmtId="172" fontId="9" fillId="0" borderId="27" xfId="0" applyFont="1" applyFill="1" applyBorder="1"/>
    <xf numFmtId="172" fontId="9" fillId="0" borderId="28" xfId="0" quotePrefix="1" applyFont="1" applyFill="1" applyBorder="1" applyAlignment="1">
      <alignment horizontal="centerContinuous"/>
    </xf>
    <xf numFmtId="172" fontId="9" fillId="0" borderId="28" xfId="0" quotePrefix="1" applyFont="1" applyFill="1" applyBorder="1" applyAlignment="1">
      <alignment horizontal="center"/>
    </xf>
    <xf numFmtId="172" fontId="25" fillId="7" borderId="0" xfId="0" applyFont="1" applyFill="1" applyAlignment="1">
      <alignment horizontal="center"/>
    </xf>
    <xf numFmtId="172" fontId="25" fillId="7" borderId="0" xfId="0" applyFont="1" applyFill="1"/>
    <xf numFmtId="10" fontId="25" fillId="7" borderId="0" xfId="12" applyNumberFormat="1" applyFont="1" applyFill="1" applyAlignment="1">
      <alignment horizontal="center"/>
    </xf>
    <xf numFmtId="9" fontId="25" fillId="7" borderId="0" xfId="12" applyFont="1" applyFill="1"/>
    <xf numFmtId="172" fontId="26" fillId="7" borderId="0" xfId="0" applyFont="1" applyFill="1" applyBorder="1" applyAlignment="1">
      <alignment horizontal="centerContinuous"/>
    </xf>
    <xf numFmtId="172" fontId="25" fillId="7" borderId="7" xfId="0" applyFont="1" applyFill="1" applyBorder="1"/>
    <xf numFmtId="172" fontId="27" fillId="7" borderId="0" xfId="0" applyFont="1" applyFill="1" applyBorder="1" applyAlignment="1">
      <alignment horizontal="center"/>
    </xf>
    <xf numFmtId="172" fontId="27" fillId="7" borderId="0" xfId="0" applyFont="1" applyFill="1" applyBorder="1" applyAlignment="1">
      <alignment horizontal="left" vertical="top"/>
    </xf>
    <xf numFmtId="177" fontId="25" fillId="7" borderId="0" xfId="0" applyNumberFormat="1" applyFont="1" applyFill="1"/>
    <xf numFmtId="176" fontId="25" fillId="7" borderId="0" xfId="0" applyNumberFormat="1" applyFont="1" applyFill="1"/>
    <xf numFmtId="171" fontId="25" fillId="7" borderId="0" xfId="2" applyNumberFormat="1" applyFont="1" applyFill="1"/>
    <xf numFmtId="172" fontId="25" fillId="7" borderId="0" xfId="0" applyFont="1" applyFill="1" applyAlignment="1">
      <alignment horizontal="right"/>
    </xf>
    <xf numFmtId="164" fontId="25" fillId="7" borderId="0" xfId="1" applyNumberFormat="1" applyFont="1" applyFill="1" applyAlignment="1">
      <alignment horizontal="right"/>
    </xf>
    <xf numFmtId="175" fontId="25" fillId="7" borderId="0" xfId="0" applyNumberFormat="1" applyFont="1" applyFill="1" applyBorder="1" applyAlignment="1">
      <alignment horizontal="right"/>
    </xf>
    <xf numFmtId="164" fontId="25" fillId="7" borderId="0" xfId="1" applyNumberFormat="1" applyFont="1" applyFill="1" applyBorder="1" applyAlignment="1">
      <alignment horizontal="right"/>
    </xf>
    <xf numFmtId="178" fontId="25" fillId="7" borderId="0" xfId="1" applyNumberFormat="1" applyFont="1" applyFill="1" applyBorder="1" applyAlignment="1">
      <alignment horizontal="left" vertical="top"/>
    </xf>
    <xf numFmtId="171" fontId="25" fillId="7" borderId="0" xfId="2" applyNumberFormat="1" applyFont="1" applyFill="1" applyBorder="1" applyAlignment="1">
      <alignment horizontal="left" vertical="top"/>
    </xf>
    <xf numFmtId="172" fontId="25" fillId="7" borderId="0" xfId="0" applyFont="1" applyFill="1" applyAlignment="1">
      <alignment horizontal="left" vertical="top"/>
    </xf>
    <xf numFmtId="175" fontId="25" fillId="7" borderId="0" xfId="0" applyNumberFormat="1" applyFont="1" applyFill="1" applyBorder="1" applyAlignment="1">
      <alignment horizontal="left" vertical="top"/>
    </xf>
    <xf numFmtId="181" fontId="25" fillId="7" borderId="0" xfId="1" applyNumberFormat="1" applyFont="1" applyFill="1" applyAlignment="1">
      <alignment horizontal="left" vertical="top"/>
    </xf>
    <xf numFmtId="10" fontId="25" fillId="7" borderId="0" xfId="12" applyNumberFormat="1" applyFont="1" applyFill="1" applyAlignment="1">
      <alignment horizontal="right"/>
    </xf>
    <xf numFmtId="164" fontId="25" fillId="7" borderId="0" xfId="1" applyNumberFormat="1" applyFont="1" applyFill="1" applyBorder="1" applyAlignment="1">
      <alignment horizontal="right" vertical="center"/>
    </xf>
    <xf numFmtId="178" fontId="25" fillId="7" borderId="0" xfId="1" applyNumberFormat="1" applyFont="1" applyFill="1" applyBorder="1" applyAlignment="1">
      <alignment horizontal="left" vertical="center"/>
    </xf>
    <xf numFmtId="178" fontId="25" fillId="7" borderId="0" xfId="1" applyNumberFormat="1" applyFont="1" applyFill="1" applyBorder="1" applyAlignment="1">
      <alignment horizontal="right" vertical="center"/>
    </xf>
    <xf numFmtId="182" fontId="25" fillId="7" borderId="0" xfId="2" applyNumberFormat="1" applyFont="1" applyFill="1"/>
    <xf numFmtId="178" fontId="25" fillId="7" borderId="0" xfId="0" applyNumberFormat="1" applyFont="1" applyFill="1"/>
    <xf numFmtId="172" fontId="0" fillId="0" borderId="0" xfId="0" applyAlignment="1">
      <alignment horizontal="left"/>
    </xf>
    <xf numFmtId="4" fontId="7" fillId="0" borderId="21" xfId="2" applyNumberFormat="1" applyFont="1" applyFill="1" applyBorder="1" applyAlignment="1">
      <alignment horizontal="center"/>
    </xf>
    <xf numFmtId="4" fontId="7" fillId="0" borderId="22" xfId="2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center"/>
    </xf>
    <xf numFmtId="0" fontId="31" fillId="0" borderId="27" xfId="20" applyFont="1" applyFill="1" applyBorder="1" applyAlignment="1">
      <alignment horizontal="center"/>
    </xf>
    <xf numFmtId="172" fontId="8" fillId="0" borderId="29" xfId="0" applyFont="1" applyFill="1" applyBorder="1" applyAlignment="1">
      <alignment horizontal="center"/>
    </xf>
    <xf numFmtId="172" fontId="8" fillId="0" borderId="28" xfId="0" applyFont="1" applyFill="1" applyBorder="1" applyAlignment="1">
      <alignment horizontal="center"/>
    </xf>
    <xf numFmtId="172" fontId="8" fillId="0" borderId="27" xfId="0" applyFont="1" applyFill="1" applyBorder="1" applyAlignment="1">
      <alignment horizontal="center"/>
    </xf>
    <xf numFmtId="0" fontId="30" fillId="0" borderId="22" xfId="20" applyFont="1" applyFill="1" applyBorder="1" applyAlignment="1">
      <alignment horizontal="center"/>
    </xf>
    <xf numFmtId="172" fontId="16" fillId="0" borderId="25" xfId="0" applyFont="1" applyFill="1" applyBorder="1" applyAlignment="1">
      <alignment horizontal="centerContinuous"/>
    </xf>
    <xf numFmtId="172" fontId="16" fillId="0" borderId="26" xfId="0" applyFont="1" applyFill="1" applyBorder="1" applyAlignment="1">
      <alignment horizontal="centerContinuous"/>
    </xf>
    <xf numFmtId="172" fontId="9" fillId="0" borderId="9" xfId="0" quotePrefix="1" applyFont="1" applyFill="1" applyBorder="1" applyAlignment="1">
      <alignment horizontal="centerContinuous"/>
    </xf>
    <xf numFmtId="8" fontId="0" fillId="0" borderId="6" xfId="0" applyNumberFormat="1" applyFont="1" applyFill="1" applyBorder="1" applyAlignment="1">
      <alignment horizontal="center"/>
    </xf>
    <xf numFmtId="172" fontId="9" fillId="0" borderId="6" xfId="0" quotePrefix="1" applyFont="1" applyFill="1" applyBorder="1" applyAlignment="1">
      <alignment horizontal="center"/>
    </xf>
    <xf numFmtId="8" fontId="9" fillId="0" borderId="6" xfId="0" applyNumberFormat="1" applyFont="1" applyFill="1" applyBorder="1" applyAlignment="1">
      <alignment horizontal="center"/>
    </xf>
    <xf numFmtId="8" fontId="9" fillId="0" borderId="12" xfId="0" applyNumberFormat="1" applyFont="1" applyFill="1" applyBorder="1" applyAlignment="1">
      <alignment horizontal="center"/>
    </xf>
    <xf numFmtId="172" fontId="32" fillId="0" borderId="0" xfId="0" applyFont="1" applyFill="1"/>
    <xf numFmtId="174" fontId="32" fillId="0" borderId="0" xfId="0" applyNumberFormat="1" applyFont="1" applyFill="1"/>
    <xf numFmtId="174" fontId="32" fillId="0" borderId="29" xfId="0" applyNumberFormat="1" applyFont="1" applyFill="1" applyBorder="1" applyAlignment="1">
      <alignment horizontal="center"/>
    </xf>
    <xf numFmtId="165" fontId="32" fillId="0" borderId="5" xfId="27" applyNumberFormat="1" applyFont="1" applyFill="1" applyBorder="1" applyAlignment="1">
      <alignment horizontal="center"/>
    </xf>
    <xf numFmtId="9" fontId="0" fillId="0" borderId="0" xfId="41" applyFont="1"/>
    <xf numFmtId="168" fontId="40" fillId="0" borderId="5" xfId="12" applyNumberFormat="1" applyFont="1" applyFill="1" applyBorder="1" applyAlignment="1">
      <alignment horizontal="center"/>
    </xf>
    <xf numFmtId="172" fontId="28" fillId="0" borderId="0" xfId="0" applyFont="1" applyFill="1" applyAlignment="1">
      <alignment horizontal="centerContinuous"/>
    </xf>
    <xf numFmtId="172" fontId="41" fillId="0" borderId="0" xfId="0" applyFont="1" applyFill="1" applyAlignment="1">
      <alignment vertical="top"/>
    </xf>
    <xf numFmtId="1" fontId="9" fillId="0" borderId="0" xfId="0" applyNumberFormat="1" applyFont="1" applyFill="1"/>
    <xf numFmtId="172" fontId="28" fillId="0" borderId="0" xfId="0" applyFont="1" applyFill="1" applyAlignment="1">
      <alignment horizontal="right" vertical="center"/>
    </xf>
    <xf numFmtId="166" fontId="29" fillId="0" borderId="0" xfId="0" applyNumberFormat="1" applyFont="1" applyFill="1" applyAlignment="1">
      <alignment horizontal="left" vertical="center"/>
    </xf>
    <xf numFmtId="172" fontId="10" fillId="0" borderId="27" xfId="0" applyFont="1" applyFill="1" applyBorder="1" applyAlignment="1">
      <alignment horizontal="centerContinuous" wrapText="1"/>
    </xf>
    <xf numFmtId="172" fontId="10" fillId="0" borderId="29" xfId="0" applyFont="1" applyFill="1" applyBorder="1" applyAlignment="1">
      <alignment horizontal="centerContinuous" wrapText="1"/>
    </xf>
    <xf numFmtId="172" fontId="13" fillId="0" borderId="12" xfId="0" applyFont="1" applyFill="1" applyBorder="1" applyAlignment="1"/>
    <xf numFmtId="172" fontId="10" fillId="0" borderId="9" xfId="0" applyFont="1" applyFill="1" applyBorder="1" applyAlignment="1">
      <alignment horizontal="centerContinuous"/>
    </xf>
    <xf numFmtId="172" fontId="8" fillId="0" borderId="22" xfId="0" applyFont="1" applyFill="1" applyBorder="1" applyAlignment="1">
      <alignment horizontal="center" vertical="top"/>
    </xf>
    <xf numFmtId="172" fontId="8" fillId="0" borderId="27" xfId="0" applyFont="1" applyFill="1" applyBorder="1" applyAlignment="1"/>
    <xf numFmtId="172" fontId="9" fillId="0" borderId="27" xfId="0" applyFont="1" applyFill="1" applyBorder="1" applyAlignment="1"/>
    <xf numFmtId="172" fontId="9" fillId="0" borderId="28" xfId="0" applyFont="1" applyFill="1" applyBorder="1" applyAlignment="1"/>
    <xf numFmtId="172" fontId="9" fillId="0" borderId="29" xfId="0" applyFont="1" applyFill="1" applyBorder="1" applyAlignment="1"/>
    <xf numFmtId="172" fontId="8" fillId="0" borderId="5" xfId="0" applyFont="1" applyFill="1" applyBorder="1" applyAlignment="1">
      <alignment horizontal="center" vertical="top"/>
    </xf>
    <xf numFmtId="172" fontId="9" fillId="0" borderId="23" xfId="0" applyFont="1" applyFill="1" applyBorder="1" applyAlignment="1"/>
    <xf numFmtId="164" fontId="13" fillId="0" borderId="9" xfId="21" applyNumberFormat="1" applyFont="1" applyFill="1" applyBorder="1" applyAlignment="1">
      <alignment horizontal="center"/>
    </xf>
    <xf numFmtId="164" fontId="13" fillId="0" borderId="8" xfId="21" applyNumberFormat="1" applyFont="1" applyFill="1" applyBorder="1" applyAlignment="1">
      <alignment horizontal="center"/>
    </xf>
    <xf numFmtId="172" fontId="9" fillId="0" borderId="5" xfId="0" applyFont="1" applyFill="1" applyBorder="1" applyAlignment="1">
      <alignment horizontal="center" vertical="top"/>
    </xf>
    <xf numFmtId="172" fontId="9" fillId="0" borderId="24" xfId="0" applyFont="1" applyFill="1" applyBorder="1" applyAlignment="1"/>
    <xf numFmtId="172" fontId="9" fillId="0" borderId="10" xfId="0" applyFont="1" applyFill="1" applyBorder="1" applyAlignment="1"/>
    <xf numFmtId="172" fontId="9" fillId="0" borderId="6" xfId="0" applyFont="1" applyFill="1" applyBorder="1" applyAlignment="1"/>
    <xf numFmtId="172" fontId="9" fillId="0" borderId="18" xfId="0" applyFont="1" applyFill="1" applyBorder="1" applyAlignment="1"/>
    <xf numFmtId="172" fontId="8" fillId="0" borderId="19" xfId="0" applyFont="1" applyFill="1" applyBorder="1" applyAlignment="1"/>
    <xf numFmtId="164" fontId="13" fillId="0" borderId="13" xfId="21" applyNumberFormat="1" applyFont="1" applyFill="1" applyBorder="1" applyAlignment="1">
      <alignment horizontal="center"/>
    </xf>
    <xf numFmtId="172" fontId="9" fillId="0" borderId="11" xfId="0" applyFont="1" applyFill="1" applyBorder="1" applyAlignment="1"/>
    <xf numFmtId="169" fontId="13" fillId="0" borderId="8" xfId="21" applyNumberFormat="1" applyFont="1" applyFill="1" applyBorder="1" applyAlignment="1">
      <alignment horizontal="center"/>
    </xf>
    <xf numFmtId="169" fontId="13" fillId="0" borderId="9" xfId="21" applyNumberFormat="1" applyFont="1" applyFill="1" applyBorder="1" applyAlignment="1">
      <alignment horizontal="center"/>
    </xf>
    <xf numFmtId="169" fontId="13" fillId="0" borderId="13" xfId="21" applyNumberFormat="1" applyFont="1" applyFill="1" applyBorder="1" applyAlignment="1">
      <alignment horizontal="center"/>
    </xf>
    <xf numFmtId="164" fontId="13" fillId="0" borderId="5" xfId="21" applyNumberFormat="1" applyFont="1" applyFill="1" applyBorder="1" applyAlignment="1">
      <alignment horizontal="center"/>
    </xf>
    <xf numFmtId="172" fontId="9" fillId="0" borderId="22" xfId="0" applyFont="1" applyFill="1" applyBorder="1" applyAlignment="1"/>
    <xf numFmtId="172" fontId="9" fillId="0" borderId="5" xfId="0" applyFont="1" applyFill="1" applyBorder="1" applyAlignment="1">
      <alignment horizontal="right" vertical="top"/>
    </xf>
    <xf numFmtId="172" fontId="8" fillId="0" borderId="10" xfId="0" applyFont="1" applyFill="1" applyBorder="1" applyAlignment="1">
      <alignment horizontal="center" vertical="top"/>
    </xf>
    <xf numFmtId="172" fontId="9" fillId="0" borderId="14" xfId="0" applyFont="1" applyFill="1" applyBorder="1" applyAlignment="1">
      <alignment horizontal="center" vertical="top"/>
    </xf>
    <xf numFmtId="178" fontId="13" fillId="0" borderId="8" xfId="21" applyNumberFormat="1" applyFont="1" applyFill="1" applyBorder="1" applyAlignment="1">
      <alignment horizontal="center"/>
    </xf>
    <xf numFmtId="172" fontId="9" fillId="0" borderId="8" xfId="0" applyFont="1" applyFill="1" applyBorder="1" applyAlignment="1">
      <alignment horizontal="right" vertical="top"/>
    </xf>
    <xf numFmtId="172" fontId="9" fillId="0" borderId="25" xfId="0" applyFont="1" applyFill="1" applyBorder="1" applyAlignment="1"/>
    <xf numFmtId="172" fontId="9" fillId="0" borderId="20" xfId="0" applyFont="1" applyFill="1" applyBorder="1" applyAlignment="1">
      <alignment horizontal="right"/>
    </xf>
    <xf numFmtId="164" fontId="13" fillId="0" borderId="17" xfId="21" applyNumberFormat="1" applyFont="1" applyFill="1" applyBorder="1" applyAlignment="1">
      <alignment horizontal="center"/>
    </xf>
    <xf numFmtId="164" fontId="13" fillId="0" borderId="26" xfId="21" applyNumberFormat="1" applyFont="1" applyFill="1" applyBorder="1" applyAlignment="1">
      <alignment horizontal="center"/>
    </xf>
    <xf numFmtId="172" fontId="9" fillId="0" borderId="15" xfId="0" applyFont="1" applyFill="1" applyBorder="1" applyAlignment="1">
      <alignment horizontal="right"/>
    </xf>
    <xf numFmtId="164" fontId="13" fillId="0" borderId="16" xfId="21" applyNumberFormat="1" applyFont="1" applyFill="1" applyBorder="1" applyAlignment="1">
      <alignment horizontal="center"/>
    </xf>
    <xf numFmtId="164" fontId="13" fillId="0" borderId="0" xfId="21" applyNumberFormat="1" applyFont="1" applyFill="1" applyBorder="1" applyAlignment="1">
      <alignment horizontal="center"/>
    </xf>
    <xf numFmtId="172" fontId="9" fillId="0" borderId="0" xfId="0" applyFont="1" applyFill="1" applyAlignment="1"/>
    <xf numFmtId="172" fontId="9" fillId="0" borderId="27" xfId="0" applyFont="1" applyFill="1" applyBorder="1" applyAlignment="1">
      <alignment horizontal="right"/>
    </xf>
    <xf numFmtId="164" fontId="9" fillId="0" borderId="0" xfId="0" applyNumberFormat="1" applyFont="1" applyFill="1"/>
    <xf numFmtId="164" fontId="9" fillId="0" borderId="0" xfId="0" applyNumberFormat="1" applyFont="1" applyFill="1" applyBorder="1"/>
    <xf numFmtId="172" fontId="10" fillId="0" borderId="9" xfId="0" applyFont="1" applyFill="1" applyBorder="1" applyAlignment="1">
      <alignment horizontal="centerContinuous" vertical="center"/>
    </xf>
    <xf numFmtId="172" fontId="10" fillId="0" borderId="9" xfId="0" applyFont="1" applyFill="1" applyBorder="1" applyAlignment="1"/>
    <xf numFmtId="1" fontId="10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32" fillId="0" borderId="21" xfId="27" applyNumberFormat="1" applyFont="1" applyFill="1" applyBorder="1" applyAlignment="1">
      <alignment horizontal="left"/>
    </xf>
    <xf numFmtId="43" fontId="32" fillId="0" borderId="22" xfId="21" applyFont="1" applyFill="1" applyBorder="1"/>
    <xf numFmtId="174" fontId="32" fillId="0" borderId="21" xfId="27" applyNumberFormat="1" applyFont="1" applyFill="1" applyBorder="1" applyAlignment="1">
      <alignment horizontal="left"/>
    </xf>
    <xf numFmtId="180" fontId="32" fillId="0" borderId="25" xfId="27" applyNumberFormat="1" applyFont="1" applyFill="1" applyBorder="1"/>
    <xf numFmtId="2" fontId="32" fillId="0" borderId="5" xfId="27" applyNumberFormat="1" applyFont="1" applyFill="1" applyBorder="1" applyAlignment="1">
      <alignment horizontal="center"/>
    </xf>
    <xf numFmtId="174" fontId="32" fillId="0" borderId="5" xfId="12" applyNumberFormat="1" applyFont="1" applyFill="1" applyBorder="1" applyAlignment="1">
      <alignment horizontal="center"/>
    </xf>
    <xf numFmtId="2" fontId="32" fillId="0" borderId="8" xfId="27" applyNumberFormat="1" applyFont="1" applyFill="1" applyBorder="1" applyAlignment="1">
      <alignment horizontal="center"/>
    </xf>
    <xf numFmtId="174" fontId="32" fillId="0" borderId="8" xfId="31" applyNumberFormat="1" applyFont="1" applyFill="1" applyBorder="1" applyAlignment="1">
      <alignment horizontal="center"/>
    </xf>
    <xf numFmtId="172" fontId="39" fillId="0" borderId="0" xfId="0" applyFont="1" applyFill="1"/>
    <xf numFmtId="172" fontId="42" fillId="0" borderId="30" xfId="0" applyFont="1" applyFill="1" applyBorder="1"/>
    <xf numFmtId="172" fontId="43" fillId="0" borderId="31" xfId="0" applyFont="1" applyFill="1" applyBorder="1" applyAlignment="1">
      <alignment horizontal="center" wrapText="1"/>
    </xf>
    <xf numFmtId="172" fontId="43" fillId="0" borderId="34" xfId="0" applyFont="1" applyFill="1" applyBorder="1" applyAlignment="1">
      <alignment horizontal="right"/>
    </xf>
    <xf numFmtId="172" fontId="43" fillId="0" borderId="35" xfId="0" applyFont="1" applyFill="1" applyBorder="1" applyAlignment="1">
      <alignment horizontal="center" wrapText="1"/>
    </xf>
    <xf numFmtId="172" fontId="43" fillId="0" borderId="34" xfId="0" applyFont="1" applyFill="1" applyBorder="1" applyAlignment="1">
      <alignment horizontal="center" wrapText="1"/>
    </xf>
    <xf numFmtId="172" fontId="43" fillId="0" borderId="36" xfId="0" applyFont="1" applyFill="1" applyBorder="1" applyAlignment="1">
      <alignment horizontal="center" wrapText="1"/>
    </xf>
    <xf numFmtId="172" fontId="43" fillId="0" borderId="37" xfId="0" applyFont="1" applyFill="1" applyBorder="1" applyAlignment="1">
      <alignment horizontal="center"/>
    </xf>
    <xf numFmtId="172" fontId="43" fillId="0" borderId="34" xfId="0" applyFont="1" applyFill="1" applyBorder="1" applyAlignment="1">
      <alignment horizontal="center"/>
    </xf>
    <xf numFmtId="172" fontId="43" fillId="0" borderId="36" xfId="0" applyFont="1" applyFill="1" applyBorder="1" applyAlignment="1">
      <alignment horizontal="center"/>
    </xf>
    <xf numFmtId="172" fontId="43" fillId="0" borderId="32" xfId="0" applyFont="1" applyFill="1" applyBorder="1" applyAlignment="1">
      <alignment horizontal="left"/>
    </xf>
    <xf numFmtId="172" fontId="43" fillId="0" borderId="38" xfId="0" applyFont="1" applyFill="1" applyBorder="1" applyAlignment="1">
      <alignment horizontal="center"/>
    </xf>
    <xf numFmtId="172" fontId="43" fillId="0" borderId="30" xfId="0" applyFont="1" applyFill="1" applyBorder="1"/>
    <xf numFmtId="9" fontId="42" fillId="0" borderId="30" xfId="12" applyFont="1" applyFill="1" applyBorder="1" applyAlignment="1">
      <alignment horizontal="center"/>
    </xf>
    <xf numFmtId="9" fontId="42" fillId="0" borderId="39" xfId="12" applyFont="1" applyFill="1" applyBorder="1" applyAlignment="1">
      <alignment horizontal="center"/>
    </xf>
    <xf numFmtId="172" fontId="43" fillId="0" borderId="34" xfId="0" applyFont="1" applyFill="1" applyBorder="1"/>
    <xf numFmtId="9" fontId="42" fillId="0" borderId="34" xfId="12" applyFont="1" applyFill="1" applyBorder="1" applyAlignment="1">
      <alignment horizontal="center"/>
    </xf>
    <xf numFmtId="9" fontId="42" fillId="0" borderId="36" xfId="12" applyFont="1" applyFill="1" applyBorder="1" applyAlignment="1">
      <alignment horizontal="center"/>
    </xf>
    <xf numFmtId="172" fontId="43" fillId="0" borderId="40" xfId="0" applyFont="1" applyFill="1" applyBorder="1"/>
    <xf numFmtId="9" fontId="42" fillId="0" borderId="40" xfId="12" applyFont="1" applyFill="1" applyBorder="1" applyAlignment="1">
      <alignment horizontal="center"/>
    </xf>
    <xf numFmtId="9" fontId="42" fillId="0" borderId="41" xfId="12" applyFont="1" applyFill="1" applyBorder="1" applyAlignment="1">
      <alignment horizontal="center"/>
    </xf>
    <xf numFmtId="9" fontId="42" fillId="0" borderId="38" xfId="12" applyFont="1" applyFill="1" applyBorder="1" applyAlignment="1">
      <alignment horizontal="center"/>
    </xf>
    <xf numFmtId="172" fontId="8" fillId="0" borderId="0" xfId="0" applyFont="1"/>
    <xf numFmtId="172" fontId="44" fillId="0" borderId="0" xfId="17" applyFont="1" applyFill="1" applyBorder="1"/>
    <xf numFmtId="172" fontId="9" fillId="0" borderId="0" xfId="17" applyFont="1" applyFill="1" applyBorder="1"/>
    <xf numFmtId="172" fontId="8" fillId="0" borderId="0" xfId="17" applyFont="1" applyFill="1" applyBorder="1"/>
    <xf numFmtId="176" fontId="9" fillId="0" borderId="0" xfId="17" applyNumberFormat="1" applyFont="1" applyFill="1" applyBorder="1"/>
    <xf numFmtId="183" fontId="25" fillId="0" borderId="0" xfId="0" applyNumberFormat="1" applyFont="1" applyFill="1" applyBorder="1" applyAlignment="1">
      <alignment horizontal="center"/>
    </xf>
    <xf numFmtId="184" fontId="32" fillId="0" borderId="0" xfId="17" applyNumberFormat="1" applyFont="1" applyFill="1" applyAlignment="1">
      <alignment horizontal="center"/>
    </xf>
    <xf numFmtId="185" fontId="9" fillId="0" borderId="7" xfId="0" applyNumberFormat="1" applyFont="1" applyFill="1" applyBorder="1" applyAlignment="1">
      <alignment horizontal="center"/>
    </xf>
    <xf numFmtId="43" fontId="32" fillId="0" borderId="10" xfId="21" applyFont="1" applyFill="1" applyBorder="1"/>
    <xf numFmtId="0" fontId="33" fillId="0" borderId="8" xfId="27" applyNumberFormat="1" applyFont="1" applyFill="1" applyBorder="1" applyAlignment="1">
      <alignment horizontal="centerContinuous" wrapText="1"/>
    </xf>
    <xf numFmtId="172" fontId="33" fillId="0" borderId="5" xfId="27" applyFont="1" applyFill="1" applyBorder="1" applyAlignment="1">
      <alignment horizontal="centerContinuous" wrapText="1"/>
    </xf>
    <xf numFmtId="172" fontId="33" fillId="0" borderId="8" xfId="27" applyFont="1" applyFill="1" applyBorder="1" applyAlignment="1">
      <alignment horizontal="centerContinuous" wrapText="1"/>
    </xf>
    <xf numFmtId="174" fontId="33" fillId="0" borderId="8" xfId="27" applyNumberFormat="1" applyFont="1" applyFill="1" applyBorder="1" applyAlignment="1">
      <alignment horizontal="centerContinuous" wrapText="1"/>
    </xf>
    <xf numFmtId="165" fontId="32" fillId="0" borderId="0" xfId="27" applyNumberFormat="1" applyFont="1" applyFill="1" applyAlignment="1">
      <alignment horizontal="center"/>
    </xf>
    <xf numFmtId="172" fontId="43" fillId="0" borderId="31" xfId="0" applyFont="1" applyFill="1" applyBorder="1" applyAlignment="1">
      <alignment horizontal="center" vertical="center" wrapText="1"/>
    </xf>
    <xf numFmtId="172" fontId="10" fillId="0" borderId="0" xfId="10" applyFont="1" applyAlignment="1">
      <alignment horizontal="center" vertical="top"/>
    </xf>
    <xf numFmtId="172" fontId="10" fillId="0" borderId="0" xfId="10" applyFont="1" applyFill="1" applyAlignment="1">
      <alignment horizontal="center" vertical="top"/>
    </xf>
    <xf numFmtId="172" fontId="43" fillId="0" borderId="38" xfId="0" applyFont="1" applyFill="1" applyBorder="1" applyAlignment="1">
      <alignment horizontal="center"/>
    </xf>
    <xf numFmtId="0" fontId="33" fillId="0" borderId="27" xfId="28" applyFont="1" applyFill="1" applyBorder="1" applyAlignment="1">
      <alignment horizontal="center"/>
    </xf>
    <xf numFmtId="0" fontId="33" fillId="0" borderId="28" xfId="28" applyFont="1" applyFill="1" applyBorder="1" applyAlignment="1">
      <alignment horizontal="center"/>
    </xf>
    <xf numFmtId="43" fontId="32" fillId="0" borderId="27" xfId="21" applyFont="1" applyFill="1" applyBorder="1" applyAlignment="1">
      <alignment horizontal="left"/>
    </xf>
    <xf numFmtId="43" fontId="32" fillId="0" borderId="29" xfId="21" applyFont="1" applyFill="1" applyBorder="1" applyAlignment="1">
      <alignment horizontal="left"/>
    </xf>
    <xf numFmtId="172" fontId="43" fillId="0" borderId="32" xfId="0" applyFont="1" applyFill="1" applyBorder="1" applyAlignment="1">
      <alignment horizontal="center" vertical="center" wrapText="1"/>
    </xf>
    <xf numFmtId="172" fontId="43" fillId="0" borderId="33" xfId="0" applyFont="1" applyFill="1" applyBorder="1" applyAlignment="1">
      <alignment horizontal="center" vertical="center" wrapText="1"/>
    </xf>
    <xf numFmtId="172" fontId="0" fillId="0" borderId="0" xfId="8" applyFont="1" applyFill="1" applyAlignment="1">
      <alignment horizontal="left" wrapText="1"/>
    </xf>
    <xf numFmtId="172" fontId="10" fillId="0" borderId="0" xfId="8" applyFont="1" applyFill="1" applyAlignment="1">
      <alignment horizontal="center"/>
    </xf>
  </cellXfs>
  <cellStyles count="42">
    <cellStyle name="_x0013_" xfId="19"/>
    <cellStyle name="Comma" xfId="1" builtinId="3"/>
    <cellStyle name="Comma 10" xfId="35"/>
    <cellStyle name="Comma 2" xfId="40"/>
    <cellStyle name="Comma 2 2" xfId="21"/>
    <cellStyle name="Currency" xfId="2" builtinId="4"/>
    <cellStyle name="Currency 2" xfId="23"/>
    <cellStyle name="Currency No Comma" xfId="3"/>
    <cellStyle name="Hyperlink 2" xfId="32"/>
    <cellStyle name="Hyperlink 3" xfId="37"/>
    <cellStyle name="Input" xfId="4" builtinId="20" customBuiltin="1"/>
    <cellStyle name="MCP" xfId="5"/>
    <cellStyle name="noninput" xfId="6"/>
    <cellStyle name="Normal" xfId="0" builtinId="0" customBuiltin="1"/>
    <cellStyle name="Normal 176" xfId="18"/>
    <cellStyle name="Normal 176 2" xfId="22"/>
    <cellStyle name="Normal 2" xfId="16"/>
    <cellStyle name="Normal 2 2" xfId="25"/>
    <cellStyle name="Normal 3" xfId="26"/>
    <cellStyle name="Normal 3 2" xfId="36"/>
    <cellStyle name="Normal 4" xfId="39"/>
    <cellStyle name="Normal 5" xfId="24"/>
    <cellStyle name="Normal 5 2" xfId="34"/>
    <cellStyle name="Normal_CG27 Official Base Case 03-31-05" xfId="20"/>
    <cellStyle name="Normal_on off peak hours_1" xfId="33"/>
    <cellStyle name="Normal_Or AC 2003 - AC Study - Fuel Indexed Avoided Costs" xfId="7"/>
    <cellStyle name="Normal_OR AC Sch 37 - AC  Study (Gold) _2009 06 19" xfId="8"/>
    <cellStyle name="Normal_Thermal Attributes" xfId="28"/>
    <cellStyle name="Normal_T-INF-10-15-04-TEMPLATE" xfId="9"/>
    <cellStyle name="Normal_UT AC Sch 37 - L&amp;R  Study (Gold) _2009 06 19" xfId="10"/>
    <cellStyle name="Normal_WY AC 2009 - AC Study (Wind Study)_2009 08 11" xfId="17"/>
    <cellStyle name="Normal_xAC_Demand (Avoided Cost)" xfId="27"/>
    <cellStyle name="Password" xfId="11"/>
    <cellStyle name="Percent" xfId="12" builtinId="5"/>
    <cellStyle name="Percent 2" xfId="29"/>
    <cellStyle name="Percent 3" xfId="30"/>
    <cellStyle name="Percent 3 2" xfId="38"/>
    <cellStyle name="Percent 3 2 2 2" xfId="31"/>
    <cellStyle name="Percent 3 3" xfId="41"/>
    <cellStyle name="Unprot" xfId="13"/>
    <cellStyle name="Unprot$" xfId="14"/>
    <cellStyle name="Unprotect" xfId="15"/>
  </cellStyles>
  <dxfs count="25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-%201a%20-%20GRID%20AC%20Study%20CONF%20_2017%2005%2002_Therma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a%20-%20GRID%20AC%20Study%20CONF%20_2017%2005%2002_Therm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-%206---%20QF%20Pricing%20Detail%20_2017%2005%2022_woQ_Therm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63%20-%20Riverton%20Solar%20-%20WY%20-%202016%20Aug\Scenario\63%20-%20Riverton%20Solar%20-%202---%20QF%20Pricing%20Detail%20_2016%2008%2017%20(w%20Gateway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2017%20IRP%20Update\Scenarios\18-035-T07%20RMP%20Wkpr%20-%20QF%20Pricing%20Detail-Thermal%2005-15-18%20wScalarYKMidCTrn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Data\45%20-%20UT%202016.Q4%20-%20Demand%20CONF%20_2017%2002%2027%20(1335.23%20MW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2014%20-%20AC%20Study%20_2014%2005%2002%20OFPC%201403_LowCO2_Updated%20for%20Reconsider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1\25%20-%20UT%20Sch%2037%20-%20UT%20-%202021%20Apr\Sch%2037%20Filing\21-035-T05%20RMP%20Wkpr%20-%20QF%20Pricing%20Detail-Thermal%2004-30-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1\25%20-%20UT%20Sch%2037%20-%20UT%20-%202021%20Apr\Sch%2037%20Filing\21-035-T05%20RMP%20Wkpr%20-%20QF%20Pricing%20Detail-Solar%20T%2004-30-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1\25%20-%20UT%20Sch%2037%20-%20UT%20-%202021%20Apr\Sch%2037%20Filing\21-035-T05%20RMP%20Wkpr%20-%20QF%20Pricing%20Detail-Solar%20F%2004-30-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1\25%20-%20UT%20Sch%2037%20-%20UT%20-%202021%20Apr\Sch%2037%20Filing\21-035-T05%20RMP%20Wkpr%20-%20QF%20Pricing%20Detail-Wind%2004-30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2017%20-%20Appendix%201%20-%20AC%20Study%20Summary%20_2017%2005%2022%20wo%20Q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Data\Source%20Files\2017%20QF%20Pricing%20Request%20Study%20List%20_2017%2004%20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42">
          <cell r="I42">
            <v>6.5699999999999995E-2</v>
          </cell>
        </row>
      </sheetData>
      <sheetData sheetId="2" refreshError="1"/>
      <sheetData sheetId="3" refreshError="1"/>
      <sheetData sheetId="4">
        <row r="6">
          <cell r="M6">
            <v>10</v>
          </cell>
        </row>
        <row r="7">
          <cell r="M7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UT Sch 37 - 1a - GRID AC Study "/>
    </sheetNames>
    <sheetDataSet>
      <sheetData sheetId="0">
        <row r="1">
          <cell r="N1" t="str">
            <v>UT Sch 37 - 1a - GRID AC Study CONF _2017 05 02_Thermal</v>
          </cell>
        </row>
      </sheetData>
      <sheetData sheetId="1">
        <row r="1">
          <cell r="K1" t="str">
            <v>UT Sch 37 - 1a - GRID AC Study CONF _2017 05 02_Thermal</v>
          </cell>
        </row>
        <row r="37">
          <cell r="B37" t="str">
            <v>Y</v>
          </cell>
        </row>
        <row r="45">
          <cell r="G45" t="str">
            <v>No</v>
          </cell>
        </row>
      </sheetData>
      <sheetData sheetId="2"/>
      <sheetData sheetId="3">
        <row r="7">
          <cell r="C7">
            <v>19.964920695072983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43101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VDOC"/>
      <sheetName val="Recon"/>
      <sheetName val="Side-by-Side"/>
      <sheetName val="Check MWh"/>
      <sheetName val="Check Dollars"/>
      <sheetName val="UT Sch 37 - 1a - GRID AC Study "/>
    </sheetNames>
    <sheetDataSet>
      <sheetData sheetId="0">
        <row r="37">
          <cell r="B37" t="str">
            <v>Y</v>
          </cell>
        </row>
        <row r="45">
          <cell r="G45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Summary (Energy PMT)"/>
      <sheetName val="Monthly Energy Prices"/>
      <sheetName val="SourceEnergy"/>
      <sheetName val="MWH-Split"/>
      <sheetName val="Monthly Levelized"/>
      <sheetName val="Security"/>
      <sheetName val="SecurityCalc"/>
    </sheetNames>
    <sheetDataSet>
      <sheetData sheetId="0" refreshError="1"/>
      <sheetData sheetId="1" refreshError="1"/>
      <sheetData sheetId="2" refreshError="1"/>
      <sheetData sheetId="3">
        <row r="4">
          <cell r="N4">
            <v>5.3874620588785227E-3</v>
          </cell>
        </row>
      </sheetData>
      <sheetData sheetId="4" refreshError="1"/>
      <sheetData sheetId="5">
        <row r="9">
          <cell r="K9" t="str">
            <v>No</v>
          </cell>
          <cell r="L9">
            <v>2015</v>
          </cell>
        </row>
      </sheetData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  <sheetName val="63 - Riverton Solar - 2--- QF P"/>
    </sheetNames>
    <sheetDataSet>
      <sheetData sheetId="0">
        <row r="1">
          <cell r="N1" t="str">
            <v>63 - Riverton Solar - 2--- QF Pricing Detail _2016 08 17 (w Gateway)</v>
          </cell>
        </row>
      </sheetData>
      <sheetData sheetId="1">
        <row r="2">
          <cell r="B2" t="str">
            <v>74.9 MW and 30.6% CF</v>
          </cell>
        </row>
      </sheetData>
      <sheetData sheetId="2">
        <row r="4">
          <cell r="M4">
            <v>6.6600000000000006E-2</v>
          </cell>
          <cell r="N4">
            <v>5.3874620588785227E-3</v>
          </cell>
        </row>
      </sheetData>
      <sheetData sheetId="3">
        <row r="4">
          <cell r="B4">
            <v>0.30612892989739754</v>
          </cell>
        </row>
      </sheetData>
      <sheetData sheetId="4">
        <row r="9">
          <cell r="K9" t="str">
            <v>Yes</v>
          </cell>
          <cell r="L9">
            <v>2015</v>
          </cell>
        </row>
      </sheetData>
      <sheetData sheetId="5">
        <row r="2">
          <cell r="D2" t="str">
            <v>74.9 MW and 30.6% CF</v>
          </cell>
        </row>
      </sheetData>
      <sheetData sheetId="6"/>
      <sheetData sheetId="7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/>
      <sheetData sheetId="1">
        <row r="4">
          <cell r="N4">
            <v>5.5836284214501042E-3</v>
          </cell>
        </row>
      </sheetData>
      <sheetData sheetId="2"/>
      <sheetData sheetId="3">
        <row r="9">
          <cell r="K9" t="str">
            <v>Yes</v>
          </cell>
          <cell r="L9">
            <v>2038</v>
          </cell>
        </row>
      </sheetData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8">
          <cell r="I8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42">
          <cell r="I42">
            <v>6.5699999999999995E-2</v>
          </cell>
        </row>
      </sheetData>
      <sheetData sheetId="1"/>
      <sheetData sheetId="2"/>
      <sheetData sheetId="3">
        <row r="6">
          <cell r="M6">
            <v>10</v>
          </cell>
        </row>
        <row r="7">
          <cell r="M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R24">
            <v>2021</v>
          </cell>
          <cell r="S24">
            <v>20.028226167030461</v>
          </cell>
          <cell r="T24">
            <v>48.157856158325131</v>
          </cell>
          <cell r="U24">
            <v>17.306795904031915</v>
          </cell>
          <cell r="V24">
            <v>15.730649595357534</v>
          </cell>
        </row>
        <row r="25">
          <cell r="R25">
            <v>2022</v>
          </cell>
          <cell r="S25">
            <v>20.795206782256301</v>
          </cell>
          <cell r="T25">
            <v>38.627400566075565</v>
          </cell>
          <cell r="U25">
            <v>18.823872508729739</v>
          </cell>
          <cell r="V25">
            <v>17.591992136570035</v>
          </cell>
        </row>
        <row r="26">
          <cell r="R26">
            <v>2023</v>
          </cell>
          <cell r="S26">
            <v>18.633509355662941</v>
          </cell>
          <cell r="T26">
            <v>36.667691623832887</v>
          </cell>
          <cell r="U26">
            <v>17.716581236031718</v>
          </cell>
          <cell r="V26">
            <v>19.423489759813346</v>
          </cell>
        </row>
        <row r="27">
          <cell r="R27">
            <v>2024</v>
          </cell>
          <cell r="S27">
            <v>15.962179537698258</v>
          </cell>
          <cell r="T27">
            <v>33.279763066087774</v>
          </cell>
          <cell r="U27">
            <v>14.944655770148602</v>
          </cell>
          <cell r="V27">
            <v>17.967262548513734</v>
          </cell>
        </row>
        <row r="28">
          <cell r="R28">
            <v>2025</v>
          </cell>
          <cell r="S28">
            <v>17.585123426888593</v>
          </cell>
          <cell r="T28">
            <v>36.038538763250273</v>
          </cell>
          <cell r="U28">
            <v>16.729803830225453</v>
          </cell>
          <cell r="V28">
            <v>21.136985547853257</v>
          </cell>
        </row>
        <row r="29">
          <cell r="R29">
            <v>2026</v>
          </cell>
          <cell r="S29">
            <v>27.427985027383745</v>
          </cell>
          <cell r="T29">
            <v>58.151065296639423</v>
          </cell>
          <cell r="U29">
            <v>26.811246566228387</v>
          </cell>
          <cell r="V29">
            <v>32.690962656264574</v>
          </cell>
        </row>
        <row r="30">
          <cell r="R30">
            <v>2027</v>
          </cell>
          <cell r="S30">
            <v>26.166988404571104</v>
          </cell>
          <cell r="T30">
            <v>72.276965067027561</v>
          </cell>
          <cell r="U30">
            <v>25.879469704058636</v>
          </cell>
          <cell r="V30">
            <v>32.948735184039627</v>
          </cell>
        </row>
        <row r="31">
          <cell r="R31">
            <v>2028</v>
          </cell>
          <cell r="S31">
            <v>29.02792972416945</v>
          </cell>
          <cell r="T31">
            <v>75.60215688706954</v>
          </cell>
          <cell r="U31">
            <v>28.838148325039231</v>
          </cell>
          <cell r="V31">
            <v>35.359061883844667</v>
          </cell>
        </row>
        <row r="32">
          <cell r="R32">
            <v>2029</v>
          </cell>
          <cell r="S32">
            <v>29.181585908289271</v>
          </cell>
          <cell r="T32">
            <v>85.511524432898511</v>
          </cell>
          <cell r="U32">
            <v>29.428071641126813</v>
          </cell>
          <cell r="V32">
            <v>37.644643722787762</v>
          </cell>
        </row>
        <row r="33">
          <cell r="R33">
            <v>2030</v>
          </cell>
          <cell r="S33">
            <v>28.724682458476906</v>
          </cell>
          <cell r="T33">
            <v>83.08578826272732</v>
          </cell>
          <cell r="U33">
            <v>29.550949174547799</v>
          </cell>
          <cell r="V33">
            <v>39.023514629809526</v>
          </cell>
        </row>
        <row r="34">
          <cell r="R34">
            <v>2031</v>
          </cell>
          <cell r="S34">
            <v>31.738637924026744</v>
          </cell>
          <cell r="T34">
            <v>79.679870575904999</v>
          </cell>
          <cell r="U34">
            <v>32.721144916700716</v>
          </cell>
          <cell r="V34">
            <v>42.41453889285409</v>
          </cell>
        </row>
        <row r="35">
          <cell r="R35">
            <v>2032</v>
          </cell>
          <cell r="S35">
            <v>33.838856780730481</v>
          </cell>
          <cell r="T35">
            <v>77.592622253047409</v>
          </cell>
          <cell r="U35">
            <v>35.228738307585331</v>
          </cell>
          <cell r="V35">
            <v>44.686060277902449</v>
          </cell>
        </row>
        <row r="36">
          <cell r="R36">
            <v>2033</v>
          </cell>
          <cell r="S36">
            <v>35.300539244289602</v>
          </cell>
          <cell r="T36">
            <v>79.776910286363147</v>
          </cell>
          <cell r="U36">
            <v>36.831269568112923</v>
          </cell>
          <cell r="V36">
            <v>46.557220648642982</v>
          </cell>
        </row>
        <row r="37">
          <cell r="R37">
            <v>2034</v>
          </cell>
          <cell r="S37">
            <v>35.749028585836399</v>
          </cell>
          <cell r="T37">
            <v>82.129854556111752</v>
          </cell>
          <cell r="U37">
            <v>37.815425958151941</v>
          </cell>
          <cell r="V37">
            <v>47.999725443210288</v>
          </cell>
        </row>
        <row r="38">
          <cell r="R38">
            <v>2035</v>
          </cell>
          <cell r="S38">
            <v>35.062605384275138</v>
          </cell>
          <cell r="T38">
            <v>90.708238377902745</v>
          </cell>
          <cell r="U38">
            <v>37.301608111075055</v>
          </cell>
          <cell r="V38">
            <v>49.181924041834485</v>
          </cell>
        </row>
        <row r="39">
          <cell r="R39">
            <v>2036</v>
          </cell>
          <cell r="S39">
            <v>35.934444195508561</v>
          </cell>
          <cell r="T39">
            <v>99.29387418985587</v>
          </cell>
          <cell r="U39">
            <v>38.058130581950898</v>
          </cell>
          <cell r="V39">
            <v>50.286123176958675</v>
          </cell>
        </row>
        <row r="40">
          <cell r="R40">
            <v>2037</v>
          </cell>
          <cell r="S40">
            <v>37.654297285619144</v>
          </cell>
          <cell r="T40">
            <v>96.648811033574219</v>
          </cell>
          <cell r="U40">
            <v>40.311331315452279</v>
          </cell>
          <cell r="V40">
            <v>54.249485685932726</v>
          </cell>
        </row>
        <row r="41">
          <cell r="R41">
            <v>2038</v>
          </cell>
          <cell r="S41">
            <v>37.527112812462732</v>
          </cell>
          <cell r="T41">
            <v>102.77876893398543</v>
          </cell>
          <cell r="U41">
            <v>40.684144495127597</v>
          </cell>
          <cell r="V41">
            <v>54.73444206677943</v>
          </cell>
        </row>
        <row r="42">
          <cell r="R42">
            <v>2039</v>
          </cell>
          <cell r="S42">
            <v>38.403702251424519</v>
          </cell>
          <cell r="T42">
            <v>105.38789985228998</v>
          </cell>
          <cell r="U42">
            <v>41.643369565487497</v>
          </cell>
          <cell r="V42">
            <v>55.848143969083615</v>
          </cell>
        </row>
        <row r="43">
          <cell r="R43">
            <v>2040</v>
          </cell>
          <cell r="S43">
            <v>39.289815012089626</v>
          </cell>
          <cell r="T43">
            <v>107.7544100651784</v>
          </cell>
          <cell r="U43">
            <v>42.59718472935316</v>
          </cell>
          <cell r="V43">
            <v>57.139282250936716</v>
          </cell>
        </row>
        <row r="44">
          <cell r="R44">
            <v>2041</v>
          </cell>
          <cell r="S44">
            <v>40.184474319034202</v>
          </cell>
          <cell r="T44">
            <v>110.28859084135347</v>
          </cell>
          <cell r="U44">
            <v>43.585820553203796</v>
          </cell>
          <cell r="V44">
            <v>58.452034910035451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R24">
            <v>2021</v>
          </cell>
          <cell r="S24">
            <v>15.554616215817514</v>
          </cell>
          <cell r="T24">
            <v>26.786646467001411</v>
          </cell>
          <cell r="U24">
            <v>13.5861713452126</v>
          </cell>
          <cell r="V24">
            <v>9.1965634388546373</v>
          </cell>
        </row>
        <row r="25">
          <cell r="R25">
            <v>2022</v>
          </cell>
          <cell r="S25">
            <v>16.037565690519941</v>
          </cell>
          <cell r="T25">
            <v>24.043501532548603</v>
          </cell>
          <cell r="U25">
            <v>14.430419482786622</v>
          </cell>
          <cell r="V25">
            <v>11.478825806204288</v>
          </cell>
        </row>
        <row r="26">
          <cell r="R26">
            <v>2023</v>
          </cell>
          <cell r="S26">
            <v>14.822418720888267</v>
          </cell>
          <cell r="T26">
            <v>22.725562942161375</v>
          </cell>
          <cell r="U26">
            <v>13.813187563982014</v>
          </cell>
          <cell r="V26">
            <v>12.374503517871329</v>
          </cell>
        </row>
        <row r="27">
          <cell r="R27">
            <v>2024</v>
          </cell>
          <cell r="S27">
            <v>11.041515315355708</v>
          </cell>
          <cell r="T27">
            <v>26.544861503616556</v>
          </cell>
          <cell r="U27">
            <v>10.356414259007288</v>
          </cell>
          <cell r="V27">
            <v>14.504606382592266</v>
          </cell>
        </row>
        <row r="28">
          <cell r="R28">
            <v>2025</v>
          </cell>
          <cell r="S28">
            <v>13.228113575876034</v>
          </cell>
          <cell r="T28">
            <v>25.358103945552656</v>
          </cell>
          <cell r="U28">
            <v>12.930534297694141</v>
          </cell>
          <cell r="V28">
            <v>15.383719932201323</v>
          </cell>
        </row>
        <row r="29">
          <cell r="R29">
            <v>2026</v>
          </cell>
          <cell r="S29">
            <v>12.625904124282295</v>
          </cell>
          <cell r="T29">
            <v>28.378481028580484</v>
          </cell>
          <cell r="U29">
            <v>12.521786067668632</v>
          </cell>
          <cell r="V29">
            <v>15.857662016003745</v>
          </cell>
        </row>
        <row r="30">
          <cell r="R30">
            <v>2027</v>
          </cell>
          <cell r="S30">
            <v>11.122072146244859</v>
          </cell>
          <cell r="T30">
            <v>32.723661184225357</v>
          </cell>
          <cell r="U30">
            <v>11.286032633611462</v>
          </cell>
          <cell r="V30">
            <v>14.938935636370994</v>
          </cell>
        </row>
        <row r="31">
          <cell r="R31">
            <v>2028</v>
          </cell>
          <cell r="S31">
            <v>12.762149343757066</v>
          </cell>
          <cell r="T31">
            <v>35.459234498390046</v>
          </cell>
          <cell r="U31">
            <v>13.056898522994709</v>
          </cell>
          <cell r="V31">
            <v>16.63500034314313</v>
          </cell>
        </row>
        <row r="32">
          <cell r="R32">
            <v>2029</v>
          </cell>
          <cell r="S32">
            <v>12.882075372407213</v>
          </cell>
          <cell r="T32">
            <v>40.153774354320653</v>
          </cell>
          <cell r="U32">
            <v>13.36062385279725</v>
          </cell>
          <cell r="V32">
            <v>17.680069598921854</v>
          </cell>
        </row>
        <row r="33">
          <cell r="R33">
            <v>2030</v>
          </cell>
          <cell r="S33">
            <v>11.834920859207353</v>
          </cell>
          <cell r="T33">
            <v>36.606722540433374</v>
          </cell>
          <cell r="U33">
            <v>12.49838847635656</v>
          </cell>
          <cell r="V33">
            <v>16.863762854772418</v>
          </cell>
        </row>
        <row r="34">
          <cell r="R34">
            <v>2031</v>
          </cell>
          <cell r="S34">
            <v>13.530911726509945</v>
          </cell>
          <cell r="T34">
            <v>36.543544471264298</v>
          </cell>
          <cell r="U34">
            <v>14.481644485389891</v>
          </cell>
          <cell r="V34">
            <v>19.339751470963748</v>
          </cell>
        </row>
        <row r="35">
          <cell r="R35">
            <v>2032</v>
          </cell>
          <cell r="S35">
            <v>15.53557686544714</v>
          </cell>
          <cell r="T35">
            <v>38.489650383527568</v>
          </cell>
          <cell r="U35">
            <v>16.597518284725723</v>
          </cell>
          <cell r="V35">
            <v>22.199166663968931</v>
          </cell>
        </row>
        <row r="36">
          <cell r="R36">
            <v>2033</v>
          </cell>
          <cell r="S36">
            <v>14.972133315042814</v>
          </cell>
          <cell r="T36">
            <v>36.511909507276208</v>
          </cell>
          <cell r="U36">
            <v>15.930730608729455</v>
          </cell>
          <cell r="V36">
            <v>21.127034326317915</v>
          </cell>
        </row>
        <row r="37">
          <cell r="R37">
            <v>2034</v>
          </cell>
          <cell r="S37">
            <v>15.241669194205809</v>
          </cell>
          <cell r="T37">
            <v>37.80138904058294</v>
          </cell>
          <cell r="U37">
            <v>16.605606406019653</v>
          </cell>
          <cell r="V37">
            <v>21.997703800736918</v>
          </cell>
        </row>
        <row r="38">
          <cell r="R38">
            <v>2035</v>
          </cell>
          <cell r="S38">
            <v>14.3490417439226</v>
          </cell>
          <cell r="T38">
            <v>39.963605403330746</v>
          </cell>
          <cell r="U38">
            <v>15.687771303073781</v>
          </cell>
          <cell r="V38">
            <v>21.500563298298069</v>
          </cell>
        </row>
        <row r="39">
          <cell r="R39">
            <v>2036</v>
          </cell>
          <cell r="S39">
            <v>15.192083985626139</v>
          </cell>
          <cell r="T39">
            <v>45.461011274279926</v>
          </cell>
          <cell r="U39">
            <v>16.536947422619683</v>
          </cell>
          <cell r="V39">
            <v>22.760339177431888</v>
          </cell>
        </row>
        <row r="40">
          <cell r="R40">
            <v>2037</v>
          </cell>
          <cell r="S40">
            <v>17.07214553123406</v>
          </cell>
          <cell r="T40">
            <v>47.794593272361958</v>
          </cell>
          <cell r="U40">
            <v>18.781367898755217</v>
          </cell>
          <cell r="V40">
            <v>26.403546042301706</v>
          </cell>
        </row>
        <row r="41">
          <cell r="R41">
            <v>2038</v>
          </cell>
          <cell r="S41">
            <v>16.48576617752164</v>
          </cell>
          <cell r="T41">
            <v>49.0358263726812</v>
          </cell>
          <cell r="U41">
            <v>18.261634588349231</v>
          </cell>
          <cell r="V41">
            <v>25.911675499504888</v>
          </cell>
        </row>
        <row r="42">
          <cell r="R42">
            <v>2039</v>
          </cell>
          <cell r="S42">
            <v>16.873673481677258</v>
          </cell>
          <cell r="T42">
            <v>50.279651650268065</v>
          </cell>
          <cell r="U42">
            <v>18.699853990829631</v>
          </cell>
          <cell r="V42">
            <v>26.263315853593493</v>
          </cell>
        </row>
        <row r="43">
          <cell r="R43">
            <v>2040</v>
          </cell>
          <cell r="S43">
            <v>17.265979266910552</v>
          </cell>
          <cell r="T43">
            <v>51.410605893243734</v>
          </cell>
          <cell r="U43">
            <v>19.117019489201478</v>
          </cell>
          <cell r="V43">
            <v>26.870787505009396</v>
          </cell>
        </row>
        <row r="44">
          <cell r="R44">
            <v>2041</v>
          </cell>
          <cell r="S44">
            <v>17.661634511440674</v>
          </cell>
          <cell r="T44">
            <v>52.638091374957874</v>
          </cell>
          <cell r="U44">
            <v>19.566938319529779</v>
          </cell>
          <cell r="V44">
            <v>27.474739353319592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R24">
            <v>2021</v>
          </cell>
          <cell r="S24">
            <v>15.374145073717086</v>
          </cell>
          <cell r="T24">
            <v>25.855057845354334</v>
          </cell>
          <cell r="U24">
            <v>13.363270580408891</v>
          </cell>
          <cell r="V24">
            <v>9.0155886015841045</v>
          </cell>
        </row>
        <row r="25">
          <cell r="R25">
            <v>2022</v>
          </cell>
          <cell r="S25">
            <v>15.653389036529177</v>
          </cell>
          <cell r="T25">
            <v>23.570221465690313</v>
          </cell>
          <cell r="U25">
            <v>14.188995139754345</v>
          </cell>
          <cell r="V25">
            <v>11.08932681640435</v>
          </cell>
        </row>
        <row r="26">
          <cell r="R26">
            <v>2023</v>
          </cell>
          <cell r="S26">
            <v>14.734421955765651</v>
          </cell>
          <cell r="T26">
            <v>22.351776806045606</v>
          </cell>
          <cell r="U26">
            <v>14.007386222523641</v>
          </cell>
          <cell r="V26">
            <v>12.080886311436224</v>
          </cell>
        </row>
        <row r="27">
          <cell r="R27">
            <v>2024</v>
          </cell>
          <cell r="S27">
            <v>8.5685885034534088</v>
          </cell>
          <cell r="T27">
            <v>20.050221504553015</v>
          </cell>
          <cell r="U27">
            <v>8.0897068814301072</v>
          </cell>
          <cell r="V27">
            <v>11.053977382856479</v>
          </cell>
        </row>
        <row r="28">
          <cell r="R28">
            <v>2025</v>
          </cell>
          <cell r="S28">
            <v>10.669908298989098</v>
          </cell>
          <cell r="T28">
            <v>19.785335636632613</v>
          </cell>
          <cell r="U28">
            <v>10.3335106332304</v>
          </cell>
          <cell r="V28">
            <v>12.107447657506611</v>
          </cell>
        </row>
        <row r="29">
          <cell r="R29">
            <v>2026</v>
          </cell>
          <cell r="S29">
            <v>10.231164022932697</v>
          </cell>
          <cell r="T29">
            <v>22.161326108197557</v>
          </cell>
          <cell r="U29">
            <v>10.08635944536285</v>
          </cell>
          <cell r="V29">
            <v>12.521006557068644</v>
          </cell>
        </row>
        <row r="30">
          <cell r="R30">
            <v>2027</v>
          </cell>
          <cell r="S30">
            <v>9.5043164599822241</v>
          </cell>
          <cell r="T30">
            <v>26.856225861919679</v>
          </cell>
          <cell r="U30">
            <v>9.5842490737029333</v>
          </cell>
          <cell r="V30">
            <v>12.477084697621329</v>
          </cell>
        </row>
        <row r="31">
          <cell r="R31">
            <v>2028</v>
          </cell>
          <cell r="S31">
            <v>11.98988358152185</v>
          </cell>
          <cell r="T31">
            <v>31.835687034139614</v>
          </cell>
          <cell r="U31">
            <v>12.119532384987215</v>
          </cell>
          <cell r="V31">
            <v>15.176230248083364</v>
          </cell>
        </row>
        <row r="32">
          <cell r="R32">
            <v>2029</v>
          </cell>
          <cell r="S32">
            <v>12.093189407151343</v>
          </cell>
          <cell r="T32">
            <v>36.334495213041905</v>
          </cell>
          <cell r="U32">
            <v>12.543295286145545</v>
          </cell>
          <cell r="V32">
            <v>16.18186516982972</v>
          </cell>
        </row>
        <row r="33">
          <cell r="R33">
            <v>2030</v>
          </cell>
          <cell r="S33">
            <v>10.535675494222618</v>
          </cell>
          <cell r="T33">
            <v>31.324025579771209</v>
          </cell>
          <cell r="U33">
            <v>11.013782069558232</v>
          </cell>
          <cell r="V33">
            <v>14.534578585376805</v>
          </cell>
        </row>
        <row r="34">
          <cell r="R34">
            <v>2031</v>
          </cell>
          <cell r="S34">
            <v>11.809598495828958</v>
          </cell>
          <cell r="T34">
            <v>30.431332153442433</v>
          </cell>
          <cell r="U34">
            <v>12.418356520306858</v>
          </cell>
          <cell r="V34">
            <v>16.372543875230715</v>
          </cell>
        </row>
        <row r="35">
          <cell r="R35">
            <v>2032</v>
          </cell>
          <cell r="S35">
            <v>13.418613801732418</v>
          </cell>
          <cell r="T35">
            <v>31.675858043118861</v>
          </cell>
          <cell r="U35">
            <v>14.236592607574957</v>
          </cell>
          <cell r="V35">
            <v>18.590118949308955</v>
          </cell>
        </row>
        <row r="36">
          <cell r="R36">
            <v>2033</v>
          </cell>
          <cell r="S36">
            <v>13.061523447859658</v>
          </cell>
          <cell r="T36">
            <v>30.296355715532268</v>
          </cell>
          <cell r="U36">
            <v>13.795079960019875</v>
          </cell>
          <cell r="V36">
            <v>17.842459347630211</v>
          </cell>
        </row>
        <row r="37">
          <cell r="R37">
            <v>2034</v>
          </cell>
          <cell r="S37">
            <v>13.128574233837307</v>
          </cell>
          <cell r="T37">
            <v>30.9380876115228</v>
          </cell>
          <cell r="U37">
            <v>14.180700216295461</v>
          </cell>
          <cell r="V37">
            <v>18.352899357356378</v>
          </cell>
        </row>
        <row r="38">
          <cell r="R38">
            <v>2035</v>
          </cell>
          <cell r="S38">
            <v>12.727842024798683</v>
          </cell>
          <cell r="T38">
            <v>34.000232824847686</v>
          </cell>
          <cell r="U38">
            <v>13.968575848466664</v>
          </cell>
          <cell r="V38">
            <v>18.606432043656682</v>
          </cell>
        </row>
        <row r="39">
          <cell r="R39">
            <v>2036</v>
          </cell>
          <cell r="S39">
            <v>14.199653981508391</v>
          </cell>
          <cell r="T39">
            <v>40.330494555900643</v>
          </cell>
          <cell r="U39">
            <v>15.304984494087012</v>
          </cell>
          <cell r="V39">
            <v>20.673244043365731</v>
          </cell>
        </row>
        <row r="40">
          <cell r="R40">
            <v>2037</v>
          </cell>
          <cell r="S40">
            <v>16.478479083657952</v>
          </cell>
          <cell r="T40">
            <v>43.788669673035102</v>
          </cell>
          <cell r="U40">
            <v>17.945006037904285</v>
          </cell>
          <cell r="V40">
            <v>24.730222033312536</v>
          </cell>
        </row>
        <row r="41">
          <cell r="R41">
            <v>2038</v>
          </cell>
          <cell r="S41">
            <v>16.176320516766246</v>
          </cell>
          <cell r="T41">
            <v>45.521313604261159</v>
          </cell>
          <cell r="U41">
            <v>17.888182290637761</v>
          </cell>
          <cell r="V41">
            <v>24.823722822186035</v>
          </cell>
        </row>
        <row r="42">
          <cell r="R42">
            <v>2039</v>
          </cell>
          <cell r="S42">
            <v>16.554987468790397</v>
          </cell>
          <cell r="T42">
            <v>46.687827990780534</v>
          </cell>
          <cell r="U42">
            <v>18.297234722345575</v>
          </cell>
          <cell r="V42">
            <v>25.082701586616604</v>
          </cell>
        </row>
        <row r="43">
          <cell r="R43">
            <v>2040</v>
          </cell>
          <cell r="S43">
            <v>16.937667959259535</v>
          </cell>
          <cell r="T43">
            <v>47.734503325775755</v>
          </cell>
          <cell r="U43">
            <v>18.710616243153211</v>
          </cell>
          <cell r="V43">
            <v>25.664524242531588</v>
          </cell>
        </row>
        <row r="44">
          <cell r="R44">
            <v>2041</v>
          </cell>
          <cell r="S44">
            <v>17.324799693505213</v>
          </cell>
          <cell r="T44">
            <v>48.870902357534021</v>
          </cell>
          <cell r="U44">
            <v>19.151441924341079</v>
          </cell>
          <cell r="V44">
            <v>26.228670940182997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SourceEnergy"/>
      <sheetName val="MWH-Split"/>
      <sheetName val="Monthly Levelized"/>
      <sheetName val="Monthly Energy Prices"/>
      <sheetName val="Security"/>
      <sheetName val="SecurityCalc"/>
    </sheetNames>
    <sheetDataSet>
      <sheetData sheetId="0" refreshError="1"/>
      <sheetData sheetId="1">
        <row r="12">
          <cell r="S12" t="str">
            <v>Winter</v>
          </cell>
          <cell r="T12" t="str">
            <v>Summer</v>
          </cell>
          <cell r="U12" t="str">
            <v>Winter</v>
          </cell>
          <cell r="V12" t="str">
            <v>Summer</v>
          </cell>
        </row>
        <row r="20">
          <cell r="R20">
            <v>2017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R21">
            <v>2018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R22">
            <v>2019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R23">
            <v>2020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R24">
            <v>2021</v>
          </cell>
          <cell r="S24">
            <v>19.612734089349011</v>
          </cell>
          <cell r="T24">
            <v>46.655912368945003</v>
          </cell>
          <cell r="U24">
            <v>17.646004900769046</v>
          </cell>
          <cell r="V24">
            <v>15.897179527518182</v>
          </cell>
        </row>
        <row r="25">
          <cell r="R25">
            <v>2022</v>
          </cell>
          <cell r="S25">
            <v>20.148957315003862</v>
          </cell>
          <cell r="T25">
            <v>35.305069458708353</v>
          </cell>
          <cell r="U25">
            <v>18.642617804106681</v>
          </cell>
          <cell r="V25">
            <v>17.994999976503429</v>
          </cell>
        </row>
        <row r="26">
          <cell r="R26">
            <v>2023</v>
          </cell>
          <cell r="S26">
            <v>20.010225323202185</v>
          </cell>
          <cell r="T26">
            <v>52.735884852008368</v>
          </cell>
          <cell r="U26">
            <v>19.211915302879618</v>
          </cell>
          <cell r="V26">
            <v>29.826037513620292</v>
          </cell>
        </row>
        <row r="27">
          <cell r="R27">
            <v>2024</v>
          </cell>
          <cell r="S27">
            <v>22.699463986266245</v>
          </cell>
          <cell r="T27">
            <v>48.510020304381513</v>
          </cell>
          <cell r="U27">
            <v>21.437830543839841</v>
          </cell>
          <cell r="V27">
            <v>28.568424491715511</v>
          </cell>
        </row>
        <row r="28">
          <cell r="R28">
            <v>2025</v>
          </cell>
          <cell r="S28">
            <v>24.503172443785875</v>
          </cell>
          <cell r="T28">
            <v>41.144657702130651</v>
          </cell>
          <cell r="U28">
            <v>23.54029018334743</v>
          </cell>
          <cell r="V28">
            <v>26.834540650320431</v>
          </cell>
        </row>
        <row r="29">
          <cell r="R29">
            <v>2026</v>
          </cell>
          <cell r="S29">
            <v>24.238432053772947</v>
          </cell>
          <cell r="T29">
            <v>48.089661417278819</v>
          </cell>
          <cell r="U29">
            <v>23.974760744909457</v>
          </cell>
          <cell r="V29">
            <v>28.553353439989479</v>
          </cell>
        </row>
        <row r="30">
          <cell r="R30">
            <v>2027</v>
          </cell>
          <cell r="S30">
            <v>22.623658238421388</v>
          </cell>
          <cell r="T30">
            <v>58.901941991527224</v>
          </cell>
          <cell r="U30">
            <v>23.325454983728424</v>
          </cell>
          <cell r="V30">
            <v>28.829062415801221</v>
          </cell>
        </row>
        <row r="31">
          <cell r="R31">
            <v>2028</v>
          </cell>
          <cell r="S31">
            <v>24.428541122404777</v>
          </cell>
          <cell r="T31">
            <v>55.909780701455865</v>
          </cell>
          <cell r="U31">
            <v>24.849972761891781</v>
          </cell>
          <cell r="V31">
            <v>30.340466940714848</v>
          </cell>
        </row>
        <row r="32">
          <cell r="R32">
            <v>2029</v>
          </cell>
          <cell r="S32">
            <v>23.844454414567341</v>
          </cell>
          <cell r="T32">
            <v>62.035355756399305</v>
          </cell>
          <cell r="U32">
            <v>24.618767767866778</v>
          </cell>
          <cell r="V32">
            <v>30.637429839083268</v>
          </cell>
        </row>
        <row r="33">
          <cell r="R33">
            <v>2030</v>
          </cell>
          <cell r="S33">
            <v>24.104320631925258</v>
          </cell>
          <cell r="T33">
            <v>62.159046440312508</v>
          </cell>
          <cell r="U33">
            <v>25.235977293158712</v>
          </cell>
          <cell r="V33">
            <v>32.681032327599937</v>
          </cell>
        </row>
        <row r="34">
          <cell r="R34">
            <v>2031</v>
          </cell>
          <cell r="S34">
            <v>26.007821712632676</v>
          </cell>
          <cell r="T34">
            <v>58.741820326570107</v>
          </cell>
          <cell r="U34">
            <v>27.078014137904475</v>
          </cell>
          <cell r="V34">
            <v>34.476847557651688</v>
          </cell>
        </row>
        <row r="35">
          <cell r="R35">
            <v>2032</v>
          </cell>
          <cell r="S35">
            <v>26.378451802700468</v>
          </cell>
          <cell r="T35">
            <v>57.181169400811648</v>
          </cell>
          <cell r="U35">
            <v>28.686398450512311</v>
          </cell>
          <cell r="V35">
            <v>35.272688046181919</v>
          </cell>
        </row>
        <row r="36">
          <cell r="R36">
            <v>2033</v>
          </cell>
          <cell r="S36">
            <v>48.88263065921641</v>
          </cell>
          <cell r="T36">
            <v>99.875847358515387</v>
          </cell>
          <cell r="U36">
            <v>52.630156239551106</v>
          </cell>
          <cell r="V36">
            <v>65.704399677012447</v>
          </cell>
        </row>
        <row r="37">
          <cell r="R37">
            <v>2034</v>
          </cell>
          <cell r="S37">
            <v>49.976025591206621</v>
          </cell>
          <cell r="T37">
            <v>101.4343760091067</v>
          </cell>
          <cell r="U37">
            <v>54.305632574268294</v>
          </cell>
          <cell r="V37">
            <v>68.289664891970091</v>
          </cell>
        </row>
        <row r="38">
          <cell r="R38">
            <v>2035</v>
          </cell>
          <cell r="S38">
            <v>49.194681886857715</v>
          </cell>
          <cell r="T38">
            <v>114.96523800399918</v>
          </cell>
          <cell r="U38">
            <v>53.867297853761592</v>
          </cell>
          <cell r="V38">
            <v>68.944805827388635</v>
          </cell>
        </row>
        <row r="39">
          <cell r="R39">
            <v>2036</v>
          </cell>
          <cell r="S39">
            <v>50.007553754091411</v>
          </cell>
          <cell r="T39">
            <v>123.46598628249727</v>
          </cell>
          <cell r="U39">
            <v>53.292102230288869</v>
          </cell>
          <cell r="V39">
            <v>68.847753170032064</v>
          </cell>
        </row>
        <row r="40">
          <cell r="R40">
            <v>2037</v>
          </cell>
          <cell r="S40">
            <v>51.199339705605858</v>
          </cell>
          <cell r="T40">
            <v>121.13648846532838</v>
          </cell>
          <cell r="U40">
            <v>55.85642731368052</v>
          </cell>
          <cell r="V40">
            <v>71.76215403744385</v>
          </cell>
        </row>
        <row r="41">
          <cell r="R41">
            <v>2038</v>
          </cell>
          <cell r="S41">
            <v>50.781783333265231</v>
          </cell>
          <cell r="T41">
            <v>130.23596310405057</v>
          </cell>
          <cell r="U41">
            <v>57.541211885926543</v>
          </cell>
          <cell r="V41">
            <v>73.941856836376118</v>
          </cell>
        </row>
        <row r="42">
          <cell r="R42">
            <v>2039</v>
          </cell>
          <cell r="S42">
            <v>52.535965529361434</v>
          </cell>
          <cell r="T42">
            <v>130.60882329799279</v>
          </cell>
          <cell r="U42">
            <v>58.484460525863632</v>
          </cell>
          <cell r="V42">
            <v>75.845195102630441</v>
          </cell>
        </row>
        <row r="43">
          <cell r="R43">
            <v>2040</v>
          </cell>
          <cell r="S43">
            <v>53.681000317105337</v>
          </cell>
          <cell r="T43">
            <v>133.62982812318336</v>
          </cell>
          <cell r="U43">
            <v>59.89870916478057</v>
          </cell>
          <cell r="V43">
            <v>77.634666368217196</v>
          </cell>
        </row>
        <row r="44">
          <cell r="R44">
            <v>2041</v>
          </cell>
          <cell r="S44">
            <v>55.110004985986734</v>
          </cell>
          <cell r="T44">
            <v>136.78375088368941</v>
          </cell>
          <cell r="U44">
            <v>61.401565357361967</v>
          </cell>
          <cell r="V44">
            <v>79.688948696084424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B"/>
      <sheetName val="Table 1 Portfolio"/>
      <sheetName val="Table 2 QF Queue"/>
      <sheetName val="Table 3 Comparison"/>
      <sheetName val="Table 4 Gas Price"/>
      <sheetName val=" Table 5 Electric Price"/>
      <sheetName val="Table 6 Integration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1"/>
  <sheetViews>
    <sheetView tabSelected="1" view="pageBreakPreview" topLeftCell="C5" zoomScale="80" zoomScaleNormal="80" zoomScaleSheetLayoutView="80" workbookViewId="0">
      <selection activeCell="D5" sqref="D5"/>
    </sheetView>
  </sheetViews>
  <sheetFormatPr defaultColWidth="9.33203125" defaultRowHeight="12.75" x14ac:dyDescent="0.2"/>
  <cols>
    <col min="1" max="1" width="9.33203125" style="48"/>
    <col min="2" max="2" width="54.1640625" style="48" customWidth="1"/>
    <col min="3" max="3" width="10.5" style="48" bestFit="1" customWidth="1"/>
    <col min="4" max="4" width="9.5" style="48" bestFit="1" customWidth="1"/>
    <col min="5" max="5" width="10.5" style="48" bestFit="1" customWidth="1"/>
    <col min="6" max="6" width="9.83203125" style="48" bestFit="1" customWidth="1"/>
    <col min="7" max="7" width="10.5" style="48" bestFit="1" customWidth="1"/>
    <col min="8" max="8" width="10.6640625" style="48" customWidth="1"/>
    <col min="9" max="11" width="9.5" style="48" bestFit="1" customWidth="1"/>
    <col min="12" max="12" width="10.5" style="48" bestFit="1" customWidth="1"/>
    <col min="13" max="13" width="11.33203125" style="48" customWidth="1"/>
    <col min="14" max="14" width="11" style="48" bestFit="1" customWidth="1"/>
    <col min="15" max="20" width="10.5" style="48" bestFit="1" customWidth="1"/>
    <col min="21" max="21" width="11.83203125" style="48" bestFit="1" customWidth="1"/>
    <col min="22" max="24" width="10.5" style="48" customWidth="1"/>
    <col min="25" max="16384" width="9.33203125" style="48"/>
  </cols>
  <sheetData>
    <row r="1" spans="1:24" ht="15.75" x14ac:dyDescent="0.2">
      <c r="B1" s="349" t="s">
        <v>14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4" ht="18.75" x14ac:dyDescent="0.3">
      <c r="A2" s="253"/>
      <c r="B2" s="350" t="s">
        <v>211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63"/>
      <c r="X2" s="63"/>
    </row>
    <row r="3" spans="1:24" ht="18.75" x14ac:dyDescent="0.2">
      <c r="A3" s="254"/>
      <c r="B3" s="350" t="s">
        <v>240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255"/>
      <c r="X3" s="255"/>
    </row>
    <row r="4" spans="1:24" ht="31.5" x14ac:dyDescent="0.25">
      <c r="A4" s="256"/>
      <c r="B4" s="257"/>
      <c r="C4" s="300" t="s">
        <v>36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58" t="s">
        <v>45</v>
      </c>
      <c r="X4" s="259"/>
    </row>
    <row r="5" spans="1:24" ht="15.75" x14ac:dyDescent="0.25">
      <c r="A5" s="260"/>
      <c r="B5" s="301" t="s">
        <v>37</v>
      </c>
      <c r="C5" s="302">
        <v>2019</v>
      </c>
      <c r="D5" s="303">
        <v>2020</v>
      </c>
      <c r="E5" s="303">
        <v>2021</v>
      </c>
      <c r="F5" s="303">
        <v>2022</v>
      </c>
      <c r="G5" s="303">
        <v>2023</v>
      </c>
      <c r="H5" s="303">
        <v>2024</v>
      </c>
      <c r="I5" s="303">
        <v>2025</v>
      </c>
      <c r="J5" s="303">
        <v>2026</v>
      </c>
      <c r="K5" s="303">
        <v>2027</v>
      </c>
      <c r="L5" s="303">
        <v>2028</v>
      </c>
      <c r="M5" s="303">
        <v>2029</v>
      </c>
      <c r="N5" s="303">
        <v>2030</v>
      </c>
      <c r="O5" s="303">
        <v>2031</v>
      </c>
      <c r="P5" s="303">
        <v>2032</v>
      </c>
      <c r="Q5" s="303">
        <v>2033</v>
      </c>
      <c r="R5" s="303">
        <v>2034</v>
      </c>
      <c r="S5" s="303">
        <v>2035</v>
      </c>
      <c r="T5" s="303">
        <v>2036</v>
      </c>
      <c r="U5" s="303">
        <v>2037</v>
      </c>
      <c r="V5" s="303">
        <v>2038</v>
      </c>
      <c r="W5" s="261" t="s">
        <v>46</v>
      </c>
      <c r="X5" s="261" t="s">
        <v>47</v>
      </c>
    </row>
    <row r="6" spans="1:24" x14ac:dyDescent="0.2">
      <c r="A6" s="262" t="s">
        <v>38</v>
      </c>
      <c r="B6" s="263" t="s">
        <v>135</v>
      </c>
      <c r="C6" s="264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6"/>
      <c r="W6" s="264"/>
      <c r="X6" s="266"/>
    </row>
    <row r="7" spans="1:24" ht="15.75" x14ac:dyDescent="0.25">
      <c r="A7" s="267"/>
      <c r="B7" s="268" t="s">
        <v>92</v>
      </c>
      <c r="C7" s="269">
        <v>0</v>
      </c>
      <c r="D7" s="269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-82.3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0</v>
      </c>
      <c r="U7" s="269">
        <v>0</v>
      </c>
      <c r="V7" s="269">
        <v>0</v>
      </c>
      <c r="W7" s="269">
        <v>-82.3</v>
      </c>
      <c r="X7" s="269">
        <v>-82.3</v>
      </c>
    </row>
    <row r="8" spans="1:24" ht="15.75" x14ac:dyDescent="0.25">
      <c r="A8" s="267"/>
      <c r="B8" s="268" t="s">
        <v>136</v>
      </c>
      <c r="C8" s="269">
        <v>0</v>
      </c>
      <c r="D8" s="269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-81.5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-81.5</v>
      </c>
      <c r="X8" s="269">
        <v>-81.5</v>
      </c>
    </row>
    <row r="9" spans="1:24" ht="15.75" x14ac:dyDescent="0.25">
      <c r="A9" s="267"/>
      <c r="B9" s="268" t="s">
        <v>75</v>
      </c>
      <c r="C9" s="269">
        <v>0</v>
      </c>
      <c r="D9" s="269">
        <v>0</v>
      </c>
      <c r="E9" s="269">
        <v>0</v>
      </c>
      <c r="F9" s="269">
        <v>0</v>
      </c>
      <c r="G9" s="269">
        <v>0</v>
      </c>
      <c r="H9" s="269">
        <v>0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-43.9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-43.9</v>
      </c>
    </row>
    <row r="10" spans="1:24" ht="15.75" x14ac:dyDescent="0.25">
      <c r="A10" s="267"/>
      <c r="B10" s="268" t="s">
        <v>76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-32.700000000000003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69">
        <v>-32.700000000000003</v>
      </c>
    </row>
    <row r="11" spans="1:24" ht="15.75" x14ac:dyDescent="0.25">
      <c r="A11" s="267"/>
      <c r="B11" s="268" t="s">
        <v>137</v>
      </c>
      <c r="C11" s="269">
        <v>0</v>
      </c>
      <c r="D11" s="269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-459</v>
      </c>
      <c r="V11" s="269">
        <v>0</v>
      </c>
      <c r="W11" s="269">
        <v>0</v>
      </c>
      <c r="X11" s="269">
        <v>-459</v>
      </c>
    </row>
    <row r="12" spans="1:24" ht="15.75" x14ac:dyDescent="0.25">
      <c r="A12" s="267"/>
      <c r="B12" s="268" t="s">
        <v>138</v>
      </c>
      <c r="C12" s="269">
        <v>0</v>
      </c>
      <c r="D12" s="269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-450</v>
      </c>
      <c r="V12" s="269">
        <v>0</v>
      </c>
      <c r="W12" s="269">
        <v>0</v>
      </c>
      <c r="X12" s="269">
        <v>-450</v>
      </c>
    </row>
    <row r="13" spans="1:24" ht="15.75" x14ac:dyDescent="0.25">
      <c r="A13" s="267"/>
      <c r="B13" s="268" t="s">
        <v>139</v>
      </c>
      <c r="C13" s="269">
        <v>0</v>
      </c>
      <c r="D13" s="269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-74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69">
        <v>-74</v>
      </c>
      <c r="X13" s="269">
        <v>-74</v>
      </c>
    </row>
    <row r="14" spans="1:24" ht="15.75" x14ac:dyDescent="0.25">
      <c r="A14" s="267"/>
      <c r="B14" s="268" t="s">
        <v>140</v>
      </c>
      <c r="C14" s="269">
        <v>0</v>
      </c>
      <c r="D14" s="269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-74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-74</v>
      </c>
      <c r="X14" s="269">
        <v>-74</v>
      </c>
    </row>
    <row r="15" spans="1:24" ht="15.75" x14ac:dyDescent="0.25">
      <c r="A15" s="267"/>
      <c r="B15" s="268" t="s">
        <v>77</v>
      </c>
      <c r="C15" s="269">
        <v>0</v>
      </c>
      <c r="D15" s="269">
        <v>0</v>
      </c>
      <c r="E15" s="269">
        <v>-387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-387</v>
      </c>
      <c r="X15" s="269">
        <v>-387</v>
      </c>
    </row>
    <row r="16" spans="1:24" ht="15.75" x14ac:dyDescent="0.25">
      <c r="A16" s="267"/>
      <c r="B16" s="268" t="s">
        <v>78</v>
      </c>
      <c r="C16" s="269">
        <v>0</v>
      </c>
      <c r="D16" s="269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-99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-99</v>
      </c>
      <c r="X16" s="269">
        <v>-99</v>
      </c>
    </row>
    <row r="17" spans="1:24" ht="15.75" x14ac:dyDescent="0.25">
      <c r="A17" s="267"/>
      <c r="B17" s="268" t="s">
        <v>79</v>
      </c>
      <c r="C17" s="269">
        <v>0</v>
      </c>
      <c r="D17" s="269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269">
        <v>0</v>
      </c>
      <c r="L17" s="269">
        <v>-106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-106</v>
      </c>
      <c r="X17" s="269">
        <v>-106</v>
      </c>
    </row>
    <row r="18" spans="1:24" ht="15.75" x14ac:dyDescent="0.25">
      <c r="A18" s="267"/>
      <c r="B18" s="268" t="s">
        <v>80</v>
      </c>
      <c r="C18" s="269">
        <v>0</v>
      </c>
      <c r="D18" s="269">
        <v>0</v>
      </c>
      <c r="E18" s="269">
        <v>0</v>
      </c>
      <c r="F18" s="269">
        <v>0</v>
      </c>
      <c r="G18" s="269">
        <v>0</v>
      </c>
      <c r="H18" s="269">
        <v>0</v>
      </c>
      <c r="I18" s="269">
        <v>0</v>
      </c>
      <c r="J18" s="269">
        <v>0</v>
      </c>
      <c r="K18" s="269">
        <v>0</v>
      </c>
      <c r="L18" s="269">
        <v>-220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269">
        <v>0</v>
      </c>
      <c r="W18" s="269">
        <v>-220</v>
      </c>
      <c r="X18" s="269">
        <v>-220</v>
      </c>
    </row>
    <row r="19" spans="1:24" ht="15.75" x14ac:dyDescent="0.25">
      <c r="A19" s="267"/>
      <c r="B19" s="268" t="s">
        <v>81</v>
      </c>
      <c r="C19" s="269">
        <v>0</v>
      </c>
      <c r="D19" s="269">
        <v>0</v>
      </c>
      <c r="E19" s="269">
        <v>0</v>
      </c>
      <c r="F19" s="269">
        <v>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-330</v>
      </c>
      <c r="M19" s="269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269">
        <v>0</v>
      </c>
      <c r="W19" s="269">
        <v>-330</v>
      </c>
      <c r="X19" s="269">
        <v>-330</v>
      </c>
    </row>
    <row r="20" spans="1:24" ht="15.75" x14ac:dyDescent="0.25">
      <c r="A20" s="267"/>
      <c r="B20" s="268" t="s">
        <v>141</v>
      </c>
      <c r="C20" s="269">
        <v>0</v>
      </c>
      <c r="D20" s="269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-156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-156</v>
      </c>
      <c r="X20" s="269">
        <v>-156</v>
      </c>
    </row>
    <row r="21" spans="1:24" ht="15.75" x14ac:dyDescent="0.25">
      <c r="A21" s="267"/>
      <c r="B21" s="268" t="s">
        <v>142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-201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69">
        <v>-201</v>
      </c>
      <c r="X21" s="269">
        <v>-201</v>
      </c>
    </row>
    <row r="22" spans="1:24" ht="15.75" x14ac:dyDescent="0.25">
      <c r="A22" s="267"/>
      <c r="B22" s="268" t="s">
        <v>82</v>
      </c>
      <c r="C22" s="269">
        <v>0</v>
      </c>
      <c r="D22" s="269">
        <v>-280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-280</v>
      </c>
      <c r="X22" s="269">
        <v>-280</v>
      </c>
    </row>
    <row r="23" spans="1:24" ht="15.75" x14ac:dyDescent="0.25">
      <c r="A23" s="267"/>
      <c r="B23" s="268" t="s">
        <v>83</v>
      </c>
      <c r="C23" s="270">
        <v>0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0</v>
      </c>
      <c r="Q23" s="270">
        <v>-356.30000000000007</v>
      </c>
      <c r="R23" s="270">
        <v>0</v>
      </c>
      <c r="S23" s="270">
        <v>0</v>
      </c>
      <c r="T23" s="270">
        <v>0</v>
      </c>
      <c r="U23" s="270">
        <v>0</v>
      </c>
      <c r="V23" s="270">
        <v>0</v>
      </c>
      <c r="W23" s="269">
        <v>0</v>
      </c>
      <c r="X23" s="269">
        <v>-356.30000000000007</v>
      </c>
    </row>
    <row r="24" spans="1:24" ht="15.75" x14ac:dyDescent="0.25">
      <c r="A24" s="267"/>
      <c r="B24" s="268" t="s">
        <v>143</v>
      </c>
      <c r="C24" s="269">
        <v>0</v>
      </c>
      <c r="D24" s="269">
        <v>0</v>
      </c>
      <c r="E24" s="269">
        <v>0</v>
      </c>
      <c r="F24" s="269">
        <v>0</v>
      </c>
      <c r="G24" s="269">
        <v>0</v>
      </c>
      <c r="H24" s="269">
        <v>-20.28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  <c r="W24" s="269">
        <v>-20.28</v>
      </c>
      <c r="X24" s="269">
        <v>-20.28</v>
      </c>
    </row>
    <row r="25" spans="1:24" ht="15.75" x14ac:dyDescent="0.25">
      <c r="A25" s="267"/>
      <c r="B25" s="268" t="s">
        <v>144</v>
      </c>
      <c r="C25" s="269">
        <v>0</v>
      </c>
      <c r="D25" s="269">
        <v>0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-40.200000000000003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  <c r="W25" s="269">
        <v>0</v>
      </c>
      <c r="X25" s="269">
        <v>-40.200000000000003</v>
      </c>
    </row>
    <row r="26" spans="1:24" ht="15.75" x14ac:dyDescent="0.25">
      <c r="A26" s="267"/>
      <c r="B26" s="268" t="s">
        <v>145</v>
      </c>
      <c r="C26" s="269">
        <v>0</v>
      </c>
      <c r="D26" s="269">
        <v>-26.55</v>
      </c>
      <c r="E26" s="269">
        <v>-16.8</v>
      </c>
      <c r="F26" s="269">
        <v>-49</v>
      </c>
      <c r="G26" s="269">
        <v>-0.2</v>
      </c>
      <c r="H26" s="269">
        <v>0</v>
      </c>
      <c r="I26" s="269">
        <v>0</v>
      </c>
      <c r="J26" s="269">
        <v>-64.5</v>
      </c>
      <c r="K26" s="269">
        <v>-3</v>
      </c>
      <c r="L26" s="269">
        <v>0</v>
      </c>
      <c r="M26" s="269">
        <v>-18.899999999999999</v>
      </c>
      <c r="N26" s="269">
        <v>-99</v>
      </c>
      <c r="O26" s="269">
        <v>-200.2</v>
      </c>
      <c r="P26" s="269">
        <v>-45</v>
      </c>
      <c r="Q26" s="269">
        <v>-180.9</v>
      </c>
      <c r="R26" s="269">
        <v>-80</v>
      </c>
      <c r="S26" s="269">
        <v>0</v>
      </c>
      <c r="T26" s="269">
        <v>-60</v>
      </c>
      <c r="U26" s="269">
        <v>-80</v>
      </c>
      <c r="V26" s="269">
        <v>0</v>
      </c>
      <c r="W26" s="269">
        <v>-160.05000000000001</v>
      </c>
      <c r="X26" s="269">
        <v>-924.05000000000007</v>
      </c>
    </row>
    <row r="27" spans="1:24" ht="15.75" x14ac:dyDescent="0.25">
      <c r="A27" s="267"/>
      <c r="B27" s="268" t="s">
        <v>146</v>
      </c>
      <c r="C27" s="269">
        <v>0</v>
      </c>
      <c r="D27" s="269">
        <v>0</v>
      </c>
      <c r="E27" s="269">
        <v>0</v>
      </c>
      <c r="F27" s="269">
        <v>0</v>
      </c>
      <c r="G27" s="269">
        <v>-0.5</v>
      </c>
      <c r="H27" s="269">
        <v>-0.52</v>
      </c>
      <c r="I27" s="269">
        <v>0</v>
      </c>
      <c r="J27" s="269">
        <v>0</v>
      </c>
      <c r="K27" s="269">
        <v>0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0</v>
      </c>
      <c r="R27" s="269">
        <v>0</v>
      </c>
      <c r="S27" s="269">
        <v>-35.1</v>
      </c>
      <c r="T27" s="269">
        <v>-94.100000000000009</v>
      </c>
      <c r="U27" s="269">
        <v>-849</v>
      </c>
      <c r="V27" s="269">
        <v>0</v>
      </c>
      <c r="W27" s="269">
        <v>-1.02</v>
      </c>
      <c r="X27" s="269">
        <v>-979.22</v>
      </c>
    </row>
    <row r="28" spans="1:24" ht="15.75" x14ac:dyDescent="0.25">
      <c r="A28" s="267"/>
      <c r="B28" s="268" t="s">
        <v>147</v>
      </c>
      <c r="C28" s="269">
        <v>0</v>
      </c>
      <c r="D28" s="269">
        <v>0</v>
      </c>
      <c r="E28" s="269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-0.90700000000000003</v>
      </c>
      <c r="S28" s="269">
        <v>0</v>
      </c>
      <c r="T28" s="269">
        <v>0</v>
      </c>
      <c r="U28" s="269">
        <v>0</v>
      </c>
      <c r="V28" s="269">
        <v>-32.1</v>
      </c>
      <c r="W28" s="269">
        <v>0</v>
      </c>
      <c r="X28" s="269">
        <v>-33.007000000000005</v>
      </c>
    </row>
    <row r="29" spans="1:24" ht="15.75" x14ac:dyDescent="0.25">
      <c r="A29" s="271"/>
      <c r="B29" s="272" t="s">
        <v>148</v>
      </c>
      <c r="C29" s="270">
        <v>0</v>
      </c>
      <c r="D29" s="270">
        <v>247</v>
      </c>
      <c r="E29" s="270">
        <v>0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270">
        <v>0</v>
      </c>
      <c r="L29" s="270">
        <v>0</v>
      </c>
      <c r="M29" s="270">
        <v>0</v>
      </c>
      <c r="N29" s="270">
        <v>-247</v>
      </c>
      <c r="O29" s="270">
        <v>0</v>
      </c>
      <c r="P29" s="270">
        <v>0</v>
      </c>
      <c r="Q29" s="270">
        <v>0</v>
      </c>
      <c r="R29" s="270">
        <v>0</v>
      </c>
      <c r="S29" s="270">
        <v>0</v>
      </c>
      <c r="T29" s="270">
        <v>0</v>
      </c>
      <c r="U29" s="270">
        <v>0</v>
      </c>
      <c r="V29" s="270">
        <v>0</v>
      </c>
      <c r="W29" s="269">
        <v>247</v>
      </c>
      <c r="X29" s="269">
        <v>0</v>
      </c>
    </row>
    <row r="30" spans="1:24" x14ac:dyDescent="0.2">
      <c r="A30" s="267" t="s">
        <v>38</v>
      </c>
      <c r="B30" s="263" t="s">
        <v>40</v>
      </c>
      <c r="C30" s="264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  <c r="W30" s="273"/>
      <c r="X30" s="274"/>
    </row>
    <row r="31" spans="1:24" ht="16.5" thickBot="1" x14ac:dyDescent="0.3">
      <c r="A31" s="271"/>
      <c r="B31" s="275" t="s">
        <v>149</v>
      </c>
      <c r="C31" s="270">
        <v>0</v>
      </c>
      <c r="D31" s="270">
        <v>0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270">
        <v>0</v>
      </c>
      <c r="K31" s="270">
        <v>0</v>
      </c>
      <c r="L31" s="270">
        <v>0</v>
      </c>
      <c r="M31" s="270">
        <v>0</v>
      </c>
      <c r="N31" s="270">
        <v>0</v>
      </c>
      <c r="O31" s="270">
        <v>0</v>
      </c>
      <c r="P31" s="270">
        <v>0</v>
      </c>
      <c r="Q31" s="270">
        <v>0</v>
      </c>
      <c r="R31" s="270">
        <v>0</v>
      </c>
      <c r="S31" s="270">
        <v>0</v>
      </c>
      <c r="T31" s="270">
        <v>0</v>
      </c>
      <c r="U31" s="270">
        <v>505.2</v>
      </c>
      <c r="V31" s="270">
        <v>0</v>
      </c>
      <c r="W31" s="269">
        <v>0</v>
      </c>
      <c r="X31" s="269">
        <v>505.2</v>
      </c>
    </row>
    <row r="32" spans="1:24" ht="16.5" thickBot="1" x14ac:dyDescent="0.3">
      <c r="A32" s="271"/>
      <c r="B32" s="276" t="s">
        <v>150</v>
      </c>
      <c r="C32" s="277">
        <v>0</v>
      </c>
      <c r="D32" s="277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0</v>
      </c>
      <c r="S32" s="277">
        <v>0</v>
      </c>
      <c r="T32" s="277">
        <v>0</v>
      </c>
      <c r="U32" s="277">
        <v>505.2</v>
      </c>
      <c r="V32" s="277">
        <v>0</v>
      </c>
      <c r="W32" s="277">
        <v>0</v>
      </c>
      <c r="X32" s="277">
        <v>505.2</v>
      </c>
    </row>
    <row r="33" spans="1:24" ht="15.75" x14ac:dyDescent="0.25">
      <c r="A33" s="271"/>
      <c r="B33" s="275" t="s">
        <v>151</v>
      </c>
      <c r="C33" s="270">
        <v>0</v>
      </c>
      <c r="D33" s="270">
        <v>0</v>
      </c>
      <c r="E33" s="270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184.9</v>
      </c>
      <c r="K33" s="270">
        <v>0</v>
      </c>
      <c r="L33" s="270">
        <v>0</v>
      </c>
      <c r="M33" s="270">
        <v>0</v>
      </c>
      <c r="N33" s="270">
        <v>369.8</v>
      </c>
      <c r="O33" s="270">
        <v>0</v>
      </c>
      <c r="P33" s="270">
        <v>0</v>
      </c>
      <c r="Q33" s="270">
        <v>0</v>
      </c>
      <c r="R33" s="270">
        <v>0</v>
      </c>
      <c r="S33" s="270">
        <v>0</v>
      </c>
      <c r="T33" s="270">
        <v>0</v>
      </c>
      <c r="U33" s="270">
        <v>0</v>
      </c>
      <c r="V33" s="270">
        <v>0</v>
      </c>
      <c r="W33" s="269">
        <v>184.9</v>
      </c>
      <c r="X33" s="269">
        <v>554.70000000000005</v>
      </c>
    </row>
    <row r="34" spans="1:24" ht="16.5" thickBot="1" x14ac:dyDescent="0.3">
      <c r="A34" s="271"/>
      <c r="B34" s="275" t="s">
        <v>152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70">
        <v>0</v>
      </c>
      <c r="M34" s="270">
        <v>0</v>
      </c>
      <c r="N34" s="270">
        <v>0</v>
      </c>
      <c r="O34" s="270">
        <v>0</v>
      </c>
      <c r="P34" s="270">
        <v>0</v>
      </c>
      <c r="Q34" s="270">
        <v>0</v>
      </c>
      <c r="R34" s="270">
        <v>0</v>
      </c>
      <c r="S34" s="270">
        <v>0</v>
      </c>
      <c r="T34" s="270">
        <v>0</v>
      </c>
      <c r="U34" s="270">
        <v>369.8</v>
      </c>
      <c r="V34" s="270">
        <v>0</v>
      </c>
      <c r="W34" s="269">
        <v>0</v>
      </c>
      <c r="X34" s="269">
        <v>369.8</v>
      </c>
    </row>
    <row r="35" spans="1:24" ht="16.5" thickBot="1" x14ac:dyDescent="0.3">
      <c r="A35" s="271"/>
      <c r="B35" s="276" t="s">
        <v>153</v>
      </c>
      <c r="C35" s="277">
        <v>0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184.9</v>
      </c>
      <c r="K35" s="277">
        <v>0</v>
      </c>
      <c r="L35" s="277">
        <v>0</v>
      </c>
      <c r="M35" s="277">
        <v>0</v>
      </c>
      <c r="N35" s="277">
        <v>369.8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369.8</v>
      </c>
      <c r="V35" s="277">
        <v>0</v>
      </c>
      <c r="W35" s="277">
        <v>184.9</v>
      </c>
      <c r="X35" s="277">
        <v>924.5</v>
      </c>
    </row>
    <row r="36" spans="1:24" ht="15.75" x14ac:dyDescent="0.25">
      <c r="A36" s="271"/>
      <c r="B36" s="275" t="s">
        <v>93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  <c r="N36" s="270">
        <v>1039.5999999999999</v>
      </c>
      <c r="O36" s="270">
        <v>0</v>
      </c>
      <c r="P36" s="270">
        <v>0</v>
      </c>
      <c r="Q36" s="270">
        <v>0</v>
      </c>
      <c r="R36" s="270">
        <v>0</v>
      </c>
      <c r="S36" s="270">
        <v>0</v>
      </c>
      <c r="T36" s="270">
        <v>0</v>
      </c>
      <c r="U36" s="270">
        <v>0</v>
      </c>
      <c r="V36" s="270">
        <v>0</v>
      </c>
      <c r="W36" s="269">
        <v>0</v>
      </c>
      <c r="X36" s="269">
        <v>1039.5999999999999</v>
      </c>
    </row>
    <row r="37" spans="1:24" ht="15.75" x14ac:dyDescent="0.25">
      <c r="A37" s="271"/>
      <c r="B37" s="275" t="s">
        <v>131</v>
      </c>
      <c r="C37" s="270">
        <v>0</v>
      </c>
      <c r="D37" s="270">
        <v>0</v>
      </c>
      <c r="E37" s="270">
        <v>0</v>
      </c>
      <c r="F37" s="270">
        <v>0</v>
      </c>
      <c r="G37" s="270">
        <v>69.2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  <c r="O37" s="270">
        <v>0</v>
      </c>
      <c r="P37" s="270">
        <v>0</v>
      </c>
      <c r="Q37" s="270">
        <v>0</v>
      </c>
      <c r="R37" s="270">
        <v>0</v>
      </c>
      <c r="S37" s="270">
        <v>0</v>
      </c>
      <c r="T37" s="270">
        <v>0</v>
      </c>
      <c r="U37" s="270">
        <v>0</v>
      </c>
      <c r="V37" s="270">
        <v>0</v>
      </c>
      <c r="W37" s="269">
        <v>69.2</v>
      </c>
      <c r="X37" s="269">
        <v>69.2</v>
      </c>
    </row>
    <row r="38" spans="1:24" ht="15.75" x14ac:dyDescent="0.25">
      <c r="A38" s="271"/>
      <c r="B38" s="275" t="s">
        <v>154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  <c r="H38" s="270">
        <v>1920</v>
      </c>
      <c r="I38" s="270">
        <v>0</v>
      </c>
      <c r="J38" s="270">
        <v>0</v>
      </c>
      <c r="K38" s="270">
        <v>0</v>
      </c>
      <c r="L38" s="270">
        <v>0</v>
      </c>
      <c r="M38" s="270">
        <v>0</v>
      </c>
      <c r="N38" s="270">
        <v>0</v>
      </c>
      <c r="O38" s="270">
        <v>0</v>
      </c>
      <c r="P38" s="270">
        <v>0</v>
      </c>
      <c r="Q38" s="270">
        <v>0</v>
      </c>
      <c r="R38" s="270">
        <v>0</v>
      </c>
      <c r="S38" s="270">
        <v>0</v>
      </c>
      <c r="T38" s="270">
        <v>0</v>
      </c>
      <c r="U38" s="270">
        <v>0</v>
      </c>
      <c r="V38" s="270">
        <v>0</v>
      </c>
      <c r="W38" s="269">
        <v>1920</v>
      </c>
      <c r="X38" s="269">
        <v>1920</v>
      </c>
    </row>
    <row r="39" spans="1:24" ht="16.5" thickBot="1" x14ac:dyDescent="0.3">
      <c r="A39" s="271"/>
      <c r="B39" s="275" t="s">
        <v>155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70">
        <v>0</v>
      </c>
      <c r="N39" s="270">
        <v>0</v>
      </c>
      <c r="O39" s="270">
        <v>0</v>
      </c>
      <c r="P39" s="270">
        <v>60.4</v>
      </c>
      <c r="Q39" s="270">
        <v>0</v>
      </c>
      <c r="R39" s="270">
        <v>0</v>
      </c>
      <c r="S39" s="270">
        <v>0</v>
      </c>
      <c r="T39" s="270">
        <v>0</v>
      </c>
      <c r="U39" s="270">
        <v>0</v>
      </c>
      <c r="V39" s="270">
        <v>0</v>
      </c>
      <c r="W39" s="269">
        <v>0</v>
      </c>
      <c r="X39" s="269">
        <v>60.4</v>
      </c>
    </row>
    <row r="40" spans="1:24" ht="16.5" thickBot="1" x14ac:dyDescent="0.3">
      <c r="A40" s="271"/>
      <c r="B40" s="276" t="s">
        <v>94</v>
      </c>
      <c r="C40" s="277">
        <v>0</v>
      </c>
      <c r="D40" s="277">
        <v>0</v>
      </c>
      <c r="E40" s="277">
        <v>0</v>
      </c>
      <c r="F40" s="277">
        <v>0</v>
      </c>
      <c r="G40" s="277">
        <v>69.2</v>
      </c>
      <c r="H40" s="277">
        <v>1920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1039.5999999999999</v>
      </c>
      <c r="O40" s="277">
        <v>0</v>
      </c>
      <c r="P40" s="277">
        <v>60.4</v>
      </c>
      <c r="Q40" s="277">
        <v>0</v>
      </c>
      <c r="R40" s="277">
        <v>0</v>
      </c>
      <c r="S40" s="277">
        <v>0</v>
      </c>
      <c r="T40" s="277">
        <v>0</v>
      </c>
      <c r="U40" s="277">
        <v>0</v>
      </c>
      <c r="V40" s="277">
        <v>0</v>
      </c>
      <c r="W40" s="277">
        <v>1989.2</v>
      </c>
      <c r="X40" s="277">
        <v>3089.2000000000003</v>
      </c>
    </row>
    <row r="41" spans="1:24" ht="15.75" x14ac:dyDescent="0.25">
      <c r="A41" s="271"/>
      <c r="B41" s="278" t="s">
        <v>156</v>
      </c>
      <c r="C41" s="270">
        <v>0</v>
      </c>
      <c r="D41" s="270">
        <v>0</v>
      </c>
      <c r="E41" s="270">
        <v>0</v>
      </c>
      <c r="F41" s="270">
        <v>0</v>
      </c>
      <c r="G41" s="270">
        <v>0</v>
      </c>
      <c r="H41" s="270">
        <v>230.8</v>
      </c>
      <c r="I41" s="270">
        <v>0</v>
      </c>
      <c r="J41" s="270">
        <v>0</v>
      </c>
      <c r="K41" s="270">
        <v>0</v>
      </c>
      <c r="L41" s="270">
        <v>0</v>
      </c>
      <c r="M41" s="270">
        <v>0</v>
      </c>
      <c r="N41" s="270">
        <v>500</v>
      </c>
      <c r="O41" s="270">
        <v>0</v>
      </c>
      <c r="P41" s="270">
        <v>0</v>
      </c>
      <c r="Q41" s="270">
        <v>0</v>
      </c>
      <c r="R41" s="270">
        <v>0</v>
      </c>
      <c r="S41" s="270">
        <v>0</v>
      </c>
      <c r="T41" s="270">
        <v>0</v>
      </c>
      <c r="U41" s="270">
        <v>0</v>
      </c>
      <c r="V41" s="270">
        <v>0</v>
      </c>
      <c r="W41" s="269">
        <v>230.8</v>
      </c>
      <c r="X41" s="269">
        <v>730.8</v>
      </c>
    </row>
    <row r="42" spans="1:24" ht="15.75" x14ac:dyDescent="0.25">
      <c r="A42" s="271"/>
      <c r="B42" s="278" t="s">
        <v>157</v>
      </c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70">
        <v>0</v>
      </c>
      <c r="N42" s="270">
        <v>0</v>
      </c>
      <c r="O42" s="270">
        <v>0</v>
      </c>
      <c r="P42" s="270">
        <v>0</v>
      </c>
      <c r="Q42" s="270">
        <v>0</v>
      </c>
      <c r="R42" s="270">
        <v>0</v>
      </c>
      <c r="S42" s="270">
        <v>0</v>
      </c>
      <c r="T42" s="270">
        <v>0</v>
      </c>
      <c r="U42" s="270">
        <v>909</v>
      </c>
      <c r="V42" s="270">
        <v>0</v>
      </c>
      <c r="W42" s="269">
        <v>0</v>
      </c>
      <c r="X42" s="269">
        <v>909</v>
      </c>
    </row>
    <row r="43" spans="1:24" ht="16.5" thickBot="1" x14ac:dyDescent="0.3">
      <c r="A43" s="271"/>
      <c r="B43" s="278" t="s">
        <v>158</v>
      </c>
      <c r="C43" s="270">
        <v>0</v>
      </c>
      <c r="D43" s="270">
        <v>0</v>
      </c>
      <c r="E43" s="270">
        <v>159.19999999999999</v>
      </c>
      <c r="F43" s="270">
        <v>63.8</v>
      </c>
      <c r="G43" s="270">
        <v>3.4</v>
      </c>
      <c r="H43" s="270">
        <v>673.6</v>
      </c>
      <c r="I43" s="270">
        <v>0</v>
      </c>
      <c r="J43" s="270">
        <v>0</v>
      </c>
      <c r="K43" s="270">
        <v>0</v>
      </c>
      <c r="L43" s="270">
        <v>0</v>
      </c>
      <c r="M43" s="270">
        <v>0</v>
      </c>
      <c r="N43" s="270">
        <v>0</v>
      </c>
      <c r="O43" s="270">
        <v>0</v>
      </c>
      <c r="P43" s="270">
        <v>0</v>
      </c>
      <c r="Q43" s="270">
        <v>0</v>
      </c>
      <c r="R43" s="270">
        <v>0</v>
      </c>
      <c r="S43" s="270">
        <v>0</v>
      </c>
      <c r="T43" s="270">
        <v>0</v>
      </c>
      <c r="U43" s="270">
        <v>0</v>
      </c>
      <c r="V43" s="270">
        <v>0</v>
      </c>
      <c r="W43" s="269">
        <v>900</v>
      </c>
      <c r="X43" s="269">
        <v>900</v>
      </c>
    </row>
    <row r="44" spans="1:24" ht="16.5" thickBot="1" x14ac:dyDescent="0.3">
      <c r="A44" s="271"/>
      <c r="B44" s="276" t="s">
        <v>132</v>
      </c>
      <c r="C44" s="277">
        <v>0</v>
      </c>
      <c r="D44" s="277">
        <v>0</v>
      </c>
      <c r="E44" s="277">
        <v>159.19999999999999</v>
      </c>
      <c r="F44" s="277">
        <v>63.8</v>
      </c>
      <c r="G44" s="277">
        <v>3.4</v>
      </c>
      <c r="H44" s="277">
        <v>904.40000000000009</v>
      </c>
      <c r="I44" s="277">
        <v>0</v>
      </c>
      <c r="J44" s="277">
        <v>0</v>
      </c>
      <c r="K44" s="277">
        <v>0</v>
      </c>
      <c r="L44" s="277">
        <v>0</v>
      </c>
      <c r="M44" s="277">
        <v>0</v>
      </c>
      <c r="N44" s="277">
        <v>500</v>
      </c>
      <c r="O44" s="277">
        <v>0</v>
      </c>
      <c r="P44" s="277">
        <v>0</v>
      </c>
      <c r="Q44" s="277">
        <v>0</v>
      </c>
      <c r="R44" s="277">
        <v>0</v>
      </c>
      <c r="S44" s="277">
        <v>0</v>
      </c>
      <c r="T44" s="277">
        <v>0</v>
      </c>
      <c r="U44" s="277">
        <v>909</v>
      </c>
      <c r="V44" s="277">
        <v>0</v>
      </c>
      <c r="W44" s="277">
        <v>1130.8</v>
      </c>
      <c r="X44" s="277">
        <v>2539.8000000000002</v>
      </c>
    </row>
    <row r="45" spans="1:24" ht="15.75" x14ac:dyDescent="0.25">
      <c r="A45" s="271"/>
      <c r="B45" s="278" t="s">
        <v>159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  <c r="K45" s="279">
        <v>0</v>
      </c>
      <c r="L45" s="279">
        <v>0</v>
      </c>
      <c r="M45" s="279">
        <v>0</v>
      </c>
      <c r="N45" s="279">
        <v>0</v>
      </c>
      <c r="O45" s="279">
        <v>0</v>
      </c>
      <c r="P45" s="279">
        <v>5.1520000000000001</v>
      </c>
      <c r="Q45" s="279">
        <v>0</v>
      </c>
      <c r="R45" s="279">
        <v>0</v>
      </c>
      <c r="S45" s="279">
        <v>0</v>
      </c>
      <c r="T45" s="279">
        <v>3.6539999999999999</v>
      </c>
      <c r="U45" s="279">
        <v>0</v>
      </c>
      <c r="V45" s="279">
        <v>1.7889999999999999</v>
      </c>
      <c r="W45" s="280">
        <v>0</v>
      </c>
      <c r="X45" s="280">
        <v>10.595000000000001</v>
      </c>
    </row>
    <row r="46" spans="1:24" ht="15.75" x14ac:dyDescent="0.25">
      <c r="A46" s="271"/>
      <c r="B46" s="278" t="s">
        <v>160</v>
      </c>
      <c r="C46" s="280">
        <v>4.0599999999999996</v>
      </c>
      <c r="D46" s="280">
        <v>0</v>
      </c>
      <c r="E46" s="280">
        <v>7.0039999999999996</v>
      </c>
      <c r="F46" s="280">
        <v>0</v>
      </c>
      <c r="G46" s="280">
        <v>9.8580000000000005</v>
      </c>
      <c r="H46" s="280">
        <v>0</v>
      </c>
      <c r="I46" s="280">
        <v>0</v>
      </c>
      <c r="J46" s="280">
        <v>7.1660000000000004</v>
      </c>
      <c r="K46" s="280">
        <v>0</v>
      </c>
      <c r="L46" s="280">
        <v>0</v>
      </c>
      <c r="M46" s="280">
        <v>6.6929999999999996</v>
      </c>
      <c r="N46" s="280">
        <v>0</v>
      </c>
      <c r="O46" s="280">
        <v>0</v>
      </c>
      <c r="P46" s="280">
        <v>6.843</v>
      </c>
      <c r="Q46" s="280">
        <v>0</v>
      </c>
      <c r="R46" s="280">
        <v>0</v>
      </c>
      <c r="S46" s="280">
        <v>7.008</v>
      </c>
      <c r="T46" s="280">
        <v>0</v>
      </c>
      <c r="U46" s="280">
        <v>0</v>
      </c>
      <c r="V46" s="280">
        <v>7.2370000000000001</v>
      </c>
      <c r="W46" s="280">
        <v>28.088000000000001</v>
      </c>
      <c r="X46" s="280">
        <v>55.869</v>
      </c>
    </row>
    <row r="47" spans="1:24" ht="15.75" x14ac:dyDescent="0.25">
      <c r="A47" s="271"/>
      <c r="B47" s="278" t="s">
        <v>161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279">
        <v>0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79">
        <v>0</v>
      </c>
      <c r="T47" s="279">
        <v>0</v>
      </c>
      <c r="U47" s="279">
        <v>0</v>
      </c>
      <c r="V47" s="279">
        <v>76.707999999999998</v>
      </c>
      <c r="W47" s="280">
        <v>0</v>
      </c>
      <c r="X47" s="280">
        <v>76.707999999999998</v>
      </c>
    </row>
    <row r="48" spans="1:24" ht="15.75" x14ac:dyDescent="0.25">
      <c r="A48" s="271"/>
      <c r="B48" s="278" t="s">
        <v>162</v>
      </c>
      <c r="C48" s="279">
        <v>0</v>
      </c>
      <c r="D48" s="279">
        <v>0</v>
      </c>
      <c r="E48" s="279">
        <v>0</v>
      </c>
      <c r="F48" s="279">
        <v>0</v>
      </c>
      <c r="G48" s="279">
        <v>0</v>
      </c>
      <c r="H48" s="279">
        <v>0</v>
      </c>
      <c r="I48" s="279">
        <v>0</v>
      </c>
      <c r="J48" s="279">
        <v>0</v>
      </c>
      <c r="K48" s="279">
        <v>0</v>
      </c>
      <c r="L48" s="279">
        <v>0</v>
      </c>
      <c r="M48" s="279">
        <v>0</v>
      </c>
      <c r="N48" s="279">
        <v>0</v>
      </c>
      <c r="O48" s="279">
        <v>0</v>
      </c>
      <c r="P48" s="279">
        <v>0</v>
      </c>
      <c r="Q48" s="279">
        <v>0</v>
      </c>
      <c r="R48" s="279">
        <v>0</v>
      </c>
      <c r="S48" s="279">
        <v>0</v>
      </c>
      <c r="T48" s="279">
        <v>0</v>
      </c>
      <c r="U48" s="279">
        <v>0</v>
      </c>
      <c r="V48" s="279">
        <v>1.927</v>
      </c>
      <c r="W48" s="280">
        <v>0</v>
      </c>
      <c r="X48" s="280">
        <v>1.927</v>
      </c>
    </row>
    <row r="49" spans="1:24" ht="15.75" x14ac:dyDescent="0.25">
      <c r="A49" s="271"/>
      <c r="B49" s="278" t="s">
        <v>163</v>
      </c>
      <c r="C49" s="279">
        <v>0</v>
      </c>
      <c r="D49" s="279">
        <v>0</v>
      </c>
      <c r="E49" s="279">
        <v>0</v>
      </c>
      <c r="F49" s="279">
        <v>0</v>
      </c>
      <c r="G49" s="279">
        <v>0</v>
      </c>
      <c r="H49" s="279">
        <v>0</v>
      </c>
      <c r="I49" s="279">
        <v>0</v>
      </c>
      <c r="J49" s="279">
        <v>0</v>
      </c>
      <c r="K49" s="279">
        <v>0</v>
      </c>
      <c r="L49" s="279">
        <v>0</v>
      </c>
      <c r="M49" s="279">
        <v>116.655</v>
      </c>
      <c r="N49" s="279">
        <v>8.2140000000000004</v>
      </c>
      <c r="O49" s="279">
        <v>0</v>
      </c>
      <c r="P49" s="279">
        <v>0</v>
      </c>
      <c r="Q49" s="279">
        <v>0</v>
      </c>
      <c r="R49" s="279">
        <v>0</v>
      </c>
      <c r="S49" s="279">
        <v>8.3350000000000009</v>
      </c>
      <c r="T49" s="279">
        <v>0</v>
      </c>
      <c r="U49" s="279">
        <v>0</v>
      </c>
      <c r="V49" s="279">
        <v>5.1180000000000003</v>
      </c>
      <c r="W49" s="280">
        <v>0</v>
      </c>
      <c r="X49" s="280">
        <v>138.322</v>
      </c>
    </row>
    <row r="50" spans="1:24" ht="15.75" x14ac:dyDescent="0.25">
      <c r="A50" s="271"/>
      <c r="B50" s="278" t="s">
        <v>164</v>
      </c>
      <c r="C50" s="279">
        <v>0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279">
        <v>0</v>
      </c>
      <c r="K50" s="279">
        <v>0</v>
      </c>
      <c r="L50" s="279">
        <v>0</v>
      </c>
      <c r="M50" s="279">
        <v>0</v>
      </c>
      <c r="N50" s="279">
        <v>0</v>
      </c>
      <c r="O50" s="279">
        <v>0</v>
      </c>
      <c r="P50" s="279">
        <v>0</v>
      </c>
      <c r="Q50" s="279">
        <v>0</v>
      </c>
      <c r="R50" s="279">
        <v>0</v>
      </c>
      <c r="S50" s="279">
        <v>0</v>
      </c>
      <c r="T50" s="279">
        <v>0</v>
      </c>
      <c r="U50" s="279">
        <v>0</v>
      </c>
      <c r="V50" s="279">
        <v>5.2249999999999996</v>
      </c>
      <c r="W50" s="280">
        <v>0</v>
      </c>
      <c r="X50" s="280">
        <v>5.2249999999999996</v>
      </c>
    </row>
    <row r="51" spans="1:24" ht="15.75" x14ac:dyDescent="0.25">
      <c r="A51" s="271"/>
      <c r="B51" s="278" t="s">
        <v>165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79">
        <v>0</v>
      </c>
      <c r="T51" s="279">
        <v>0</v>
      </c>
      <c r="U51" s="279">
        <v>0</v>
      </c>
      <c r="V51" s="279">
        <v>37.33</v>
      </c>
      <c r="W51" s="280">
        <v>0</v>
      </c>
      <c r="X51" s="280">
        <v>37.33</v>
      </c>
    </row>
    <row r="52" spans="1:24" ht="15.75" x14ac:dyDescent="0.25">
      <c r="A52" s="271"/>
      <c r="B52" s="278" t="s">
        <v>166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  <c r="L52" s="279">
        <v>0</v>
      </c>
      <c r="M52" s="279">
        <v>0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79">
        <v>0</v>
      </c>
      <c r="T52" s="279">
        <v>0</v>
      </c>
      <c r="U52" s="279">
        <v>1.7569999999999999</v>
      </c>
      <c r="V52" s="279">
        <v>0</v>
      </c>
      <c r="W52" s="280">
        <v>0</v>
      </c>
      <c r="X52" s="280">
        <v>1.7569999999999999</v>
      </c>
    </row>
    <row r="53" spans="1:24" ht="15.75" x14ac:dyDescent="0.25">
      <c r="A53" s="271"/>
      <c r="B53" s="278" t="s">
        <v>167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79">
        <v>0</v>
      </c>
      <c r="I53" s="279">
        <v>0</v>
      </c>
      <c r="J53" s="279">
        <v>0</v>
      </c>
      <c r="K53" s="279">
        <v>0</v>
      </c>
      <c r="L53" s="279">
        <v>0</v>
      </c>
      <c r="M53" s="279">
        <v>0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79">
        <v>0</v>
      </c>
      <c r="T53" s="279">
        <v>0</v>
      </c>
      <c r="U53" s="279">
        <v>5.4930000000000003</v>
      </c>
      <c r="V53" s="279">
        <v>1.212</v>
      </c>
      <c r="W53" s="280">
        <v>0</v>
      </c>
      <c r="X53" s="280">
        <v>6.7050000000000001</v>
      </c>
    </row>
    <row r="54" spans="1:24" ht="15.75" x14ac:dyDescent="0.25">
      <c r="A54" s="271"/>
      <c r="B54" s="278" t="s">
        <v>168</v>
      </c>
      <c r="C54" s="279">
        <v>0</v>
      </c>
      <c r="D54" s="279">
        <v>0</v>
      </c>
      <c r="E54" s="279">
        <v>0</v>
      </c>
      <c r="F54" s="279">
        <v>0</v>
      </c>
      <c r="G54" s="279">
        <v>8.2520000000000007</v>
      </c>
      <c r="H54" s="279">
        <v>0</v>
      </c>
      <c r="I54" s="279">
        <v>5.2530000000000001</v>
      </c>
      <c r="J54" s="279">
        <v>0</v>
      </c>
      <c r="K54" s="279">
        <v>0</v>
      </c>
      <c r="L54" s="279">
        <v>0</v>
      </c>
      <c r="M54" s="279">
        <v>0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79">
        <v>0</v>
      </c>
      <c r="T54" s="279">
        <v>0</v>
      </c>
      <c r="U54" s="279">
        <v>3.2410000000000001</v>
      </c>
      <c r="V54" s="279">
        <v>0</v>
      </c>
      <c r="W54" s="280">
        <v>13.505000000000001</v>
      </c>
      <c r="X54" s="280">
        <v>16.746000000000002</v>
      </c>
    </row>
    <row r="55" spans="1:24" ht="16.5" thickBot="1" x14ac:dyDescent="0.3">
      <c r="A55" s="271"/>
      <c r="B55" s="278" t="s">
        <v>169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79">
        <v>0</v>
      </c>
      <c r="I55" s="279">
        <v>2.9580000000000002</v>
      </c>
      <c r="J55" s="279">
        <v>0</v>
      </c>
      <c r="K55" s="279">
        <v>0</v>
      </c>
      <c r="L55" s="279">
        <v>0</v>
      </c>
      <c r="M55" s="279">
        <v>0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79">
        <v>0</v>
      </c>
      <c r="T55" s="279">
        <v>0</v>
      </c>
      <c r="U55" s="279">
        <v>0</v>
      </c>
      <c r="V55" s="279">
        <v>0</v>
      </c>
      <c r="W55" s="280">
        <v>2.9580000000000002</v>
      </c>
      <c r="X55" s="280">
        <v>2.9580000000000002</v>
      </c>
    </row>
    <row r="56" spans="1:24" ht="16.5" thickBot="1" x14ac:dyDescent="0.3">
      <c r="A56" s="271"/>
      <c r="B56" s="276" t="s">
        <v>170</v>
      </c>
      <c r="C56" s="281">
        <v>4.0599999999999996</v>
      </c>
      <c r="D56" s="281">
        <v>0</v>
      </c>
      <c r="E56" s="281">
        <v>7.0039999999999996</v>
      </c>
      <c r="F56" s="281">
        <v>0</v>
      </c>
      <c r="G56" s="281">
        <v>18.11</v>
      </c>
      <c r="H56" s="281">
        <v>0</v>
      </c>
      <c r="I56" s="281">
        <v>8.2110000000000003</v>
      </c>
      <c r="J56" s="281">
        <v>7.1660000000000004</v>
      </c>
      <c r="K56" s="281">
        <v>0</v>
      </c>
      <c r="L56" s="281">
        <v>0</v>
      </c>
      <c r="M56" s="281">
        <v>123.348</v>
      </c>
      <c r="N56" s="281">
        <v>8.2140000000000004</v>
      </c>
      <c r="O56" s="281">
        <v>0</v>
      </c>
      <c r="P56" s="281">
        <v>11.995000000000001</v>
      </c>
      <c r="Q56" s="281">
        <v>0</v>
      </c>
      <c r="R56" s="281">
        <v>0</v>
      </c>
      <c r="S56" s="281">
        <v>15.343</v>
      </c>
      <c r="T56" s="281">
        <v>3.6539999999999999</v>
      </c>
      <c r="U56" s="281">
        <v>10.491</v>
      </c>
      <c r="V56" s="281">
        <v>136.54599999999999</v>
      </c>
      <c r="W56" s="281">
        <v>44.551000000000002</v>
      </c>
      <c r="X56" s="281">
        <v>354.142</v>
      </c>
    </row>
    <row r="57" spans="1:24" ht="15.75" x14ac:dyDescent="0.25">
      <c r="A57" s="271"/>
      <c r="B57" s="264" t="s">
        <v>171</v>
      </c>
      <c r="C57" s="270">
        <v>6</v>
      </c>
      <c r="D57" s="270">
        <v>6.2000000000000011</v>
      </c>
      <c r="E57" s="270">
        <v>6.32</v>
      </c>
      <c r="F57" s="270">
        <v>6.6</v>
      </c>
      <c r="G57" s="270">
        <v>7.48</v>
      </c>
      <c r="H57" s="270">
        <v>7.3599999999999994</v>
      </c>
      <c r="I57" s="270">
        <v>7.3000000000000007</v>
      </c>
      <c r="J57" s="270">
        <v>7.39</v>
      </c>
      <c r="K57" s="270">
        <v>7.25</v>
      </c>
      <c r="L57" s="270">
        <v>7.09</v>
      </c>
      <c r="M57" s="270">
        <v>6.8200000000000012</v>
      </c>
      <c r="N57" s="270">
        <v>6.39</v>
      </c>
      <c r="O57" s="270">
        <v>6.1</v>
      </c>
      <c r="P57" s="270">
        <v>6.0500000000000007</v>
      </c>
      <c r="Q57" s="270">
        <v>5.48</v>
      </c>
      <c r="R57" s="270">
        <v>4.42</v>
      </c>
      <c r="S57" s="270">
        <v>4.0200000000000005</v>
      </c>
      <c r="T57" s="270">
        <v>3.2700000000000005</v>
      </c>
      <c r="U57" s="270">
        <v>2.7800000000000002</v>
      </c>
      <c r="V57" s="270">
        <v>2.89</v>
      </c>
      <c r="W57" s="270">
        <v>68.990000000000009</v>
      </c>
      <c r="X57" s="270">
        <v>117.21000000000001</v>
      </c>
    </row>
    <row r="58" spans="1:24" ht="15.75" x14ac:dyDescent="0.25">
      <c r="A58" s="271"/>
      <c r="B58" s="264" t="s">
        <v>172</v>
      </c>
      <c r="C58" s="270">
        <v>58</v>
      </c>
      <c r="D58" s="270">
        <v>67.100000000000009</v>
      </c>
      <c r="E58" s="270">
        <v>67.2</v>
      </c>
      <c r="F58" s="270">
        <v>67.5</v>
      </c>
      <c r="G58" s="270">
        <v>68.800000000000011</v>
      </c>
      <c r="H58" s="270">
        <v>68.2</v>
      </c>
      <c r="I58" s="270">
        <v>67.100000000000009</v>
      </c>
      <c r="J58" s="270">
        <v>64.600000000000009</v>
      </c>
      <c r="K58" s="270">
        <v>64.800000000000011</v>
      </c>
      <c r="L58" s="270">
        <v>62.300000000000004</v>
      </c>
      <c r="M58" s="270">
        <v>57</v>
      </c>
      <c r="N58" s="270">
        <v>55.800000000000004</v>
      </c>
      <c r="O58" s="270">
        <v>52.300000000000004</v>
      </c>
      <c r="P58" s="270">
        <v>51.7</v>
      </c>
      <c r="Q58" s="270">
        <v>48</v>
      </c>
      <c r="R58" s="270">
        <v>35.9</v>
      </c>
      <c r="S58" s="270">
        <v>32.4</v>
      </c>
      <c r="T58" s="270">
        <v>24.6</v>
      </c>
      <c r="U58" s="270">
        <v>21.599999999999998</v>
      </c>
      <c r="V58" s="270">
        <v>23.400000000000002</v>
      </c>
      <c r="W58" s="270">
        <v>655.59999999999991</v>
      </c>
      <c r="X58" s="270">
        <v>1058.3</v>
      </c>
    </row>
    <row r="59" spans="1:24" ht="16.5" thickBot="1" x14ac:dyDescent="0.3">
      <c r="A59" s="271"/>
      <c r="B59" s="264" t="s">
        <v>173</v>
      </c>
      <c r="C59" s="270">
        <v>10</v>
      </c>
      <c r="D59" s="270">
        <v>10.17</v>
      </c>
      <c r="E59" s="270">
        <v>10.990000000000002</v>
      </c>
      <c r="F59" s="270">
        <v>13.86</v>
      </c>
      <c r="G59" s="270">
        <v>15.380000000000003</v>
      </c>
      <c r="H59" s="270">
        <v>16.16</v>
      </c>
      <c r="I59" s="270">
        <v>16.47</v>
      </c>
      <c r="J59" s="270">
        <v>17.7</v>
      </c>
      <c r="K59" s="270">
        <v>17.61</v>
      </c>
      <c r="L59" s="270">
        <v>17.39</v>
      </c>
      <c r="M59" s="270">
        <v>16.12</v>
      </c>
      <c r="N59" s="270">
        <v>14.82</v>
      </c>
      <c r="O59" s="270">
        <v>13.13</v>
      </c>
      <c r="P59" s="270">
        <v>12.290000000000001</v>
      </c>
      <c r="Q59" s="270">
        <v>11.110000000000001</v>
      </c>
      <c r="R59" s="270">
        <v>8.7899999999999991</v>
      </c>
      <c r="S59" s="270">
        <v>8.35</v>
      </c>
      <c r="T59" s="270">
        <v>6.9200000000000008</v>
      </c>
      <c r="U59" s="270">
        <v>5.19</v>
      </c>
      <c r="V59" s="270">
        <v>5.33</v>
      </c>
      <c r="W59" s="282">
        <v>145.73000000000002</v>
      </c>
      <c r="X59" s="282">
        <v>247.78</v>
      </c>
    </row>
    <row r="60" spans="1:24" ht="16.5" thickBot="1" x14ac:dyDescent="0.3">
      <c r="A60" s="271"/>
      <c r="B60" s="276" t="s">
        <v>174</v>
      </c>
      <c r="C60" s="277">
        <v>74</v>
      </c>
      <c r="D60" s="277">
        <v>83.470000000000013</v>
      </c>
      <c r="E60" s="277">
        <v>84.510000000000019</v>
      </c>
      <c r="F60" s="277">
        <v>87.96</v>
      </c>
      <c r="G60" s="277">
        <v>91.660000000000025</v>
      </c>
      <c r="H60" s="277">
        <v>91.72</v>
      </c>
      <c r="I60" s="277">
        <v>90.87</v>
      </c>
      <c r="J60" s="277">
        <v>89.690000000000012</v>
      </c>
      <c r="K60" s="277">
        <v>89.660000000000011</v>
      </c>
      <c r="L60" s="277">
        <v>86.78</v>
      </c>
      <c r="M60" s="277">
        <v>79.94</v>
      </c>
      <c r="N60" s="277">
        <v>77.010000000000005</v>
      </c>
      <c r="O60" s="277">
        <v>71.53</v>
      </c>
      <c r="P60" s="277">
        <v>70.040000000000006</v>
      </c>
      <c r="Q60" s="277">
        <v>64.59</v>
      </c>
      <c r="R60" s="277">
        <v>49.11</v>
      </c>
      <c r="S60" s="277">
        <v>44.77</v>
      </c>
      <c r="T60" s="277">
        <v>34.79</v>
      </c>
      <c r="U60" s="277">
        <v>29.57</v>
      </c>
      <c r="V60" s="277">
        <v>31.620000000000005</v>
      </c>
      <c r="W60" s="277">
        <v>870.32</v>
      </c>
      <c r="X60" s="277">
        <v>1423.2899999999995</v>
      </c>
    </row>
    <row r="61" spans="1:24" ht="15.75" x14ac:dyDescent="0.25">
      <c r="A61" s="271"/>
      <c r="B61" s="283" t="s">
        <v>175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79">
        <v>0</v>
      </c>
      <c r="I61" s="279">
        <v>0</v>
      </c>
      <c r="J61" s="279">
        <v>0</v>
      </c>
      <c r="K61" s="279">
        <v>0</v>
      </c>
      <c r="L61" s="279">
        <v>0</v>
      </c>
      <c r="M61" s="279">
        <v>0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79">
        <v>0</v>
      </c>
      <c r="T61" s="279">
        <v>0</v>
      </c>
      <c r="U61" s="279">
        <v>0</v>
      </c>
      <c r="V61" s="270">
        <v>195</v>
      </c>
      <c r="W61" s="280">
        <v>0</v>
      </c>
      <c r="X61" s="280">
        <v>195</v>
      </c>
    </row>
    <row r="62" spans="1:24" ht="15.75" x14ac:dyDescent="0.25">
      <c r="A62" s="271"/>
      <c r="B62" s="283" t="s">
        <v>176</v>
      </c>
      <c r="C62" s="279">
        <v>0</v>
      </c>
      <c r="D62" s="279">
        <v>0</v>
      </c>
      <c r="E62" s="279">
        <v>0</v>
      </c>
      <c r="F62" s="279">
        <v>0</v>
      </c>
      <c r="G62" s="279">
        <v>0</v>
      </c>
      <c r="H62" s="279">
        <v>0</v>
      </c>
      <c r="I62" s="279">
        <v>0</v>
      </c>
      <c r="J62" s="279">
        <v>0</v>
      </c>
      <c r="K62" s="279">
        <v>0</v>
      </c>
      <c r="L62" s="279">
        <v>0</v>
      </c>
      <c r="M62" s="279">
        <v>0</v>
      </c>
      <c r="N62" s="279">
        <v>0</v>
      </c>
      <c r="O62" s="279">
        <v>0</v>
      </c>
      <c r="P62" s="279">
        <v>0</v>
      </c>
      <c r="Q62" s="279">
        <v>0</v>
      </c>
      <c r="R62" s="279">
        <v>0</v>
      </c>
      <c r="S62" s="279">
        <v>0</v>
      </c>
      <c r="T62" s="279">
        <v>0</v>
      </c>
      <c r="U62" s="279">
        <v>0</v>
      </c>
      <c r="V62" s="279">
        <v>15</v>
      </c>
      <c r="W62" s="280">
        <v>0</v>
      </c>
      <c r="X62" s="280">
        <v>15</v>
      </c>
    </row>
    <row r="63" spans="1:24" ht="15.75" x14ac:dyDescent="0.25">
      <c r="A63" s="271"/>
      <c r="B63" s="283" t="s">
        <v>177</v>
      </c>
      <c r="C63" s="279">
        <v>0</v>
      </c>
      <c r="D63" s="279">
        <v>0</v>
      </c>
      <c r="E63" s="279">
        <v>0</v>
      </c>
      <c r="F63" s="279">
        <v>0</v>
      </c>
      <c r="G63" s="279">
        <v>0</v>
      </c>
      <c r="H63" s="279">
        <v>0</v>
      </c>
      <c r="I63" s="279">
        <v>0</v>
      </c>
      <c r="J63" s="279">
        <v>0</v>
      </c>
      <c r="K63" s="279">
        <v>0</v>
      </c>
      <c r="L63" s="279">
        <v>0</v>
      </c>
      <c r="M63" s="279">
        <v>0</v>
      </c>
      <c r="N63" s="279">
        <v>0</v>
      </c>
      <c r="O63" s="279">
        <v>30</v>
      </c>
      <c r="P63" s="279">
        <v>0</v>
      </c>
      <c r="Q63" s="279">
        <v>0</v>
      </c>
      <c r="R63" s="279">
        <v>0</v>
      </c>
      <c r="S63" s="279">
        <v>0</v>
      </c>
      <c r="T63" s="279">
        <v>0</v>
      </c>
      <c r="U63" s="279">
        <v>0</v>
      </c>
      <c r="V63" s="279">
        <v>150</v>
      </c>
      <c r="W63" s="280">
        <v>0</v>
      </c>
      <c r="X63" s="280">
        <v>180</v>
      </c>
    </row>
    <row r="64" spans="1:24" ht="15.75" x14ac:dyDescent="0.25">
      <c r="A64" s="284"/>
      <c r="B64" s="272" t="s">
        <v>178</v>
      </c>
      <c r="C64" s="270">
        <v>0</v>
      </c>
      <c r="D64" s="270">
        <v>0</v>
      </c>
      <c r="E64" s="270">
        <v>0</v>
      </c>
      <c r="F64" s="270">
        <v>0</v>
      </c>
      <c r="G64" s="270">
        <v>0</v>
      </c>
      <c r="H64" s="270">
        <v>0</v>
      </c>
      <c r="I64" s="270">
        <v>0</v>
      </c>
      <c r="J64" s="270">
        <v>0</v>
      </c>
      <c r="K64" s="270">
        <v>0</v>
      </c>
      <c r="L64" s="270">
        <v>87.54</v>
      </c>
      <c r="M64" s="270">
        <v>300</v>
      </c>
      <c r="N64" s="270">
        <v>198.63</v>
      </c>
      <c r="O64" s="270">
        <v>173.79</v>
      </c>
      <c r="P64" s="270">
        <v>206.31</v>
      </c>
      <c r="Q64" s="270">
        <v>297.69</v>
      </c>
      <c r="R64" s="270">
        <v>300</v>
      </c>
      <c r="S64" s="270">
        <v>300</v>
      </c>
      <c r="T64" s="270">
        <v>300</v>
      </c>
      <c r="U64" s="270">
        <v>300</v>
      </c>
      <c r="V64" s="270">
        <v>300</v>
      </c>
      <c r="W64" s="269">
        <v>8.7540000000000013</v>
      </c>
      <c r="X64" s="269">
        <v>138.19800000000001</v>
      </c>
    </row>
    <row r="65" spans="1:24" x14ac:dyDescent="0.2">
      <c r="A65" s="262" t="s">
        <v>41</v>
      </c>
      <c r="B65" s="263" t="s">
        <v>135</v>
      </c>
      <c r="C65" s="264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6"/>
      <c r="W65" s="264"/>
      <c r="X65" s="274"/>
    </row>
    <row r="66" spans="1:24" ht="15.75" x14ac:dyDescent="0.25">
      <c r="A66" s="267"/>
      <c r="B66" s="268" t="s">
        <v>95</v>
      </c>
      <c r="C66" s="269">
        <v>0</v>
      </c>
      <c r="D66" s="269">
        <v>0</v>
      </c>
      <c r="E66" s="269">
        <v>0</v>
      </c>
      <c r="F66" s="269">
        <v>0</v>
      </c>
      <c r="G66" s="269">
        <v>0</v>
      </c>
      <c r="H66" s="269">
        <v>-350.5</v>
      </c>
      <c r="I66" s="269">
        <v>0</v>
      </c>
      <c r="J66" s="269">
        <v>0</v>
      </c>
      <c r="K66" s="269">
        <v>0</v>
      </c>
      <c r="L66" s="269">
        <v>0</v>
      </c>
      <c r="M66" s="269">
        <v>0</v>
      </c>
      <c r="N66" s="269">
        <v>0</v>
      </c>
      <c r="O66" s="269">
        <v>0</v>
      </c>
      <c r="P66" s="269">
        <v>0</v>
      </c>
      <c r="Q66" s="269">
        <v>0</v>
      </c>
      <c r="R66" s="269">
        <v>0</v>
      </c>
      <c r="S66" s="269">
        <v>0</v>
      </c>
      <c r="T66" s="269">
        <v>0</v>
      </c>
      <c r="U66" s="269">
        <v>0</v>
      </c>
      <c r="V66" s="269">
        <v>0</v>
      </c>
      <c r="W66" s="269">
        <v>-350.5</v>
      </c>
      <c r="X66" s="269">
        <v>-350.5</v>
      </c>
    </row>
    <row r="67" spans="1:24" ht="15.75" x14ac:dyDescent="0.25">
      <c r="A67" s="267"/>
      <c r="B67" s="268" t="s">
        <v>96</v>
      </c>
      <c r="C67" s="269">
        <v>0</v>
      </c>
      <c r="D67" s="269">
        <v>0</v>
      </c>
      <c r="E67" s="269">
        <v>0</v>
      </c>
      <c r="F67" s="269">
        <v>0</v>
      </c>
      <c r="G67" s="269">
        <v>0</v>
      </c>
      <c r="H67" s="269">
        <v>0</v>
      </c>
      <c r="I67" s="269">
        <v>0</v>
      </c>
      <c r="J67" s="269">
        <v>0</v>
      </c>
      <c r="K67" s="269">
        <v>0</v>
      </c>
      <c r="L67" s="269">
        <v>0</v>
      </c>
      <c r="M67" s="269">
        <v>-355.8</v>
      </c>
      <c r="N67" s="269">
        <v>0</v>
      </c>
      <c r="O67" s="269">
        <v>0</v>
      </c>
      <c r="P67" s="269">
        <v>0</v>
      </c>
      <c r="Q67" s="269">
        <v>0</v>
      </c>
      <c r="R67" s="269">
        <v>0</v>
      </c>
      <c r="S67" s="269">
        <v>0</v>
      </c>
      <c r="T67" s="269">
        <v>0</v>
      </c>
      <c r="U67" s="269">
        <v>0</v>
      </c>
      <c r="V67" s="269">
        <v>0</v>
      </c>
      <c r="W67" s="269">
        <v>0</v>
      </c>
      <c r="X67" s="269">
        <v>-355.8</v>
      </c>
    </row>
    <row r="68" spans="1:24" ht="15.75" x14ac:dyDescent="0.25">
      <c r="A68" s="267"/>
      <c r="B68" s="268" t="s">
        <v>179</v>
      </c>
      <c r="C68" s="269">
        <v>0</v>
      </c>
      <c r="D68" s="269">
        <v>0</v>
      </c>
      <c r="E68" s="269">
        <v>0</v>
      </c>
      <c r="F68" s="269">
        <v>0</v>
      </c>
      <c r="G68" s="269">
        <v>0</v>
      </c>
      <c r="H68" s="269">
        <v>0</v>
      </c>
      <c r="I68" s="269">
        <v>0</v>
      </c>
      <c r="J68" s="269">
        <v>0</v>
      </c>
      <c r="K68" s="269">
        <v>0</v>
      </c>
      <c r="L68" s="269">
        <v>0</v>
      </c>
      <c r="M68" s="269">
        <v>0</v>
      </c>
      <c r="N68" s="269">
        <v>0</v>
      </c>
      <c r="O68" s="269">
        <v>0</v>
      </c>
      <c r="P68" s="269">
        <v>0</v>
      </c>
      <c r="Q68" s="269">
        <v>0</v>
      </c>
      <c r="R68" s="269">
        <v>0</v>
      </c>
      <c r="S68" s="269">
        <v>0</v>
      </c>
      <c r="T68" s="269">
        <v>0</v>
      </c>
      <c r="U68" s="269">
        <v>0</v>
      </c>
      <c r="V68" s="269">
        <v>-348.7</v>
      </c>
      <c r="W68" s="269">
        <v>0</v>
      </c>
      <c r="X68" s="269">
        <v>-348.7</v>
      </c>
    </row>
    <row r="69" spans="1:24" ht="15.75" x14ac:dyDescent="0.25">
      <c r="A69" s="267"/>
      <c r="B69" s="268" t="s">
        <v>180</v>
      </c>
      <c r="C69" s="269">
        <v>0</v>
      </c>
      <c r="D69" s="269">
        <v>0</v>
      </c>
      <c r="E69" s="269">
        <v>0</v>
      </c>
      <c r="F69" s="269">
        <v>0</v>
      </c>
      <c r="G69" s="269">
        <v>0</v>
      </c>
      <c r="H69" s="269">
        <v>0</v>
      </c>
      <c r="I69" s="269">
        <v>0</v>
      </c>
      <c r="J69" s="269">
        <v>0</v>
      </c>
      <c r="K69" s="269">
        <v>0</v>
      </c>
      <c r="L69" s="269">
        <v>0</v>
      </c>
      <c r="M69" s="269">
        <v>0</v>
      </c>
      <c r="N69" s="269">
        <v>0</v>
      </c>
      <c r="O69" s="269">
        <v>0</v>
      </c>
      <c r="P69" s="269">
        <v>0</v>
      </c>
      <c r="Q69" s="269">
        <v>0</v>
      </c>
      <c r="R69" s="269">
        <v>0</v>
      </c>
      <c r="S69" s="269">
        <v>0</v>
      </c>
      <c r="T69" s="269">
        <v>0</v>
      </c>
      <c r="U69" s="269">
        <v>0</v>
      </c>
      <c r="V69" s="269">
        <v>-353.3</v>
      </c>
      <c r="W69" s="269">
        <v>0</v>
      </c>
      <c r="X69" s="269">
        <v>-353.3</v>
      </c>
    </row>
    <row r="70" spans="1:24" ht="15.75" x14ac:dyDescent="0.25">
      <c r="A70" s="267"/>
      <c r="B70" s="268" t="s">
        <v>181</v>
      </c>
      <c r="C70" s="269">
        <v>0</v>
      </c>
      <c r="D70" s="269">
        <v>0</v>
      </c>
      <c r="E70" s="269">
        <v>0</v>
      </c>
      <c r="F70" s="269">
        <v>0</v>
      </c>
      <c r="G70" s="269">
        <v>0</v>
      </c>
      <c r="H70" s="269">
        <v>0</v>
      </c>
      <c r="I70" s="269">
        <v>0</v>
      </c>
      <c r="J70" s="269">
        <v>0</v>
      </c>
      <c r="K70" s="269">
        <v>0</v>
      </c>
      <c r="L70" s="269">
        <v>0</v>
      </c>
      <c r="M70" s="269">
        <v>0</v>
      </c>
      <c r="N70" s="269">
        <v>0</v>
      </c>
      <c r="O70" s="269">
        <v>0</v>
      </c>
      <c r="P70" s="269">
        <v>0</v>
      </c>
      <c r="Q70" s="269">
        <v>0</v>
      </c>
      <c r="R70" s="269">
        <v>0</v>
      </c>
      <c r="S70" s="269">
        <v>0</v>
      </c>
      <c r="T70" s="269">
        <v>0</v>
      </c>
      <c r="U70" s="269">
        <v>-237</v>
      </c>
      <c r="V70" s="269">
        <v>0</v>
      </c>
      <c r="W70" s="269">
        <v>0</v>
      </c>
      <c r="X70" s="269">
        <v>-237</v>
      </c>
    </row>
    <row r="71" spans="1:24" ht="15.75" x14ac:dyDescent="0.25">
      <c r="A71" s="267"/>
      <c r="B71" s="268" t="s">
        <v>143</v>
      </c>
      <c r="C71" s="269">
        <v>0</v>
      </c>
      <c r="D71" s="269">
        <v>-1.1000000000000001</v>
      </c>
      <c r="E71" s="269">
        <v>-168.90000000000003</v>
      </c>
      <c r="F71" s="269">
        <v>0</v>
      </c>
      <c r="G71" s="269">
        <v>-0.7</v>
      </c>
      <c r="H71" s="269">
        <v>0</v>
      </c>
      <c r="I71" s="269">
        <v>0</v>
      </c>
      <c r="J71" s="269">
        <v>-1.4</v>
      </c>
      <c r="K71" s="269">
        <v>0</v>
      </c>
      <c r="L71" s="269">
        <v>-7.2</v>
      </c>
      <c r="M71" s="269">
        <v>0</v>
      </c>
      <c r="N71" s="269">
        <v>0</v>
      </c>
      <c r="O71" s="269">
        <v>-6.4</v>
      </c>
      <c r="P71" s="269">
        <v>0</v>
      </c>
      <c r="Q71" s="269">
        <v>0</v>
      </c>
      <c r="R71" s="269">
        <v>-74.900000000000006</v>
      </c>
      <c r="S71" s="269">
        <v>0</v>
      </c>
      <c r="T71" s="269">
        <v>-1.2</v>
      </c>
      <c r="U71" s="269">
        <v>0</v>
      </c>
      <c r="V71" s="269">
        <v>0</v>
      </c>
      <c r="W71" s="269">
        <v>-179.3</v>
      </c>
      <c r="X71" s="269">
        <v>-261.8</v>
      </c>
    </row>
    <row r="72" spans="1:24" ht="15.75" x14ac:dyDescent="0.25">
      <c r="A72" s="267"/>
      <c r="B72" s="268" t="s">
        <v>145</v>
      </c>
      <c r="C72" s="269">
        <v>0</v>
      </c>
      <c r="D72" s="269">
        <v>0</v>
      </c>
      <c r="E72" s="269">
        <v>0</v>
      </c>
      <c r="F72" s="269">
        <v>-175</v>
      </c>
      <c r="G72" s="269">
        <v>0</v>
      </c>
      <c r="H72" s="269">
        <v>-41</v>
      </c>
      <c r="I72" s="269">
        <v>0</v>
      </c>
      <c r="J72" s="269">
        <v>0</v>
      </c>
      <c r="K72" s="269">
        <v>0</v>
      </c>
      <c r="L72" s="269">
        <v>0</v>
      </c>
      <c r="M72" s="269">
        <v>-74.5</v>
      </c>
      <c r="N72" s="269">
        <v>-9.9</v>
      </c>
      <c r="O72" s="269">
        <v>0</v>
      </c>
      <c r="P72" s="269">
        <v>-20</v>
      </c>
      <c r="Q72" s="269">
        <v>-20</v>
      </c>
      <c r="R72" s="269">
        <v>0</v>
      </c>
      <c r="S72" s="269">
        <v>0</v>
      </c>
      <c r="T72" s="269">
        <v>-10</v>
      </c>
      <c r="U72" s="269">
        <v>-10</v>
      </c>
      <c r="V72" s="269">
        <v>0</v>
      </c>
      <c r="W72" s="269">
        <v>-216</v>
      </c>
      <c r="X72" s="269">
        <v>-360.4</v>
      </c>
    </row>
    <row r="73" spans="1:24" ht="15.75" x14ac:dyDescent="0.25">
      <c r="A73" s="267"/>
      <c r="B73" s="268" t="s">
        <v>146</v>
      </c>
      <c r="C73" s="269">
        <v>0</v>
      </c>
      <c r="D73" s="269">
        <v>0</v>
      </c>
      <c r="E73" s="269">
        <v>0</v>
      </c>
      <c r="F73" s="269">
        <v>0</v>
      </c>
      <c r="G73" s="269">
        <v>0</v>
      </c>
      <c r="H73" s="269">
        <v>0</v>
      </c>
      <c r="I73" s="269">
        <v>0</v>
      </c>
      <c r="J73" s="269">
        <v>0</v>
      </c>
      <c r="K73" s="269">
        <v>0</v>
      </c>
      <c r="L73" s="269">
        <v>-2</v>
      </c>
      <c r="M73" s="269">
        <v>0</v>
      </c>
      <c r="N73" s="269">
        <v>0</v>
      </c>
      <c r="O73" s="269">
        <v>-67</v>
      </c>
      <c r="P73" s="269">
        <v>-48.9</v>
      </c>
      <c r="Q73" s="269">
        <v>0</v>
      </c>
      <c r="R73" s="269">
        <v>0</v>
      </c>
      <c r="S73" s="269">
        <v>-0.8</v>
      </c>
      <c r="T73" s="269">
        <v>-115</v>
      </c>
      <c r="U73" s="269">
        <v>-175.20000000000002</v>
      </c>
      <c r="V73" s="269">
        <v>-10.9</v>
      </c>
      <c r="W73" s="269">
        <v>-2</v>
      </c>
      <c r="X73" s="269">
        <v>-419.79999999999995</v>
      </c>
    </row>
    <row r="74" spans="1:24" x14ac:dyDescent="0.2">
      <c r="A74" s="285"/>
      <c r="B74" s="263" t="s">
        <v>40</v>
      </c>
      <c r="C74" s="26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6"/>
      <c r="W74" s="273"/>
      <c r="X74" s="274"/>
    </row>
    <row r="75" spans="1:24" ht="16.5" thickBot="1" x14ac:dyDescent="0.3">
      <c r="A75" s="286"/>
      <c r="B75" s="264" t="s">
        <v>182</v>
      </c>
      <c r="C75" s="270">
        <v>0</v>
      </c>
      <c r="D75" s="270">
        <v>0</v>
      </c>
      <c r="E75" s="270">
        <v>0</v>
      </c>
      <c r="F75" s="270">
        <v>0</v>
      </c>
      <c r="G75" s="270">
        <v>0</v>
      </c>
      <c r="H75" s="270">
        <v>0</v>
      </c>
      <c r="I75" s="270">
        <v>0</v>
      </c>
      <c r="J75" s="270">
        <v>0</v>
      </c>
      <c r="K75" s="270">
        <v>0</v>
      </c>
      <c r="L75" s="270">
        <v>0</v>
      </c>
      <c r="M75" s="270">
        <v>0</v>
      </c>
      <c r="N75" s="270">
        <v>0</v>
      </c>
      <c r="O75" s="270">
        <v>0</v>
      </c>
      <c r="P75" s="270">
        <v>0</v>
      </c>
      <c r="Q75" s="270">
        <v>0</v>
      </c>
      <c r="R75" s="270">
        <v>0</v>
      </c>
      <c r="S75" s="270">
        <v>0</v>
      </c>
      <c r="T75" s="270">
        <v>0</v>
      </c>
      <c r="U75" s="270">
        <v>442.8</v>
      </c>
      <c r="V75" s="270">
        <v>0</v>
      </c>
      <c r="W75" s="269">
        <v>0</v>
      </c>
      <c r="X75" s="269">
        <v>442.8</v>
      </c>
    </row>
    <row r="76" spans="1:24" ht="16.5" thickBot="1" x14ac:dyDescent="0.3">
      <c r="A76" s="271"/>
      <c r="B76" s="276" t="s">
        <v>153</v>
      </c>
      <c r="C76" s="277">
        <v>0</v>
      </c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>
        <v>0</v>
      </c>
      <c r="J76" s="277">
        <v>0</v>
      </c>
      <c r="K76" s="277">
        <v>0</v>
      </c>
      <c r="L76" s="277">
        <v>0</v>
      </c>
      <c r="M76" s="277">
        <v>0</v>
      </c>
      <c r="N76" s="277">
        <v>0</v>
      </c>
      <c r="O76" s="277">
        <v>0</v>
      </c>
      <c r="P76" s="277">
        <v>0</v>
      </c>
      <c r="Q76" s="277">
        <v>0</v>
      </c>
      <c r="R76" s="277">
        <v>0</v>
      </c>
      <c r="S76" s="277">
        <v>0</v>
      </c>
      <c r="T76" s="277">
        <v>0</v>
      </c>
      <c r="U76" s="277">
        <v>442.8</v>
      </c>
      <c r="V76" s="277">
        <v>0</v>
      </c>
      <c r="W76" s="277">
        <v>0</v>
      </c>
      <c r="X76" s="277">
        <v>442.8</v>
      </c>
    </row>
    <row r="77" spans="1:24" ht="16.5" thickBot="1" x14ac:dyDescent="0.3">
      <c r="A77" s="286"/>
      <c r="B77" s="264" t="s">
        <v>183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  <c r="I77" s="270">
        <v>0</v>
      </c>
      <c r="J77" s="270">
        <v>0</v>
      </c>
      <c r="K77" s="270">
        <v>0</v>
      </c>
      <c r="L77" s="270">
        <v>0</v>
      </c>
      <c r="M77" s="270">
        <v>9.8000000000000007</v>
      </c>
      <c r="N77" s="270">
        <v>0</v>
      </c>
      <c r="O77" s="270">
        <v>0</v>
      </c>
      <c r="P77" s="270">
        <v>0</v>
      </c>
      <c r="Q77" s="270">
        <v>0</v>
      </c>
      <c r="R77" s="270">
        <v>0</v>
      </c>
      <c r="S77" s="270">
        <v>0</v>
      </c>
      <c r="T77" s="270">
        <v>0</v>
      </c>
      <c r="U77" s="270">
        <v>10.6</v>
      </c>
      <c r="V77" s="270">
        <v>0</v>
      </c>
      <c r="W77" s="269">
        <v>0</v>
      </c>
      <c r="X77" s="269">
        <v>20.399999999999999</v>
      </c>
    </row>
    <row r="78" spans="1:24" ht="16.5" thickBot="1" x14ac:dyDescent="0.3">
      <c r="A78" s="286"/>
      <c r="B78" s="276" t="s">
        <v>94</v>
      </c>
      <c r="C78" s="277">
        <v>0</v>
      </c>
      <c r="D78" s="277">
        <v>0</v>
      </c>
      <c r="E78" s="277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77">
        <v>9.8000000000000007</v>
      </c>
      <c r="N78" s="277">
        <v>0</v>
      </c>
      <c r="O78" s="277">
        <v>0</v>
      </c>
      <c r="P78" s="277">
        <v>0</v>
      </c>
      <c r="Q78" s="277">
        <v>0</v>
      </c>
      <c r="R78" s="277">
        <v>0</v>
      </c>
      <c r="S78" s="277">
        <v>0</v>
      </c>
      <c r="T78" s="277">
        <v>0</v>
      </c>
      <c r="U78" s="277">
        <v>10.6</v>
      </c>
      <c r="V78" s="277">
        <v>0</v>
      </c>
      <c r="W78" s="277">
        <v>0</v>
      </c>
      <c r="X78" s="277">
        <v>20.399999999999999</v>
      </c>
    </row>
    <row r="79" spans="1:24" ht="15.75" x14ac:dyDescent="0.25">
      <c r="A79" s="286"/>
      <c r="B79" s="272" t="s">
        <v>184</v>
      </c>
      <c r="C79" s="270">
        <v>0</v>
      </c>
      <c r="D79" s="270">
        <v>0</v>
      </c>
      <c r="E79" s="270">
        <v>0</v>
      </c>
      <c r="F79" s="270">
        <v>0</v>
      </c>
      <c r="G79" s="270">
        <v>0</v>
      </c>
      <c r="H79" s="270">
        <v>354</v>
      </c>
      <c r="I79" s="270">
        <v>0</v>
      </c>
      <c r="J79" s="270">
        <v>0</v>
      </c>
      <c r="K79" s="270">
        <v>0</v>
      </c>
      <c r="L79" s="270">
        <v>0</v>
      </c>
      <c r="M79" s="270">
        <v>359.4</v>
      </c>
      <c r="N79" s="270">
        <v>0</v>
      </c>
      <c r="O79" s="270">
        <v>0</v>
      </c>
      <c r="P79" s="270">
        <v>0</v>
      </c>
      <c r="Q79" s="270">
        <v>0</v>
      </c>
      <c r="R79" s="270">
        <v>0</v>
      </c>
      <c r="S79" s="270">
        <v>0</v>
      </c>
      <c r="T79" s="270">
        <v>0</v>
      </c>
      <c r="U79" s="270">
        <v>0</v>
      </c>
      <c r="V79" s="270">
        <v>701.8</v>
      </c>
      <c r="W79" s="269">
        <v>354</v>
      </c>
      <c r="X79" s="269">
        <v>1415.1999999999998</v>
      </c>
    </row>
    <row r="80" spans="1:24" ht="15.75" x14ac:dyDescent="0.25">
      <c r="A80" s="286"/>
      <c r="B80" s="272" t="s">
        <v>185</v>
      </c>
      <c r="C80" s="270">
        <v>0</v>
      </c>
      <c r="D80" s="270">
        <v>0</v>
      </c>
      <c r="E80" s="270">
        <v>0</v>
      </c>
      <c r="F80" s="270">
        <v>0</v>
      </c>
      <c r="G80" s="270">
        <v>0</v>
      </c>
      <c r="H80" s="270">
        <v>500</v>
      </c>
      <c r="I80" s="270">
        <v>0</v>
      </c>
      <c r="J80" s="270">
        <v>0</v>
      </c>
      <c r="K80" s="270">
        <v>0</v>
      </c>
      <c r="L80" s="270">
        <v>0</v>
      </c>
      <c r="M80" s="270">
        <v>0</v>
      </c>
      <c r="N80" s="270">
        <v>0</v>
      </c>
      <c r="O80" s="270">
        <v>0</v>
      </c>
      <c r="P80" s="270">
        <v>0</v>
      </c>
      <c r="Q80" s="270">
        <v>475</v>
      </c>
      <c r="R80" s="270">
        <v>0</v>
      </c>
      <c r="S80" s="270">
        <v>0</v>
      </c>
      <c r="T80" s="270">
        <v>0</v>
      </c>
      <c r="U80" s="270">
        <v>0</v>
      </c>
      <c r="V80" s="270">
        <v>0</v>
      </c>
      <c r="W80" s="269">
        <v>500</v>
      </c>
      <c r="X80" s="269">
        <v>975</v>
      </c>
    </row>
    <row r="81" spans="1:24" ht="16.5" thickBot="1" x14ac:dyDescent="0.3">
      <c r="A81" s="286"/>
      <c r="B81" s="272" t="s">
        <v>186</v>
      </c>
      <c r="C81" s="270">
        <v>0</v>
      </c>
      <c r="D81" s="270">
        <v>0</v>
      </c>
      <c r="E81" s="270">
        <v>0</v>
      </c>
      <c r="F81" s="270">
        <v>0</v>
      </c>
      <c r="G81" s="270">
        <v>0</v>
      </c>
      <c r="H81" s="270">
        <v>395.2</v>
      </c>
      <c r="I81" s="270">
        <v>0</v>
      </c>
      <c r="J81" s="270">
        <v>0</v>
      </c>
      <c r="K81" s="270">
        <v>0</v>
      </c>
      <c r="L81" s="270">
        <v>0</v>
      </c>
      <c r="M81" s="270">
        <v>0</v>
      </c>
      <c r="N81" s="270">
        <v>0</v>
      </c>
      <c r="O81" s="270">
        <v>0</v>
      </c>
      <c r="P81" s="270">
        <v>0</v>
      </c>
      <c r="Q81" s="270">
        <v>0</v>
      </c>
      <c r="R81" s="270">
        <v>0</v>
      </c>
      <c r="S81" s="270">
        <v>0</v>
      </c>
      <c r="T81" s="270">
        <v>419.4</v>
      </c>
      <c r="U81" s="270">
        <v>0</v>
      </c>
      <c r="V81" s="270">
        <v>0</v>
      </c>
      <c r="W81" s="269">
        <v>395.2</v>
      </c>
      <c r="X81" s="269">
        <v>814.59999999999991</v>
      </c>
    </row>
    <row r="82" spans="1:24" ht="16.5" thickBot="1" x14ac:dyDescent="0.3">
      <c r="A82" s="286"/>
      <c r="B82" s="276" t="s">
        <v>132</v>
      </c>
      <c r="C82" s="277">
        <v>0</v>
      </c>
      <c r="D82" s="277">
        <v>0</v>
      </c>
      <c r="E82" s="277">
        <v>0</v>
      </c>
      <c r="F82" s="277">
        <v>0</v>
      </c>
      <c r="G82" s="277">
        <v>0</v>
      </c>
      <c r="H82" s="277">
        <v>1249.2</v>
      </c>
      <c r="I82" s="277">
        <v>0</v>
      </c>
      <c r="J82" s="277">
        <v>0</v>
      </c>
      <c r="K82" s="277">
        <v>0</v>
      </c>
      <c r="L82" s="277">
        <v>0</v>
      </c>
      <c r="M82" s="277">
        <v>359.4</v>
      </c>
      <c r="N82" s="277">
        <v>0</v>
      </c>
      <c r="O82" s="277">
        <v>0</v>
      </c>
      <c r="P82" s="277">
        <v>0</v>
      </c>
      <c r="Q82" s="277">
        <v>475</v>
      </c>
      <c r="R82" s="277">
        <v>0</v>
      </c>
      <c r="S82" s="277">
        <v>0</v>
      </c>
      <c r="T82" s="277">
        <v>419.4</v>
      </c>
      <c r="U82" s="277">
        <v>0</v>
      </c>
      <c r="V82" s="277">
        <v>701.8</v>
      </c>
      <c r="W82" s="277">
        <v>1249.2</v>
      </c>
      <c r="X82" s="277">
        <v>3204.7999999999997</v>
      </c>
    </row>
    <row r="83" spans="1:24" ht="15.75" x14ac:dyDescent="0.25">
      <c r="A83" s="286"/>
      <c r="B83" s="272" t="s">
        <v>187</v>
      </c>
      <c r="C83" s="270">
        <v>0</v>
      </c>
      <c r="D83" s="270">
        <v>0</v>
      </c>
      <c r="E83" s="270">
        <v>0</v>
      </c>
      <c r="F83" s="270">
        <v>0</v>
      </c>
      <c r="G83" s="270">
        <v>0</v>
      </c>
      <c r="H83" s="270">
        <v>0</v>
      </c>
      <c r="I83" s="270">
        <v>0</v>
      </c>
      <c r="J83" s="270">
        <v>0</v>
      </c>
      <c r="K83" s="270">
        <v>0</v>
      </c>
      <c r="L83" s="270">
        <v>0</v>
      </c>
      <c r="M83" s="270">
        <v>7.5119999999999996</v>
      </c>
      <c r="N83" s="270">
        <v>0</v>
      </c>
      <c r="O83" s="270">
        <v>0</v>
      </c>
      <c r="P83" s="270">
        <v>0</v>
      </c>
      <c r="Q83" s="270">
        <v>0</v>
      </c>
      <c r="R83" s="270">
        <v>0</v>
      </c>
      <c r="S83" s="270">
        <v>0</v>
      </c>
      <c r="T83" s="270">
        <v>0</v>
      </c>
      <c r="U83" s="270">
        <v>0</v>
      </c>
      <c r="V83" s="270">
        <v>0</v>
      </c>
      <c r="W83" s="269">
        <v>0</v>
      </c>
      <c r="X83" s="269">
        <v>7.5119999999999996</v>
      </c>
    </row>
    <row r="84" spans="1:24" ht="15.75" x14ac:dyDescent="0.25">
      <c r="A84" s="286"/>
      <c r="B84" s="272" t="s">
        <v>188</v>
      </c>
      <c r="C84" s="279">
        <v>0</v>
      </c>
      <c r="D84" s="279">
        <v>0</v>
      </c>
      <c r="E84" s="279">
        <v>0</v>
      </c>
      <c r="F84" s="279">
        <v>0</v>
      </c>
      <c r="G84" s="279">
        <v>0</v>
      </c>
      <c r="H84" s="279">
        <v>0</v>
      </c>
      <c r="I84" s="279">
        <v>0</v>
      </c>
      <c r="J84" s="279">
        <v>0</v>
      </c>
      <c r="K84" s="279">
        <v>0</v>
      </c>
      <c r="L84" s="279">
        <v>0</v>
      </c>
      <c r="M84" s="279">
        <v>1.851</v>
      </c>
      <c r="N84" s="279">
        <v>0</v>
      </c>
      <c r="O84" s="279">
        <v>0</v>
      </c>
      <c r="P84" s="279">
        <v>0</v>
      </c>
      <c r="Q84" s="279">
        <v>0</v>
      </c>
      <c r="R84" s="279">
        <v>0</v>
      </c>
      <c r="S84" s="279">
        <v>0</v>
      </c>
      <c r="T84" s="279">
        <v>0</v>
      </c>
      <c r="U84" s="279">
        <v>0</v>
      </c>
      <c r="V84" s="279">
        <v>0</v>
      </c>
      <c r="W84" s="280">
        <v>0</v>
      </c>
      <c r="X84" s="280">
        <v>1.851</v>
      </c>
    </row>
    <row r="85" spans="1:24" ht="15.75" x14ac:dyDescent="0.25">
      <c r="A85" s="286"/>
      <c r="B85" s="272" t="s">
        <v>189</v>
      </c>
      <c r="C85" s="279">
        <v>0</v>
      </c>
      <c r="D85" s="279">
        <v>0</v>
      </c>
      <c r="E85" s="279">
        <v>0</v>
      </c>
      <c r="F85" s="279">
        <v>0</v>
      </c>
      <c r="G85" s="279">
        <v>0</v>
      </c>
      <c r="H85" s="279">
        <v>0</v>
      </c>
      <c r="I85" s="279">
        <v>0</v>
      </c>
      <c r="J85" s="279">
        <v>0</v>
      </c>
      <c r="K85" s="279">
        <v>0</v>
      </c>
      <c r="L85" s="279">
        <v>0</v>
      </c>
      <c r="M85" s="279">
        <v>0</v>
      </c>
      <c r="N85" s="279">
        <v>0</v>
      </c>
      <c r="O85" s="279">
        <v>0</v>
      </c>
      <c r="P85" s="279">
        <v>0</v>
      </c>
      <c r="Q85" s="279">
        <v>0</v>
      </c>
      <c r="R85" s="279">
        <v>0</v>
      </c>
      <c r="S85" s="279">
        <v>0</v>
      </c>
      <c r="T85" s="279">
        <v>0</v>
      </c>
      <c r="U85" s="279">
        <v>0</v>
      </c>
      <c r="V85" s="279">
        <v>1.53</v>
      </c>
      <c r="W85" s="280">
        <v>0</v>
      </c>
      <c r="X85" s="280">
        <v>1.53</v>
      </c>
    </row>
    <row r="86" spans="1:24" ht="15.75" x14ac:dyDescent="0.25">
      <c r="A86" s="286"/>
      <c r="B86" s="272" t="s">
        <v>190</v>
      </c>
      <c r="C86" s="279">
        <v>0</v>
      </c>
      <c r="D86" s="279">
        <v>0</v>
      </c>
      <c r="E86" s="279">
        <v>0</v>
      </c>
      <c r="F86" s="279">
        <v>0</v>
      </c>
      <c r="G86" s="279">
        <v>0</v>
      </c>
      <c r="H86" s="279">
        <v>0</v>
      </c>
      <c r="I86" s="279">
        <v>0</v>
      </c>
      <c r="J86" s="279">
        <v>0</v>
      </c>
      <c r="K86" s="279">
        <v>0</v>
      </c>
      <c r="L86" s="279">
        <v>0</v>
      </c>
      <c r="M86" s="279">
        <v>0</v>
      </c>
      <c r="N86" s="279">
        <v>0</v>
      </c>
      <c r="O86" s="279">
        <v>0</v>
      </c>
      <c r="P86" s="279">
        <v>0</v>
      </c>
      <c r="Q86" s="279">
        <v>0</v>
      </c>
      <c r="R86" s="279">
        <v>0</v>
      </c>
      <c r="S86" s="279">
        <v>0</v>
      </c>
      <c r="T86" s="279">
        <v>0</v>
      </c>
      <c r="U86" s="279">
        <v>0</v>
      </c>
      <c r="V86" s="279">
        <v>1.103</v>
      </c>
      <c r="W86" s="280">
        <v>0</v>
      </c>
      <c r="X86" s="280">
        <v>1.103</v>
      </c>
    </row>
    <row r="87" spans="1:24" ht="15.75" x14ac:dyDescent="0.25">
      <c r="A87" s="271"/>
      <c r="B87" s="264" t="s">
        <v>191</v>
      </c>
      <c r="C87" s="279">
        <v>0</v>
      </c>
      <c r="D87" s="279">
        <v>0</v>
      </c>
      <c r="E87" s="279">
        <v>0</v>
      </c>
      <c r="F87" s="279">
        <v>0</v>
      </c>
      <c r="G87" s="279">
        <v>0</v>
      </c>
      <c r="H87" s="279">
        <v>0</v>
      </c>
      <c r="I87" s="279">
        <v>0</v>
      </c>
      <c r="J87" s="279">
        <v>0</v>
      </c>
      <c r="K87" s="279">
        <v>0</v>
      </c>
      <c r="L87" s="279">
        <v>0</v>
      </c>
      <c r="M87" s="279">
        <v>0</v>
      </c>
      <c r="N87" s="279">
        <v>0</v>
      </c>
      <c r="O87" s="279">
        <v>0</v>
      </c>
      <c r="P87" s="279">
        <v>0</v>
      </c>
      <c r="Q87" s="279">
        <v>0</v>
      </c>
      <c r="R87" s="279">
        <v>0</v>
      </c>
      <c r="S87" s="279">
        <v>0</v>
      </c>
      <c r="T87" s="279">
        <v>0</v>
      </c>
      <c r="U87" s="279">
        <v>4.7750000000000004</v>
      </c>
      <c r="V87" s="279">
        <v>0</v>
      </c>
      <c r="W87" s="280">
        <v>0</v>
      </c>
      <c r="X87" s="280">
        <v>4.7750000000000004</v>
      </c>
    </row>
    <row r="88" spans="1:24" ht="15.75" x14ac:dyDescent="0.25">
      <c r="A88" s="271"/>
      <c r="B88" s="264" t="s">
        <v>192</v>
      </c>
      <c r="C88" s="279">
        <v>0</v>
      </c>
      <c r="D88" s="279">
        <v>0</v>
      </c>
      <c r="E88" s="279">
        <v>0</v>
      </c>
      <c r="F88" s="279">
        <v>0</v>
      </c>
      <c r="G88" s="279">
        <v>0</v>
      </c>
      <c r="H88" s="279">
        <v>0</v>
      </c>
      <c r="I88" s="279">
        <v>0</v>
      </c>
      <c r="J88" s="279">
        <v>0</v>
      </c>
      <c r="K88" s="279">
        <v>0</v>
      </c>
      <c r="L88" s="279">
        <v>0</v>
      </c>
      <c r="M88" s="279">
        <v>0</v>
      </c>
      <c r="N88" s="279">
        <v>0</v>
      </c>
      <c r="O88" s="279">
        <v>0</v>
      </c>
      <c r="P88" s="279">
        <v>0</v>
      </c>
      <c r="Q88" s="279">
        <v>0</v>
      </c>
      <c r="R88" s="279">
        <v>0</v>
      </c>
      <c r="S88" s="279">
        <v>0</v>
      </c>
      <c r="T88" s="279">
        <v>0</v>
      </c>
      <c r="U88" s="279">
        <v>5.8010000000000002</v>
      </c>
      <c r="V88" s="279">
        <v>0</v>
      </c>
      <c r="W88" s="280">
        <v>0</v>
      </c>
      <c r="X88" s="280">
        <v>5.8010000000000002</v>
      </c>
    </row>
    <row r="89" spans="1:24" ht="15.75" x14ac:dyDescent="0.25">
      <c r="A89" s="271"/>
      <c r="B89" s="264" t="s">
        <v>193</v>
      </c>
      <c r="C89" s="279">
        <v>0</v>
      </c>
      <c r="D89" s="279">
        <v>0</v>
      </c>
      <c r="E89" s="279">
        <v>0</v>
      </c>
      <c r="F89" s="279">
        <v>0</v>
      </c>
      <c r="G89" s="279">
        <v>0</v>
      </c>
      <c r="H89" s="279">
        <v>0</v>
      </c>
      <c r="I89" s="279">
        <v>0</v>
      </c>
      <c r="J89" s="279">
        <v>0</v>
      </c>
      <c r="K89" s="279">
        <v>0</v>
      </c>
      <c r="L89" s="279">
        <v>0</v>
      </c>
      <c r="M89" s="279">
        <v>0</v>
      </c>
      <c r="N89" s="279">
        <v>0</v>
      </c>
      <c r="O89" s="279">
        <v>0</v>
      </c>
      <c r="P89" s="279">
        <v>0</v>
      </c>
      <c r="Q89" s="279">
        <v>0</v>
      </c>
      <c r="R89" s="279">
        <v>0</v>
      </c>
      <c r="S89" s="279">
        <v>0</v>
      </c>
      <c r="T89" s="279">
        <v>0</v>
      </c>
      <c r="U89" s="279">
        <v>0</v>
      </c>
      <c r="V89" s="279">
        <v>10.881</v>
      </c>
      <c r="W89" s="280">
        <v>0</v>
      </c>
      <c r="X89" s="280">
        <v>10.881</v>
      </c>
    </row>
    <row r="90" spans="1:24" ht="15.75" x14ac:dyDescent="0.25">
      <c r="A90" s="271"/>
      <c r="B90" s="264" t="s">
        <v>194</v>
      </c>
      <c r="C90" s="279">
        <v>0</v>
      </c>
      <c r="D90" s="279">
        <v>0</v>
      </c>
      <c r="E90" s="279">
        <v>0</v>
      </c>
      <c r="F90" s="279">
        <v>0</v>
      </c>
      <c r="G90" s="279">
        <v>0</v>
      </c>
      <c r="H90" s="279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79">
        <v>0</v>
      </c>
      <c r="O90" s="279">
        <v>0</v>
      </c>
      <c r="P90" s="279">
        <v>0</v>
      </c>
      <c r="Q90" s="279">
        <v>0</v>
      </c>
      <c r="R90" s="279">
        <v>0</v>
      </c>
      <c r="S90" s="279">
        <v>0</v>
      </c>
      <c r="T90" s="279">
        <v>0</v>
      </c>
      <c r="U90" s="279">
        <v>13.268000000000001</v>
      </c>
      <c r="V90" s="279">
        <v>0</v>
      </c>
      <c r="W90" s="280">
        <v>0</v>
      </c>
      <c r="X90" s="280">
        <v>13.268000000000001</v>
      </c>
    </row>
    <row r="91" spans="1:24" ht="15.75" x14ac:dyDescent="0.25">
      <c r="A91" s="271"/>
      <c r="B91" s="264" t="s">
        <v>195</v>
      </c>
      <c r="C91" s="279">
        <v>0</v>
      </c>
      <c r="D91" s="279">
        <v>0</v>
      </c>
      <c r="E91" s="279">
        <v>0</v>
      </c>
      <c r="F91" s="279">
        <v>0</v>
      </c>
      <c r="G91" s="279">
        <v>0</v>
      </c>
      <c r="H91" s="279">
        <v>0</v>
      </c>
      <c r="I91" s="279">
        <v>0</v>
      </c>
      <c r="J91" s="279">
        <v>0</v>
      </c>
      <c r="K91" s="279">
        <v>0</v>
      </c>
      <c r="L91" s="279">
        <v>0</v>
      </c>
      <c r="M91" s="279">
        <v>0</v>
      </c>
      <c r="N91" s="279">
        <v>0</v>
      </c>
      <c r="O91" s="279">
        <v>0</v>
      </c>
      <c r="P91" s="279">
        <v>0</v>
      </c>
      <c r="Q91" s="279">
        <v>0</v>
      </c>
      <c r="R91" s="279">
        <v>0</v>
      </c>
      <c r="S91" s="279">
        <v>0</v>
      </c>
      <c r="T91" s="279">
        <v>0</v>
      </c>
      <c r="U91" s="279">
        <v>0</v>
      </c>
      <c r="V91" s="279">
        <v>7.681</v>
      </c>
      <c r="W91" s="280">
        <v>0</v>
      </c>
      <c r="X91" s="280">
        <v>7.681</v>
      </c>
    </row>
    <row r="92" spans="1:24" ht="15.75" x14ac:dyDescent="0.25">
      <c r="A92" s="271"/>
      <c r="B92" s="264" t="s">
        <v>196</v>
      </c>
      <c r="C92" s="279">
        <v>0</v>
      </c>
      <c r="D92" s="279">
        <v>0</v>
      </c>
      <c r="E92" s="279">
        <v>0</v>
      </c>
      <c r="F92" s="279">
        <v>0</v>
      </c>
      <c r="G92" s="279">
        <v>0</v>
      </c>
      <c r="H92" s="279">
        <v>0</v>
      </c>
      <c r="I92" s="279">
        <v>0</v>
      </c>
      <c r="J92" s="279">
        <v>0</v>
      </c>
      <c r="K92" s="279">
        <v>0</v>
      </c>
      <c r="L92" s="279">
        <v>0</v>
      </c>
      <c r="M92" s="279">
        <v>0</v>
      </c>
      <c r="N92" s="279">
        <v>0</v>
      </c>
      <c r="O92" s="279">
        <v>0</v>
      </c>
      <c r="P92" s="279">
        <v>0</v>
      </c>
      <c r="Q92" s="279">
        <v>0</v>
      </c>
      <c r="R92" s="279">
        <v>0</v>
      </c>
      <c r="S92" s="279">
        <v>0</v>
      </c>
      <c r="T92" s="279">
        <v>0</v>
      </c>
      <c r="U92" s="279">
        <v>0</v>
      </c>
      <c r="V92" s="279">
        <v>10.907999999999999</v>
      </c>
      <c r="W92" s="280">
        <v>0</v>
      </c>
      <c r="X92" s="280">
        <v>10.907999999999999</v>
      </c>
    </row>
    <row r="93" spans="1:24" ht="15.75" x14ac:dyDescent="0.25">
      <c r="A93" s="271"/>
      <c r="B93" s="264" t="s">
        <v>197</v>
      </c>
      <c r="C93" s="279">
        <v>0</v>
      </c>
      <c r="D93" s="279">
        <v>0</v>
      </c>
      <c r="E93" s="279">
        <v>0</v>
      </c>
      <c r="F93" s="279">
        <v>0</v>
      </c>
      <c r="G93" s="279">
        <v>0</v>
      </c>
      <c r="H93" s="279">
        <v>0</v>
      </c>
      <c r="I93" s="279">
        <v>0</v>
      </c>
      <c r="J93" s="279">
        <v>0</v>
      </c>
      <c r="K93" s="279">
        <v>0</v>
      </c>
      <c r="L93" s="279">
        <v>0</v>
      </c>
      <c r="M93" s="279">
        <v>0</v>
      </c>
      <c r="N93" s="279">
        <v>0</v>
      </c>
      <c r="O93" s="279">
        <v>0</v>
      </c>
      <c r="P93" s="279">
        <v>0</v>
      </c>
      <c r="Q93" s="279">
        <v>0</v>
      </c>
      <c r="R93" s="279">
        <v>0</v>
      </c>
      <c r="S93" s="279">
        <v>0</v>
      </c>
      <c r="T93" s="279">
        <v>0</v>
      </c>
      <c r="U93" s="279">
        <v>8.3060000000000009</v>
      </c>
      <c r="V93" s="279">
        <v>0</v>
      </c>
      <c r="W93" s="280">
        <v>0</v>
      </c>
      <c r="X93" s="280">
        <v>8.3060000000000009</v>
      </c>
    </row>
    <row r="94" spans="1:24" ht="16.5" thickBot="1" x14ac:dyDescent="0.3">
      <c r="A94" s="271"/>
      <c r="B94" s="264" t="s">
        <v>198</v>
      </c>
      <c r="C94" s="279">
        <v>0</v>
      </c>
      <c r="D94" s="279">
        <v>0</v>
      </c>
      <c r="E94" s="279">
        <v>0</v>
      </c>
      <c r="F94" s="279">
        <v>0</v>
      </c>
      <c r="G94" s="279">
        <v>0</v>
      </c>
      <c r="H94" s="279">
        <v>0</v>
      </c>
      <c r="I94" s="279">
        <v>0</v>
      </c>
      <c r="J94" s="279">
        <v>0</v>
      </c>
      <c r="K94" s="279">
        <v>0</v>
      </c>
      <c r="L94" s="279">
        <v>0</v>
      </c>
      <c r="M94" s="279">
        <v>0</v>
      </c>
      <c r="N94" s="279">
        <v>0</v>
      </c>
      <c r="O94" s="279">
        <v>0</v>
      </c>
      <c r="P94" s="279">
        <v>0</v>
      </c>
      <c r="Q94" s="279">
        <v>0</v>
      </c>
      <c r="R94" s="279">
        <v>0</v>
      </c>
      <c r="S94" s="279">
        <v>0</v>
      </c>
      <c r="T94" s="279">
        <v>0</v>
      </c>
      <c r="U94" s="279">
        <v>16.631</v>
      </c>
      <c r="V94" s="279">
        <v>0</v>
      </c>
      <c r="W94" s="280">
        <v>0</v>
      </c>
      <c r="X94" s="280">
        <v>16.631</v>
      </c>
    </row>
    <row r="95" spans="1:24" ht="16.5" thickBot="1" x14ac:dyDescent="0.3">
      <c r="A95" s="271"/>
      <c r="B95" s="276" t="s">
        <v>199</v>
      </c>
      <c r="C95" s="281">
        <v>0</v>
      </c>
      <c r="D95" s="281">
        <v>0</v>
      </c>
      <c r="E95" s="281">
        <v>0</v>
      </c>
      <c r="F95" s="281">
        <v>0</v>
      </c>
      <c r="G95" s="281">
        <v>0</v>
      </c>
      <c r="H95" s="281">
        <v>0</v>
      </c>
      <c r="I95" s="281">
        <v>0</v>
      </c>
      <c r="J95" s="281">
        <v>0</v>
      </c>
      <c r="K95" s="281">
        <v>0</v>
      </c>
      <c r="L95" s="281">
        <v>0</v>
      </c>
      <c r="M95" s="281">
        <v>9.3629999999999995</v>
      </c>
      <c r="N95" s="281">
        <v>0</v>
      </c>
      <c r="O95" s="281">
        <v>0</v>
      </c>
      <c r="P95" s="281">
        <v>0</v>
      </c>
      <c r="Q95" s="281">
        <v>0</v>
      </c>
      <c r="R95" s="281">
        <v>0</v>
      </c>
      <c r="S95" s="281">
        <v>0</v>
      </c>
      <c r="T95" s="281">
        <v>0</v>
      </c>
      <c r="U95" s="281">
        <v>48.781000000000006</v>
      </c>
      <c r="V95" s="281">
        <v>32.103000000000002</v>
      </c>
      <c r="W95" s="281">
        <v>0</v>
      </c>
      <c r="X95" s="281">
        <v>90.247</v>
      </c>
    </row>
    <row r="96" spans="1:24" ht="15.75" x14ac:dyDescent="0.25">
      <c r="A96" s="286"/>
      <c r="B96" s="264" t="s">
        <v>200</v>
      </c>
      <c r="C96" s="270">
        <v>1</v>
      </c>
      <c r="D96" s="270">
        <v>1.6400000000000001</v>
      </c>
      <c r="E96" s="270">
        <v>1.53</v>
      </c>
      <c r="F96" s="270">
        <v>1.62</v>
      </c>
      <c r="G96" s="270">
        <v>1.8499999999999999</v>
      </c>
      <c r="H96" s="270">
        <v>1.83</v>
      </c>
      <c r="I96" s="270">
        <v>2.02</v>
      </c>
      <c r="J96" s="270">
        <v>2.0300000000000002</v>
      </c>
      <c r="K96" s="270">
        <v>2.0099999999999998</v>
      </c>
      <c r="L96" s="270">
        <v>2.0900000000000003</v>
      </c>
      <c r="M96" s="270">
        <v>2.08</v>
      </c>
      <c r="N96" s="270">
        <v>1.9500000000000002</v>
      </c>
      <c r="O96" s="270">
        <v>1.9200000000000002</v>
      </c>
      <c r="P96" s="270">
        <v>1.84</v>
      </c>
      <c r="Q96" s="270">
        <v>1.6600000000000001</v>
      </c>
      <c r="R96" s="270">
        <v>1.3</v>
      </c>
      <c r="S96" s="270">
        <v>1.4100000000000001</v>
      </c>
      <c r="T96" s="270">
        <v>1.17</v>
      </c>
      <c r="U96" s="270">
        <v>0.98000000000000009</v>
      </c>
      <c r="V96" s="270">
        <v>0.85</v>
      </c>
      <c r="W96" s="270">
        <v>17.62</v>
      </c>
      <c r="X96" s="270">
        <v>32.78</v>
      </c>
    </row>
    <row r="97" spans="1:24" ht="15.75" x14ac:dyDescent="0.25">
      <c r="A97" s="271"/>
      <c r="B97" s="264" t="s">
        <v>201</v>
      </c>
      <c r="C97" s="270">
        <v>40</v>
      </c>
      <c r="D97" s="270">
        <v>37</v>
      </c>
      <c r="E97" s="270">
        <v>36.5</v>
      </c>
      <c r="F97" s="270">
        <v>41.7</v>
      </c>
      <c r="G97" s="270">
        <v>41.4</v>
      </c>
      <c r="H97" s="270">
        <v>45.6</v>
      </c>
      <c r="I97" s="270">
        <v>42.7</v>
      </c>
      <c r="J97" s="270">
        <v>41.100000000000009</v>
      </c>
      <c r="K97" s="270">
        <v>40.500000000000014</v>
      </c>
      <c r="L97" s="270">
        <v>38.200000000000003</v>
      </c>
      <c r="M97" s="270">
        <v>34.6</v>
      </c>
      <c r="N97" s="270">
        <v>32.099999999999994</v>
      </c>
      <c r="O97" s="270">
        <v>31.299999999999997</v>
      </c>
      <c r="P97" s="270">
        <v>30.1</v>
      </c>
      <c r="Q97" s="270">
        <v>25.5</v>
      </c>
      <c r="R97" s="270">
        <v>25.5</v>
      </c>
      <c r="S97" s="270">
        <v>25.300000000000004</v>
      </c>
      <c r="T97" s="270">
        <v>24.6</v>
      </c>
      <c r="U97" s="270">
        <v>23.5</v>
      </c>
      <c r="V97" s="270">
        <v>22.700000000000003</v>
      </c>
      <c r="W97" s="270">
        <v>404.7</v>
      </c>
      <c r="X97" s="270">
        <v>679.9</v>
      </c>
    </row>
    <row r="98" spans="1:24" ht="16.5" thickBot="1" x14ac:dyDescent="0.3">
      <c r="A98" s="271"/>
      <c r="B98" s="264" t="s">
        <v>202</v>
      </c>
      <c r="C98" s="270">
        <v>11</v>
      </c>
      <c r="D98" s="270">
        <v>9.9499999999999993</v>
      </c>
      <c r="E98" s="270">
        <v>10.15</v>
      </c>
      <c r="F98" s="270">
        <v>11.299999999999999</v>
      </c>
      <c r="G98" s="270">
        <v>11.830000000000002</v>
      </c>
      <c r="H98" s="270">
        <v>11.909999999999998</v>
      </c>
      <c r="I98" s="270">
        <v>11.6</v>
      </c>
      <c r="J98" s="270">
        <v>11.189999999999998</v>
      </c>
      <c r="K98" s="270">
        <v>11.089999999999998</v>
      </c>
      <c r="L98" s="270">
        <v>10.749999999999998</v>
      </c>
      <c r="M98" s="270">
        <v>9.7799999999999994</v>
      </c>
      <c r="N98" s="270">
        <v>9.3800000000000026</v>
      </c>
      <c r="O98" s="270">
        <v>8.7900000000000009</v>
      </c>
      <c r="P98" s="270">
        <v>8.1599999999999984</v>
      </c>
      <c r="Q98" s="270">
        <v>7.6700000000000008</v>
      </c>
      <c r="R98" s="270">
        <v>5.8800000000000017</v>
      </c>
      <c r="S98" s="270">
        <v>5.8899999999999988</v>
      </c>
      <c r="T98" s="270">
        <v>4.7200000000000015</v>
      </c>
      <c r="U98" s="270">
        <v>4.0500000000000007</v>
      </c>
      <c r="V98" s="270">
        <v>4.0599999999999996</v>
      </c>
      <c r="W98" s="282">
        <v>110.77</v>
      </c>
      <c r="X98" s="282">
        <v>179.14999999999998</v>
      </c>
    </row>
    <row r="99" spans="1:24" ht="16.5" thickBot="1" x14ac:dyDescent="0.3">
      <c r="A99" s="271"/>
      <c r="B99" s="276" t="s">
        <v>203</v>
      </c>
      <c r="C99" s="277">
        <v>52</v>
      </c>
      <c r="D99" s="277">
        <v>48.59</v>
      </c>
      <c r="E99" s="277">
        <v>48.18</v>
      </c>
      <c r="F99" s="277">
        <v>54.62</v>
      </c>
      <c r="G99" s="277">
        <v>55.08</v>
      </c>
      <c r="H99" s="277">
        <v>59.339999999999996</v>
      </c>
      <c r="I99" s="277">
        <v>56.320000000000007</v>
      </c>
      <c r="J99" s="277">
        <v>54.320000000000007</v>
      </c>
      <c r="K99" s="277">
        <v>53.600000000000009</v>
      </c>
      <c r="L99" s="277">
        <v>51.040000000000006</v>
      </c>
      <c r="M99" s="277">
        <v>46.46</v>
      </c>
      <c r="N99" s="277">
        <v>43.43</v>
      </c>
      <c r="O99" s="277">
        <v>42.01</v>
      </c>
      <c r="P99" s="277">
        <v>40.1</v>
      </c>
      <c r="Q99" s="277">
        <v>34.83</v>
      </c>
      <c r="R99" s="277">
        <v>32.68</v>
      </c>
      <c r="S99" s="277">
        <v>32.6</v>
      </c>
      <c r="T99" s="277">
        <v>30.490000000000006</v>
      </c>
      <c r="U99" s="277">
        <v>28.53</v>
      </c>
      <c r="V99" s="277">
        <v>27.610000000000003</v>
      </c>
      <c r="W99" s="277">
        <v>533.09</v>
      </c>
      <c r="X99" s="277">
        <v>891.83</v>
      </c>
    </row>
    <row r="100" spans="1:24" ht="15.75" x14ac:dyDescent="0.25">
      <c r="A100" s="286"/>
      <c r="B100" s="272" t="s">
        <v>204</v>
      </c>
      <c r="C100" s="270">
        <v>0</v>
      </c>
      <c r="D100" s="270">
        <v>0</v>
      </c>
      <c r="E100" s="270">
        <v>0</v>
      </c>
      <c r="F100" s="270">
        <v>0</v>
      </c>
      <c r="G100" s="270">
        <v>0</v>
      </c>
      <c r="H100" s="270">
        <v>0</v>
      </c>
      <c r="I100" s="270">
        <v>0</v>
      </c>
      <c r="J100" s="270">
        <v>0</v>
      </c>
      <c r="K100" s="270">
        <v>0</v>
      </c>
      <c r="L100" s="270">
        <v>0</v>
      </c>
      <c r="M100" s="270">
        <v>210</v>
      </c>
      <c r="N100" s="270">
        <v>0</v>
      </c>
      <c r="O100" s="270">
        <v>0</v>
      </c>
      <c r="P100" s="270">
        <v>60</v>
      </c>
      <c r="Q100" s="270">
        <v>0</v>
      </c>
      <c r="R100" s="270">
        <v>0</v>
      </c>
      <c r="S100" s="270">
        <v>0</v>
      </c>
      <c r="T100" s="270">
        <v>0</v>
      </c>
      <c r="U100" s="270">
        <v>0</v>
      </c>
      <c r="V100" s="270">
        <v>180</v>
      </c>
      <c r="W100" s="269">
        <v>0</v>
      </c>
      <c r="X100" s="269">
        <v>450</v>
      </c>
    </row>
    <row r="101" spans="1:24" ht="15.75" x14ac:dyDescent="0.25">
      <c r="A101" s="286"/>
      <c r="B101" s="272" t="s">
        <v>205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  <c r="H101" s="270">
        <v>0</v>
      </c>
      <c r="I101" s="270">
        <v>0</v>
      </c>
      <c r="J101" s="270">
        <v>0</v>
      </c>
      <c r="K101" s="270">
        <v>0</v>
      </c>
      <c r="L101" s="270">
        <v>75</v>
      </c>
      <c r="M101" s="270">
        <v>45</v>
      </c>
      <c r="N101" s="270">
        <v>0</v>
      </c>
      <c r="O101" s="270">
        <v>0</v>
      </c>
      <c r="P101" s="270">
        <v>0</v>
      </c>
      <c r="Q101" s="270">
        <v>0</v>
      </c>
      <c r="R101" s="270">
        <v>0</v>
      </c>
      <c r="S101" s="270">
        <v>0</v>
      </c>
      <c r="T101" s="270">
        <v>0</v>
      </c>
      <c r="U101" s="270">
        <v>0</v>
      </c>
      <c r="V101" s="270">
        <v>0</v>
      </c>
      <c r="W101" s="269">
        <v>75</v>
      </c>
      <c r="X101" s="269">
        <v>120</v>
      </c>
    </row>
    <row r="102" spans="1:24" ht="15.75" x14ac:dyDescent="0.25">
      <c r="A102" s="286"/>
      <c r="B102" s="264" t="s">
        <v>206</v>
      </c>
      <c r="C102" s="270">
        <v>0</v>
      </c>
      <c r="D102" s="270">
        <v>0</v>
      </c>
      <c r="E102" s="287">
        <v>0</v>
      </c>
      <c r="F102" s="270">
        <v>0</v>
      </c>
      <c r="G102" s="270">
        <v>0</v>
      </c>
      <c r="H102" s="270">
        <v>0</v>
      </c>
      <c r="I102" s="270">
        <v>0</v>
      </c>
      <c r="J102" s="270">
        <v>0</v>
      </c>
      <c r="K102" s="270">
        <v>0</v>
      </c>
      <c r="L102" s="270">
        <v>0</v>
      </c>
      <c r="M102" s="270">
        <v>105</v>
      </c>
      <c r="N102" s="270">
        <v>0</v>
      </c>
      <c r="O102" s="270">
        <v>0</v>
      </c>
      <c r="P102" s="270">
        <v>0</v>
      </c>
      <c r="Q102" s="270">
        <v>0</v>
      </c>
      <c r="R102" s="270">
        <v>0</v>
      </c>
      <c r="S102" s="270">
        <v>0</v>
      </c>
      <c r="T102" s="270">
        <v>0</v>
      </c>
      <c r="U102" s="270">
        <v>0</v>
      </c>
      <c r="V102" s="270">
        <v>0</v>
      </c>
      <c r="W102" s="270">
        <v>0</v>
      </c>
      <c r="X102" s="270">
        <v>105</v>
      </c>
    </row>
    <row r="103" spans="1:24" ht="15.75" x14ac:dyDescent="0.25">
      <c r="A103" s="286"/>
      <c r="B103" s="264" t="s">
        <v>207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  <c r="H103" s="287">
        <v>0</v>
      </c>
      <c r="I103" s="270">
        <v>0</v>
      </c>
      <c r="J103" s="270">
        <v>0</v>
      </c>
      <c r="K103" s="270">
        <v>0</v>
      </c>
      <c r="L103" s="270">
        <v>0</v>
      </c>
      <c r="M103" s="270">
        <v>75</v>
      </c>
      <c r="N103" s="270">
        <v>0</v>
      </c>
      <c r="O103" s="270">
        <v>0</v>
      </c>
      <c r="P103" s="270">
        <v>60</v>
      </c>
      <c r="Q103" s="270">
        <v>0</v>
      </c>
      <c r="R103" s="270">
        <v>0</v>
      </c>
      <c r="S103" s="270">
        <v>0</v>
      </c>
      <c r="T103" s="270">
        <v>0</v>
      </c>
      <c r="U103" s="270">
        <v>0</v>
      </c>
      <c r="V103" s="270">
        <v>60</v>
      </c>
      <c r="W103" s="270">
        <v>0</v>
      </c>
      <c r="X103" s="270">
        <v>195</v>
      </c>
    </row>
    <row r="104" spans="1:24" ht="15.75" x14ac:dyDescent="0.25">
      <c r="A104" s="286"/>
      <c r="B104" s="272" t="s">
        <v>208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  <c r="H104" s="270">
        <v>0</v>
      </c>
      <c r="I104" s="270">
        <v>0</v>
      </c>
      <c r="J104" s="270">
        <v>0</v>
      </c>
      <c r="K104" s="270">
        <v>0</v>
      </c>
      <c r="L104" s="270">
        <v>105</v>
      </c>
      <c r="M104" s="270">
        <v>0</v>
      </c>
      <c r="N104" s="270">
        <v>0</v>
      </c>
      <c r="O104" s="270">
        <v>0</v>
      </c>
      <c r="P104" s="270">
        <v>0</v>
      </c>
      <c r="Q104" s="270">
        <v>0</v>
      </c>
      <c r="R104" s="270">
        <v>0</v>
      </c>
      <c r="S104" s="270">
        <v>0</v>
      </c>
      <c r="T104" s="270">
        <v>0</v>
      </c>
      <c r="U104" s="270">
        <v>0</v>
      </c>
      <c r="V104" s="270">
        <v>0</v>
      </c>
      <c r="W104" s="269">
        <v>105</v>
      </c>
      <c r="X104" s="269">
        <v>105</v>
      </c>
    </row>
    <row r="105" spans="1:24" ht="15.75" x14ac:dyDescent="0.25">
      <c r="A105" s="284"/>
      <c r="B105" s="272" t="s">
        <v>209</v>
      </c>
      <c r="C105" s="270">
        <v>997.76199999999994</v>
      </c>
      <c r="D105" s="270">
        <v>719.45</v>
      </c>
      <c r="E105" s="270">
        <v>493</v>
      </c>
      <c r="F105" s="270">
        <v>502.68</v>
      </c>
      <c r="G105" s="270">
        <v>497.88</v>
      </c>
      <c r="H105" s="270">
        <v>130.94999999999999</v>
      </c>
      <c r="I105" s="270">
        <v>126.44500000000001</v>
      </c>
      <c r="J105" s="270">
        <v>191.24</v>
      </c>
      <c r="K105" s="270">
        <v>264</v>
      </c>
      <c r="L105" s="270">
        <v>1075</v>
      </c>
      <c r="M105" s="270">
        <v>1075</v>
      </c>
      <c r="N105" s="270">
        <v>1075</v>
      </c>
      <c r="O105" s="270">
        <v>1075</v>
      </c>
      <c r="P105" s="270">
        <v>1075</v>
      </c>
      <c r="Q105" s="270">
        <v>1075</v>
      </c>
      <c r="R105" s="270">
        <v>1075</v>
      </c>
      <c r="S105" s="270">
        <v>1074.4749999999999</v>
      </c>
      <c r="T105" s="270">
        <v>976.6</v>
      </c>
      <c r="U105" s="270">
        <v>1074.4749999999999</v>
      </c>
      <c r="V105" s="270">
        <v>1075</v>
      </c>
      <c r="W105" s="269">
        <v>499.84070000000003</v>
      </c>
      <c r="X105" s="269">
        <v>782.44785000000002</v>
      </c>
    </row>
    <row r="106" spans="1:24" ht="16.5" thickBot="1" x14ac:dyDescent="0.3">
      <c r="A106" s="288"/>
      <c r="B106" s="268" t="s">
        <v>210</v>
      </c>
      <c r="C106" s="282">
        <v>151.44499999999999</v>
      </c>
      <c r="D106" s="282">
        <v>130.95999999999998</v>
      </c>
      <c r="E106" s="282">
        <v>268.48</v>
      </c>
      <c r="F106" s="282">
        <v>303.32</v>
      </c>
      <c r="G106" s="282">
        <v>314</v>
      </c>
      <c r="H106" s="282">
        <v>44.274999999999999</v>
      </c>
      <c r="I106" s="282">
        <v>50.8</v>
      </c>
      <c r="J106" s="282">
        <v>52.575000000000003</v>
      </c>
      <c r="K106" s="282">
        <v>99.65</v>
      </c>
      <c r="L106" s="282">
        <v>231.56</v>
      </c>
      <c r="M106" s="282">
        <v>222.2</v>
      </c>
      <c r="N106" s="282">
        <v>172.97000000000003</v>
      </c>
      <c r="O106" s="282">
        <v>191.99</v>
      </c>
      <c r="P106" s="282">
        <v>128.03</v>
      </c>
      <c r="Q106" s="282">
        <v>62.76</v>
      </c>
      <c r="R106" s="282">
        <v>0</v>
      </c>
      <c r="S106" s="282">
        <v>35.4</v>
      </c>
      <c r="T106" s="282">
        <v>0</v>
      </c>
      <c r="U106" s="282">
        <v>0</v>
      </c>
      <c r="V106" s="282">
        <v>0</v>
      </c>
      <c r="W106" s="269">
        <v>164.70650000000001</v>
      </c>
      <c r="X106" s="269">
        <v>123.02075000000005</v>
      </c>
    </row>
    <row r="107" spans="1:24" ht="17.25" thickTop="1" thickBot="1" x14ac:dyDescent="0.3">
      <c r="A107" s="289"/>
      <c r="B107" s="290" t="s">
        <v>39</v>
      </c>
      <c r="C107" s="291">
        <v>0</v>
      </c>
      <c r="D107" s="291">
        <v>-60.650000000000013</v>
      </c>
      <c r="E107" s="291">
        <v>-572.70000000000005</v>
      </c>
      <c r="F107" s="291">
        <v>-224</v>
      </c>
      <c r="G107" s="291">
        <v>-1.4</v>
      </c>
      <c r="H107" s="291">
        <v>-412.3</v>
      </c>
      <c r="I107" s="291">
        <v>0</v>
      </c>
      <c r="J107" s="291">
        <v>-505.2</v>
      </c>
      <c r="K107" s="291">
        <v>-84.5</v>
      </c>
      <c r="L107" s="291">
        <v>-912.2</v>
      </c>
      <c r="M107" s="291">
        <v>-449.2</v>
      </c>
      <c r="N107" s="291">
        <v>-396.09999999999997</v>
      </c>
      <c r="O107" s="291">
        <v>-350.19999999999993</v>
      </c>
      <c r="P107" s="291">
        <v>-113.9</v>
      </c>
      <c r="Q107" s="291">
        <v>-557.20000000000005</v>
      </c>
      <c r="R107" s="291">
        <v>-155.80700000000002</v>
      </c>
      <c r="S107" s="291">
        <v>-35.9</v>
      </c>
      <c r="T107" s="291">
        <v>-280.3</v>
      </c>
      <c r="U107" s="291">
        <v>-2260.1999999999998</v>
      </c>
      <c r="V107" s="291">
        <v>-745</v>
      </c>
      <c r="W107" s="292"/>
      <c r="X107" s="292"/>
    </row>
    <row r="108" spans="1:24" ht="16.5" thickTop="1" x14ac:dyDescent="0.25">
      <c r="A108" s="274"/>
      <c r="B108" s="293" t="s">
        <v>42</v>
      </c>
      <c r="C108" s="294">
        <v>130.06000000000017</v>
      </c>
      <c r="D108" s="294">
        <v>132.05999999999995</v>
      </c>
      <c r="E108" s="294">
        <v>298.89400000000006</v>
      </c>
      <c r="F108" s="294">
        <v>206.37999999999982</v>
      </c>
      <c r="G108" s="294">
        <v>237.45000000000024</v>
      </c>
      <c r="H108" s="294">
        <v>4224.6599999999989</v>
      </c>
      <c r="I108" s="294">
        <v>155.40100000000001</v>
      </c>
      <c r="J108" s="294">
        <v>336.07600000000014</v>
      </c>
      <c r="K108" s="294">
        <v>143.26000000000005</v>
      </c>
      <c r="L108" s="294">
        <v>317.82000000000016</v>
      </c>
      <c r="M108" s="294">
        <v>1063.3110000000001</v>
      </c>
      <c r="N108" s="294">
        <v>2038.0539999999994</v>
      </c>
      <c r="O108" s="294">
        <v>143.54000000000019</v>
      </c>
      <c r="P108" s="294">
        <v>302.53500000000031</v>
      </c>
      <c r="Q108" s="294">
        <v>574.41999999999985</v>
      </c>
      <c r="R108" s="294">
        <v>81.789999999999964</v>
      </c>
      <c r="S108" s="294">
        <v>92.712999999999965</v>
      </c>
      <c r="T108" s="294">
        <v>488.33399999999995</v>
      </c>
      <c r="U108" s="294">
        <v>2354.7720000000004</v>
      </c>
      <c r="V108" s="294">
        <v>1529.6789999999999</v>
      </c>
      <c r="W108" s="295"/>
      <c r="X108" s="295"/>
    </row>
    <row r="109" spans="1:24" ht="15.75" x14ac:dyDescent="0.25">
      <c r="A109" s="296"/>
      <c r="B109" s="297" t="s">
        <v>43</v>
      </c>
      <c r="C109" s="269">
        <v>1149.2069999999999</v>
      </c>
      <c r="D109" s="269">
        <v>850.41000000000008</v>
      </c>
      <c r="E109" s="269">
        <v>761.48</v>
      </c>
      <c r="F109" s="269">
        <v>806</v>
      </c>
      <c r="G109" s="269">
        <v>811.88</v>
      </c>
      <c r="H109" s="269">
        <v>175.22499999999999</v>
      </c>
      <c r="I109" s="269">
        <v>177.245</v>
      </c>
      <c r="J109" s="269">
        <v>243.815</v>
      </c>
      <c r="K109" s="269">
        <v>363.65</v>
      </c>
      <c r="L109" s="269">
        <v>1394.1</v>
      </c>
      <c r="M109" s="269">
        <v>1597.2</v>
      </c>
      <c r="N109" s="269">
        <v>1446.6000000000001</v>
      </c>
      <c r="O109" s="269">
        <v>1440.78</v>
      </c>
      <c r="P109" s="269">
        <v>1409.34</v>
      </c>
      <c r="Q109" s="269">
        <v>1435.45</v>
      </c>
      <c r="R109" s="269">
        <v>1375</v>
      </c>
      <c r="S109" s="269">
        <v>1409.875</v>
      </c>
      <c r="T109" s="269">
        <v>1276.5999999999999</v>
      </c>
      <c r="U109" s="269">
        <v>1374.4749999999999</v>
      </c>
      <c r="V109" s="269">
        <v>1375</v>
      </c>
      <c r="W109" s="295"/>
      <c r="X109" s="295"/>
    </row>
    <row r="110" spans="1:24" ht="15.75" x14ac:dyDescent="0.25">
      <c r="A110" s="296"/>
      <c r="B110" s="297" t="s">
        <v>44</v>
      </c>
      <c r="C110" s="269">
        <v>1279.2670000000001</v>
      </c>
      <c r="D110" s="269">
        <v>982.47</v>
      </c>
      <c r="E110" s="269">
        <v>1060.374</v>
      </c>
      <c r="F110" s="269">
        <v>1012.3799999999999</v>
      </c>
      <c r="G110" s="269">
        <v>1049.3300000000002</v>
      </c>
      <c r="H110" s="269">
        <v>4399.8849999999993</v>
      </c>
      <c r="I110" s="269">
        <v>332.64600000000002</v>
      </c>
      <c r="J110" s="269">
        <v>579.89100000000008</v>
      </c>
      <c r="K110" s="269">
        <v>506.91</v>
      </c>
      <c r="L110" s="269">
        <v>1711.92</v>
      </c>
      <c r="M110" s="269">
        <v>2660.5110000000004</v>
      </c>
      <c r="N110" s="269">
        <v>3484.6539999999995</v>
      </c>
      <c r="O110" s="269">
        <v>1584.3200000000002</v>
      </c>
      <c r="P110" s="269">
        <v>1711.8750000000002</v>
      </c>
      <c r="Q110" s="269">
        <v>2009.87</v>
      </c>
      <c r="R110" s="269">
        <v>1456.79</v>
      </c>
      <c r="S110" s="269">
        <v>1502.588</v>
      </c>
      <c r="T110" s="269">
        <v>1764.9339999999997</v>
      </c>
      <c r="U110" s="269">
        <v>3729.2470000000003</v>
      </c>
      <c r="V110" s="269">
        <v>2904.6790000000001</v>
      </c>
      <c r="W110" s="295"/>
      <c r="X110" s="295"/>
    </row>
    <row r="111" spans="1:24" ht="15.75" x14ac:dyDescent="0.25">
      <c r="A111" s="296"/>
      <c r="B111" s="296" t="s">
        <v>133</v>
      </c>
      <c r="C111" s="298"/>
      <c r="D111" s="298"/>
      <c r="E111" s="298"/>
      <c r="F111" s="298"/>
      <c r="G111" s="298"/>
      <c r="H111" s="298"/>
      <c r="I111" s="298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299"/>
      <c r="V111" s="299"/>
      <c r="W111" s="295"/>
      <c r="X111" s="295"/>
    </row>
  </sheetData>
  <mergeCells count="3">
    <mergeCell ref="B1:V1"/>
    <mergeCell ref="B2:V2"/>
    <mergeCell ref="B3:V3"/>
  </mergeCells>
  <conditionalFormatting sqref="A2 A4:B4">
    <cfRule type="expression" dxfId="24" priority="4" stopIfTrue="1">
      <formula>ROUND($G$475,0)&lt;&gt;0</formula>
    </cfRule>
  </conditionalFormatting>
  <conditionalFormatting sqref="A3">
    <cfRule type="expression" dxfId="23" priority="3" stopIfTrue="1">
      <formula>ROUND($G$475,0)&lt;&gt;0</formula>
    </cfRule>
  </conditionalFormatting>
  <conditionalFormatting sqref="B23">
    <cfRule type="containsText" dxfId="22" priority="1" operator="containsText" text="Early">
      <formula>NOT(ISERROR(SEARCH("Early",B23)))</formula>
    </cfRule>
  </conditionalFormatting>
  <printOptions horizontalCentered="1"/>
  <pageMargins left="0.25" right="0.25" top="0.75" bottom="0.75" header="0.3" footer="0.3"/>
  <pageSetup scale="38" fitToHeight="0" orientation="portrait" r:id="rId1"/>
  <headerFooter alignWithMargins="0"/>
  <rowBreaks count="2" manualBreakCount="2">
    <brk id="29" max="16383" man="1"/>
    <brk id="6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V43"/>
  <sheetViews>
    <sheetView showGridLines="0" view="pageBreakPreview" zoomScale="80" zoomScaleNormal="90" zoomScaleSheetLayoutView="80" workbookViewId="0">
      <selection activeCell="B32" sqref="B32:F43"/>
    </sheetView>
  </sheetViews>
  <sheetFormatPr defaultColWidth="9.33203125" defaultRowHeight="12" x14ac:dyDescent="0.2"/>
  <cols>
    <col min="1" max="1" width="2.83203125" style="26" customWidth="1"/>
    <col min="2" max="2" width="23" style="26" customWidth="1"/>
    <col min="3" max="6" width="18.83203125" style="26" customWidth="1"/>
    <col min="7" max="7" width="4.6640625" style="26" customWidth="1"/>
    <col min="8" max="8" width="5.83203125" style="51" customWidth="1"/>
    <col min="9" max="9" width="11.6640625" style="205" customWidth="1"/>
    <col min="10" max="10" width="3.5" style="205" customWidth="1"/>
    <col min="11" max="11" width="17.1640625" style="205" customWidth="1"/>
    <col min="12" max="12" width="12.5" style="205" customWidth="1"/>
    <col min="13" max="13" width="11" style="205" customWidth="1"/>
    <col min="14" max="14" width="3.83203125" style="205" customWidth="1"/>
    <col min="15" max="16" width="12.5" style="205" customWidth="1"/>
    <col min="17" max="17" width="3.83203125" style="205" customWidth="1"/>
    <col min="18" max="19" width="12.5" style="205" customWidth="1"/>
    <col min="20" max="20" width="3.33203125" style="205" customWidth="1"/>
    <col min="21" max="22" width="12.5" style="205" customWidth="1"/>
    <col min="23" max="16384" width="9.33203125" style="26"/>
  </cols>
  <sheetData>
    <row r="1" spans="1:22" x14ac:dyDescent="0.2">
      <c r="A1" s="2"/>
      <c r="B1" s="2"/>
      <c r="C1" s="2"/>
      <c r="D1" s="2"/>
      <c r="E1" s="2"/>
      <c r="F1" s="2"/>
      <c r="G1" s="28"/>
      <c r="I1" s="204"/>
      <c r="J1" s="204"/>
    </row>
    <row r="2" spans="1:22" x14ac:dyDescent="0.2">
      <c r="A2" s="2"/>
      <c r="B2" s="2" t="s">
        <v>18</v>
      </c>
      <c r="C2" s="2"/>
      <c r="D2" s="2"/>
      <c r="E2" s="2"/>
      <c r="F2" s="2"/>
      <c r="G2" s="28"/>
      <c r="I2" s="204"/>
      <c r="J2" s="204"/>
    </row>
    <row r="3" spans="1:22" x14ac:dyDescent="0.2">
      <c r="G3" s="28"/>
      <c r="I3" s="204"/>
      <c r="J3" s="204"/>
    </row>
    <row r="4" spans="1:22" x14ac:dyDescent="0.2">
      <c r="A4" s="27"/>
      <c r="B4" s="47" t="s">
        <v>49</v>
      </c>
      <c r="C4" s="27"/>
      <c r="D4" s="27"/>
      <c r="E4" s="27"/>
      <c r="F4" s="27"/>
      <c r="G4" s="28"/>
      <c r="I4" s="206"/>
      <c r="J4" s="206"/>
      <c r="L4" s="207"/>
      <c r="O4" s="207"/>
      <c r="R4" s="207"/>
      <c r="U4" s="207"/>
    </row>
    <row r="5" spans="1:22" x14ac:dyDescent="0.2">
      <c r="A5" s="27"/>
      <c r="B5" s="27"/>
    </row>
    <row r="6" spans="1:22" x14ac:dyDescent="0.2">
      <c r="A6" s="27"/>
      <c r="B6" s="28" t="s">
        <v>29</v>
      </c>
      <c r="C6" s="29" t="s">
        <v>122</v>
      </c>
      <c r="D6" s="29"/>
      <c r="E6" s="29" t="s">
        <v>91</v>
      </c>
      <c r="F6" s="29"/>
      <c r="J6" s="208"/>
      <c r="L6" s="205" t="s">
        <v>123</v>
      </c>
      <c r="O6" s="205" t="s">
        <v>124</v>
      </c>
      <c r="R6" s="205" t="s">
        <v>125</v>
      </c>
      <c r="U6" s="205" t="s">
        <v>126</v>
      </c>
    </row>
    <row r="7" spans="1:22" ht="14.25" x14ac:dyDescent="0.35">
      <c r="A7" s="27"/>
      <c r="B7" s="28" t="s">
        <v>27</v>
      </c>
      <c r="C7" s="30" t="s">
        <v>9</v>
      </c>
      <c r="D7" s="30" t="s">
        <v>10</v>
      </c>
      <c r="E7" s="30" t="s">
        <v>9</v>
      </c>
      <c r="F7" s="30" t="s">
        <v>10</v>
      </c>
      <c r="H7" s="50"/>
      <c r="I7" s="209" t="s">
        <v>128</v>
      </c>
      <c r="J7" s="210"/>
      <c r="K7" s="211"/>
      <c r="L7" s="211" t="s">
        <v>127</v>
      </c>
      <c r="M7" s="211"/>
      <c r="O7" s="211" t="s">
        <v>127</v>
      </c>
      <c r="R7" s="211" t="s">
        <v>127</v>
      </c>
      <c r="U7" s="211" t="s">
        <v>127</v>
      </c>
    </row>
    <row r="8" spans="1:22" hidden="1" x14ac:dyDescent="0.2">
      <c r="A8" s="31"/>
      <c r="B8" s="32"/>
      <c r="C8" s="33"/>
      <c r="D8" s="33"/>
      <c r="E8" s="33"/>
      <c r="F8" s="33"/>
      <c r="H8" s="57"/>
      <c r="I8" s="212"/>
      <c r="J8" s="213"/>
      <c r="L8" s="214"/>
      <c r="O8" s="214"/>
      <c r="R8" s="214"/>
      <c r="U8" s="214"/>
    </row>
    <row r="9" spans="1:22" hidden="1" x14ac:dyDescent="0.2">
      <c r="A9" s="31"/>
      <c r="B9" s="32"/>
      <c r="C9" s="33"/>
      <c r="D9" s="33"/>
      <c r="E9" s="33"/>
      <c r="F9" s="33"/>
      <c r="H9" s="57"/>
      <c r="I9" s="212"/>
      <c r="J9" s="213"/>
      <c r="L9" s="214"/>
      <c r="O9" s="214"/>
      <c r="R9" s="214"/>
      <c r="U9" s="214"/>
    </row>
    <row r="10" spans="1:22" hidden="1" x14ac:dyDescent="0.2">
      <c r="A10" s="31"/>
      <c r="B10" s="128">
        <f>[21]SourceEnergy!$R$20</f>
        <v>2017</v>
      </c>
      <c r="C10" s="34">
        <f>INDEX([21]SourceEnergy!$S$20:$T$40,MATCH($B10,[21]SourceEnergy!$R$20:$R$40,0),MATCH(C$7,[21]SourceEnergy!$S$12:$T$12,0))/10</f>
        <v>0</v>
      </c>
      <c r="D10" s="34">
        <f>INDEX([21]SourceEnergy!$S$20:$T$40,MATCH($B10,[21]SourceEnergy!$R$20:$R$40,0),MATCH(D$7,[21]SourceEnergy!$S$12:$T$12,0))/10</f>
        <v>0</v>
      </c>
      <c r="E10" s="34">
        <f>INDEX([21]SourceEnergy!$U$20:$V$40,MATCH($B10,[21]SourceEnergy!$R$20:$R$40,0),MATCH(E$7,[21]SourceEnergy!$U$12:$V$12,0))/10</f>
        <v>0</v>
      </c>
      <c r="F10" s="34">
        <f>INDEX([21]SourceEnergy!$U$20:$V$40,MATCH($B10,[21]SourceEnergy!$R$20:$R$40,0),MATCH(F$7,[21]SourceEnergy!$U$12:$V$12,0))/10</f>
        <v>0</v>
      </c>
      <c r="H10" s="57"/>
      <c r="I10" s="212">
        <v>1</v>
      </c>
      <c r="J10" s="213"/>
      <c r="L10" s="228">
        <f>C10*1*$I10</f>
        <v>0</v>
      </c>
      <c r="M10" s="229">
        <f t="shared" ref="M10" si="0">M$34*$I10</f>
        <v>1.372169803107969</v>
      </c>
      <c r="O10" s="228">
        <f>D10*1*$I10</f>
        <v>0</v>
      </c>
      <c r="P10" s="229">
        <f t="shared" ref="P10" si="1">P$34*$I10</f>
        <v>3.0864937907229293</v>
      </c>
      <c r="R10" s="228">
        <f>E10*1*$I10</f>
        <v>0</v>
      </c>
      <c r="S10" s="229">
        <f t="shared" ref="S10" si="2">S$34*$I10</f>
        <v>1.3519873702710197</v>
      </c>
      <c r="U10" s="228">
        <f>F10*1*$I10</f>
        <v>0</v>
      </c>
      <c r="V10" s="229">
        <f t="shared" ref="V10" si="3">V$34*$I10</f>
        <v>1.5590816847821158</v>
      </c>
    </row>
    <row r="11" spans="1:22" hidden="1" x14ac:dyDescent="0.2">
      <c r="A11" s="31"/>
      <c r="B11" s="128">
        <v>2020</v>
      </c>
      <c r="C11" s="34">
        <f>INDEX([21]SourceEnergy!$S$20:$T$45,MATCH($B11,[21]SourceEnergy!$R$20:$R$45,0),MATCH(C$7,[21]SourceEnergy!$S$12:$T$12,0))/10</f>
        <v>0</v>
      </c>
      <c r="D11" s="34">
        <f>INDEX([21]SourceEnergy!$S$20:$T$45,MATCH($B11,[21]SourceEnergy!$R$20:$R$45,0),MATCH(D$7,[21]SourceEnergy!$S$12:$T$12,0))/10</f>
        <v>0</v>
      </c>
      <c r="E11" s="34">
        <f>INDEX([21]SourceEnergy!$U$20:$V$45,MATCH($B11,[21]SourceEnergy!$R$20:$R$45,0),MATCH(E$7,[21]SourceEnergy!$U$12:$V$12,0))/10</f>
        <v>0</v>
      </c>
      <c r="F11" s="34">
        <f>INDEX([21]SourceEnergy!$U$20:$V$45,MATCH($B11,[21]SourceEnergy!$R$20:$R$45,0),MATCH(F$7,[21]SourceEnergy!$U$12:$V$12,0))/10</f>
        <v>0</v>
      </c>
      <c r="H11" s="57"/>
      <c r="I11" s="213">
        <f>I10-0.005</f>
        <v>0.995</v>
      </c>
      <c r="J11" s="213"/>
      <c r="L11" s="228">
        <f t="shared" ref="L11:L27" si="4">C11*1*$I11</f>
        <v>0</v>
      </c>
      <c r="M11" s="229">
        <f>M$34*$I11</f>
        <v>1.365308954092429</v>
      </c>
      <c r="O11" s="228">
        <f t="shared" ref="O11:O27" si="5">D11*1*$I11</f>
        <v>0</v>
      </c>
      <c r="P11" s="229">
        <f>P$34*$I11</f>
        <v>3.0710613217693146</v>
      </c>
      <c r="R11" s="228">
        <f t="shared" ref="R11:R27" si="6">E11*1*$I11</f>
        <v>0</v>
      </c>
      <c r="S11" s="229">
        <f>S$34*$I11</f>
        <v>1.3452274334196646</v>
      </c>
      <c r="U11" s="228">
        <f t="shared" ref="U11:U27" si="7">F11*1*$I11</f>
        <v>0</v>
      </c>
      <c r="V11" s="229">
        <f>V$34*$I11</f>
        <v>1.5512862763582052</v>
      </c>
    </row>
    <row r="12" spans="1:22" x14ac:dyDescent="0.2">
      <c r="A12" s="31"/>
      <c r="B12" s="128">
        <f t="shared" ref="B12:B27" si="8">B11+1</f>
        <v>2021</v>
      </c>
      <c r="C12" s="34">
        <f>INDEX([21]SourceEnergy!$S$20:$T$45,MATCH($B12,[21]SourceEnergy!$R$20:$R$45,0),MATCH(C$7,[21]SourceEnergy!$S$12:$T$12,0))/10</f>
        <v>1.5554616215817514</v>
      </c>
      <c r="D12" s="34">
        <f>INDEX([21]SourceEnergy!$S$20:$T$45,MATCH($B12,[21]SourceEnergy!$R$20:$R$45,0),MATCH(D$7,[21]SourceEnergy!$S$12:$T$12,0))/10</f>
        <v>2.6786646467001409</v>
      </c>
      <c r="E12" s="34">
        <f>INDEX([21]SourceEnergy!$U$20:$V$45,MATCH($B12,[21]SourceEnergy!$R$20:$R$45,0),MATCH(E$7,[21]SourceEnergy!$U$12:$V$12,0))/10</f>
        <v>1.3586171345212601</v>
      </c>
      <c r="F12" s="34">
        <f>INDEX([21]SourceEnergy!$U$20:$V$45,MATCH($B12,[21]SourceEnergy!$R$20:$R$45,0),MATCH(F$7,[21]SourceEnergy!$U$12:$V$12,0))/10</f>
        <v>0.91965634388546369</v>
      </c>
      <c r="H12" s="57"/>
      <c r="I12" s="213">
        <f t="shared" ref="I12:I27" si="9">I11-0.005</f>
        <v>0.99</v>
      </c>
      <c r="J12" s="213"/>
      <c r="L12" s="228">
        <f t="shared" si="4"/>
        <v>1.5399070053659338</v>
      </c>
      <c r="M12" s="229">
        <f t="shared" ref="M12:M27" si="10">M$34*$I12</f>
        <v>1.3584481050768893</v>
      </c>
      <c r="O12" s="228">
        <f t="shared" si="5"/>
        <v>2.6518780002331397</v>
      </c>
      <c r="P12" s="229">
        <f t="shared" ref="P12:P27" si="11">P$34*$I12</f>
        <v>3.0556288528156998</v>
      </c>
      <c r="R12" s="228">
        <f t="shared" si="6"/>
        <v>1.3450309631760475</v>
      </c>
      <c r="S12" s="229">
        <f t="shared" ref="S12:S27" si="12">S$34*$I12</f>
        <v>1.3384674965683094</v>
      </c>
      <c r="U12" s="228">
        <f t="shared" si="7"/>
        <v>0.91045978044660902</v>
      </c>
      <c r="V12" s="229">
        <f t="shared" ref="V12:V27" si="13">V$34*$I12</f>
        <v>1.5434908679342947</v>
      </c>
    </row>
    <row r="13" spans="1:22" x14ac:dyDescent="0.2">
      <c r="A13" s="31"/>
      <c r="B13" s="128">
        <f t="shared" si="8"/>
        <v>2022</v>
      </c>
      <c r="C13" s="34">
        <f>INDEX([21]SourceEnergy!$S$20:$T$45,MATCH($B13,[21]SourceEnergy!$R$20:$R$45,0),MATCH(C$7,[21]SourceEnergy!$S$12:$T$12,0))/10</f>
        <v>1.6037565690519942</v>
      </c>
      <c r="D13" s="34">
        <f>INDEX([21]SourceEnergy!$S$20:$T$45,MATCH($B13,[21]SourceEnergy!$R$20:$R$45,0),MATCH(D$7,[21]SourceEnergy!$S$12:$T$12,0))/10</f>
        <v>2.4043501532548603</v>
      </c>
      <c r="E13" s="34">
        <f>INDEX([21]SourceEnergy!$U$20:$V$45,MATCH($B13,[21]SourceEnergy!$R$20:$R$45,0),MATCH(E$7,[21]SourceEnergy!$U$12:$V$12,0))/10</f>
        <v>1.4430419482786623</v>
      </c>
      <c r="F13" s="34">
        <f>INDEX([21]SourceEnergy!$U$20:$V$45,MATCH($B13,[21]SourceEnergy!$R$20:$R$45,0),MATCH(F$7,[21]SourceEnergy!$U$12:$V$12,0))/10</f>
        <v>1.1478825806204287</v>
      </c>
      <c r="H13" s="57"/>
      <c r="I13" s="213">
        <f t="shared" si="9"/>
        <v>0.98499999999999999</v>
      </c>
      <c r="J13" s="213"/>
      <c r="L13" s="228">
        <f t="shared" si="4"/>
        <v>1.5797002205162143</v>
      </c>
      <c r="M13" s="229">
        <f t="shared" si="10"/>
        <v>1.3515872560613493</v>
      </c>
      <c r="O13" s="228">
        <f t="shared" si="5"/>
        <v>2.3682849009560374</v>
      </c>
      <c r="P13" s="229">
        <f t="shared" si="11"/>
        <v>3.0401963838620851</v>
      </c>
      <c r="R13" s="228">
        <f t="shared" si="6"/>
        <v>1.4213963190544823</v>
      </c>
      <c r="S13" s="229">
        <f t="shared" si="12"/>
        <v>1.3317075597169543</v>
      </c>
      <c r="U13" s="228">
        <f t="shared" si="7"/>
        <v>1.1306643419111222</v>
      </c>
      <c r="V13" s="229">
        <f t="shared" si="13"/>
        <v>1.535695459510384</v>
      </c>
    </row>
    <row r="14" spans="1:22" x14ac:dyDescent="0.2">
      <c r="A14" s="31"/>
      <c r="B14" s="128">
        <f t="shared" si="8"/>
        <v>2023</v>
      </c>
      <c r="C14" s="34">
        <f>INDEX([21]SourceEnergy!$S$20:$T$45,MATCH($B14,[21]SourceEnergy!$R$20:$R$45,0),MATCH(C$7,[21]SourceEnergy!$S$12:$T$12,0))/10</f>
        <v>1.4822418720888266</v>
      </c>
      <c r="D14" s="34">
        <f>INDEX([21]SourceEnergy!$S$20:$T$45,MATCH($B14,[21]SourceEnergy!$R$20:$R$45,0),MATCH(D$7,[21]SourceEnergy!$S$12:$T$12,0))/10</f>
        <v>2.2725562942161375</v>
      </c>
      <c r="E14" s="34">
        <f>INDEX([21]SourceEnergy!$U$20:$V$45,MATCH($B14,[21]SourceEnergy!$R$20:$R$45,0),MATCH(E$7,[21]SourceEnergy!$U$12:$V$12,0))/10</f>
        <v>1.3813187563982015</v>
      </c>
      <c r="F14" s="34">
        <f>INDEX([21]SourceEnergy!$U$20:$V$45,MATCH($B14,[21]SourceEnergy!$R$20:$R$45,0),MATCH(F$7,[21]SourceEnergy!$U$12:$V$12,0))/10</f>
        <v>1.2374503517871329</v>
      </c>
      <c r="H14" s="57"/>
      <c r="I14" s="213">
        <f t="shared" si="9"/>
        <v>0.98</v>
      </c>
      <c r="J14" s="213"/>
      <c r="L14" s="228">
        <f t="shared" si="4"/>
        <v>1.45259703464705</v>
      </c>
      <c r="M14" s="229">
        <f t="shared" si="10"/>
        <v>1.3447264070458096</v>
      </c>
      <c r="O14" s="228">
        <f t="shared" si="5"/>
        <v>2.2271051683318146</v>
      </c>
      <c r="P14" s="229">
        <f t="shared" si="11"/>
        <v>3.0247639149084709</v>
      </c>
      <c r="R14" s="228">
        <f t="shared" si="6"/>
        <v>1.3536923812702375</v>
      </c>
      <c r="S14" s="229">
        <f t="shared" si="12"/>
        <v>1.3249476228655992</v>
      </c>
      <c r="U14" s="228">
        <f t="shared" si="7"/>
        <v>1.2127013447513901</v>
      </c>
      <c r="V14" s="229">
        <f t="shared" si="13"/>
        <v>1.5279000510864735</v>
      </c>
    </row>
    <row r="15" spans="1:22" x14ac:dyDescent="0.2">
      <c r="A15" s="31"/>
      <c r="B15" s="128">
        <f t="shared" si="8"/>
        <v>2024</v>
      </c>
      <c r="C15" s="34">
        <f>INDEX([21]SourceEnergy!$S$20:$T$45,MATCH($B15,[21]SourceEnergy!$R$20:$R$45,0),MATCH(C$7,[21]SourceEnergy!$S$12:$T$12,0))/10</f>
        <v>1.1041515315355708</v>
      </c>
      <c r="D15" s="34">
        <f>INDEX([21]SourceEnergy!$S$20:$T$45,MATCH($B15,[21]SourceEnergy!$R$20:$R$45,0),MATCH(D$7,[21]SourceEnergy!$S$12:$T$12,0))/10</f>
        <v>2.6544861503616555</v>
      </c>
      <c r="E15" s="34">
        <f>INDEX([21]SourceEnergy!$U$20:$V$45,MATCH($B15,[21]SourceEnergy!$R$20:$R$45,0),MATCH(E$7,[21]SourceEnergy!$U$12:$V$12,0))/10</f>
        <v>1.0356414259007287</v>
      </c>
      <c r="F15" s="34">
        <f>INDEX([21]SourceEnergy!$U$20:$V$45,MATCH($B15,[21]SourceEnergy!$R$20:$R$45,0),MATCH(F$7,[21]SourceEnergy!$U$12:$V$12,0))/10</f>
        <v>1.4504606382592267</v>
      </c>
      <c r="H15" s="57"/>
      <c r="I15" s="213">
        <f t="shared" si="9"/>
        <v>0.97499999999999998</v>
      </c>
      <c r="J15" s="213"/>
      <c r="L15" s="228">
        <f t="shared" si="4"/>
        <v>1.0765477432471815</v>
      </c>
      <c r="M15" s="229">
        <f t="shared" si="10"/>
        <v>1.3378655580302696</v>
      </c>
      <c r="O15" s="228">
        <f t="shared" si="5"/>
        <v>2.5881239966026142</v>
      </c>
      <c r="P15" s="229">
        <f t="shared" si="11"/>
        <v>3.0093314459548561</v>
      </c>
      <c r="R15" s="228">
        <f t="shared" si="6"/>
        <v>1.0097503902532106</v>
      </c>
      <c r="S15" s="229">
        <f t="shared" si="12"/>
        <v>1.3181876860142441</v>
      </c>
      <c r="U15" s="228">
        <f t="shared" si="7"/>
        <v>1.4141991223027459</v>
      </c>
      <c r="V15" s="229">
        <f t="shared" si="13"/>
        <v>1.5201046426625628</v>
      </c>
    </row>
    <row r="16" spans="1:22" x14ac:dyDescent="0.2">
      <c r="A16" s="31"/>
      <c r="B16" s="128">
        <f t="shared" si="8"/>
        <v>2025</v>
      </c>
      <c r="C16" s="34">
        <f>INDEX([21]SourceEnergy!$S$20:$T$45,MATCH($B16,[21]SourceEnergy!$R$20:$R$45,0),MATCH(C$7,[21]SourceEnergy!$S$12:$T$12,0))/10</f>
        <v>1.3228113575876033</v>
      </c>
      <c r="D16" s="34">
        <f>INDEX([21]SourceEnergy!$S$20:$T$45,MATCH($B16,[21]SourceEnergy!$R$20:$R$45,0),MATCH(D$7,[21]SourceEnergy!$S$12:$T$12,0))/10</f>
        <v>2.5358103945552655</v>
      </c>
      <c r="E16" s="34">
        <f>INDEX([21]SourceEnergy!$U$20:$V$45,MATCH($B16,[21]SourceEnergy!$R$20:$R$45,0),MATCH(E$7,[21]SourceEnergy!$U$12:$V$12,0))/10</f>
        <v>1.2930534297694141</v>
      </c>
      <c r="F16" s="34">
        <f>INDEX([21]SourceEnergy!$U$20:$V$45,MATCH($B16,[21]SourceEnergy!$R$20:$R$45,0),MATCH(F$7,[21]SourceEnergy!$U$12:$V$12,0))/10</f>
        <v>1.5383719932201323</v>
      </c>
      <c r="H16" s="57"/>
      <c r="I16" s="213">
        <f t="shared" si="9"/>
        <v>0.97</v>
      </c>
      <c r="J16" s="213"/>
      <c r="L16" s="228">
        <f t="shared" si="4"/>
        <v>1.2831270168599751</v>
      </c>
      <c r="M16" s="229">
        <f t="shared" si="10"/>
        <v>1.3310047090147299</v>
      </c>
      <c r="O16" s="228">
        <f t="shared" si="5"/>
        <v>2.4597360827186074</v>
      </c>
      <c r="P16" s="229">
        <f t="shared" si="11"/>
        <v>2.9938989770012414</v>
      </c>
      <c r="R16" s="228">
        <f t="shared" si="6"/>
        <v>1.2542618268763317</v>
      </c>
      <c r="S16" s="229">
        <f t="shared" si="12"/>
        <v>1.311427749162889</v>
      </c>
      <c r="U16" s="228">
        <f t="shared" si="7"/>
        <v>1.4922208334235283</v>
      </c>
      <c r="V16" s="229">
        <f t="shared" si="13"/>
        <v>1.5123092342386524</v>
      </c>
    </row>
    <row r="17" spans="1:22" x14ac:dyDescent="0.2">
      <c r="A17" s="31"/>
      <c r="B17" s="128">
        <f t="shared" si="8"/>
        <v>2026</v>
      </c>
      <c r="C17" s="34">
        <f>INDEX([21]SourceEnergy!$S$20:$T$45,MATCH($B17,[21]SourceEnergy!$R$20:$R$45,0),MATCH(C$7,[21]SourceEnergy!$S$12:$T$12,0))/10</f>
        <v>1.2625904124282294</v>
      </c>
      <c r="D17" s="34">
        <f>INDEX([21]SourceEnergy!$S$20:$T$45,MATCH($B17,[21]SourceEnergy!$R$20:$R$45,0),MATCH(D$7,[21]SourceEnergy!$S$12:$T$12,0))/10</f>
        <v>2.8378481028580484</v>
      </c>
      <c r="E17" s="34">
        <f>INDEX([21]SourceEnergy!$U$20:$V$45,MATCH($B17,[21]SourceEnergy!$R$20:$R$45,0),MATCH(E$7,[21]SourceEnergy!$U$12:$V$12,0))/10</f>
        <v>1.2521786067668632</v>
      </c>
      <c r="F17" s="34">
        <f>INDEX([21]SourceEnergy!$U$20:$V$45,MATCH($B17,[21]SourceEnergy!$R$20:$R$45,0),MATCH(F$7,[21]SourceEnergy!$U$12:$V$12,0))/10</f>
        <v>1.5857662016003746</v>
      </c>
      <c r="H17" s="57"/>
      <c r="I17" s="213">
        <f t="shared" si="9"/>
        <v>0.96499999999999997</v>
      </c>
      <c r="J17" s="213"/>
      <c r="L17" s="228">
        <f t="shared" si="4"/>
        <v>1.2183997479932414</v>
      </c>
      <c r="M17" s="229">
        <f t="shared" si="10"/>
        <v>1.3241438599991899</v>
      </c>
      <c r="O17" s="228">
        <f t="shared" si="5"/>
        <v>2.7385234192580166</v>
      </c>
      <c r="P17" s="229">
        <f t="shared" si="11"/>
        <v>2.9784665080476267</v>
      </c>
      <c r="R17" s="228">
        <f t="shared" si="6"/>
        <v>1.2083523555300231</v>
      </c>
      <c r="S17" s="229">
        <f t="shared" si="12"/>
        <v>1.3046678123115338</v>
      </c>
      <c r="U17" s="228">
        <f t="shared" si="7"/>
        <v>1.5302643845443615</v>
      </c>
      <c r="V17" s="229">
        <f t="shared" si="13"/>
        <v>1.5045138258147417</v>
      </c>
    </row>
    <row r="18" spans="1:22" x14ac:dyDescent="0.2">
      <c r="A18" s="31"/>
      <c r="B18" s="128">
        <f t="shared" si="8"/>
        <v>2027</v>
      </c>
      <c r="C18" s="34">
        <f>INDEX([21]SourceEnergy!$S$20:$T$45,MATCH($B18,[21]SourceEnergy!$R$20:$R$45,0),MATCH(C$7,[21]SourceEnergy!$S$12:$T$12,0))/10</f>
        <v>1.1122072146244859</v>
      </c>
      <c r="D18" s="34">
        <f>INDEX([21]SourceEnergy!$S$20:$T$45,MATCH($B18,[21]SourceEnergy!$R$20:$R$45,0),MATCH(D$7,[21]SourceEnergy!$S$12:$T$12,0))/10</f>
        <v>3.2723661184225357</v>
      </c>
      <c r="E18" s="34">
        <f>INDEX([21]SourceEnergy!$U$20:$V$45,MATCH($B18,[21]SourceEnergy!$R$20:$R$45,0),MATCH(E$7,[21]SourceEnergy!$U$12:$V$12,0))/10</f>
        <v>1.1286032633611462</v>
      </c>
      <c r="F18" s="34">
        <f>INDEX([21]SourceEnergy!$U$20:$V$45,MATCH($B18,[21]SourceEnergy!$R$20:$R$45,0),MATCH(F$7,[21]SourceEnergy!$U$12:$V$12,0))/10</f>
        <v>1.4938935636370994</v>
      </c>
      <c r="H18" s="57"/>
      <c r="I18" s="213">
        <f t="shared" si="9"/>
        <v>0.96</v>
      </c>
      <c r="J18" s="213"/>
      <c r="L18" s="228">
        <f t="shared" si="4"/>
        <v>1.0677189260395064</v>
      </c>
      <c r="M18" s="229">
        <f t="shared" si="10"/>
        <v>1.3172830109836502</v>
      </c>
      <c r="O18" s="228">
        <f t="shared" si="5"/>
        <v>3.141471473685634</v>
      </c>
      <c r="P18" s="229">
        <f t="shared" si="11"/>
        <v>2.963034039094012</v>
      </c>
      <c r="R18" s="228">
        <f t="shared" si="6"/>
        <v>1.0834591328267003</v>
      </c>
      <c r="S18" s="229">
        <f t="shared" si="12"/>
        <v>1.2979078754601789</v>
      </c>
      <c r="U18" s="228">
        <f t="shared" si="7"/>
        <v>1.4341378210916154</v>
      </c>
      <c r="V18" s="229">
        <f t="shared" si="13"/>
        <v>1.4967184173908312</v>
      </c>
    </row>
    <row r="19" spans="1:22" x14ac:dyDescent="0.2">
      <c r="A19" s="31"/>
      <c r="B19" s="128">
        <f t="shared" si="8"/>
        <v>2028</v>
      </c>
      <c r="C19" s="34">
        <f>INDEX([21]SourceEnergy!$S$20:$T$45,MATCH($B19,[21]SourceEnergy!$R$20:$R$45,0),MATCH(C$7,[21]SourceEnergy!$S$12:$T$12,0))/10</f>
        <v>1.2762149343757065</v>
      </c>
      <c r="D19" s="34">
        <f>INDEX([21]SourceEnergy!$S$20:$T$45,MATCH($B19,[21]SourceEnergy!$R$20:$R$45,0),MATCH(D$7,[21]SourceEnergy!$S$12:$T$12,0))/10</f>
        <v>3.5459234498390044</v>
      </c>
      <c r="E19" s="34">
        <f>INDEX([21]SourceEnergy!$U$20:$V$45,MATCH($B19,[21]SourceEnergy!$R$20:$R$45,0),MATCH(E$7,[21]SourceEnergy!$U$12:$V$12,0))/10</f>
        <v>1.3056898522994709</v>
      </c>
      <c r="F19" s="34">
        <f>INDEX([21]SourceEnergy!$U$20:$V$45,MATCH($B19,[21]SourceEnergy!$R$20:$R$45,0),MATCH(F$7,[21]SourceEnergy!$U$12:$V$12,0))/10</f>
        <v>1.6635000343143129</v>
      </c>
      <c r="H19" s="57"/>
      <c r="I19" s="213">
        <f t="shared" si="9"/>
        <v>0.95499999999999996</v>
      </c>
      <c r="J19" s="213"/>
      <c r="L19" s="228">
        <f t="shared" si="4"/>
        <v>1.2187852623287998</v>
      </c>
      <c r="M19" s="229">
        <f t="shared" si="10"/>
        <v>1.3104221619681102</v>
      </c>
      <c r="O19" s="228">
        <f t="shared" si="5"/>
        <v>3.3863568945962492</v>
      </c>
      <c r="P19" s="229">
        <f t="shared" si="11"/>
        <v>2.9476015701403973</v>
      </c>
      <c r="R19" s="228">
        <f t="shared" si="6"/>
        <v>1.2469338089459947</v>
      </c>
      <c r="S19" s="229">
        <f t="shared" si="12"/>
        <v>1.2911479386088238</v>
      </c>
      <c r="U19" s="228">
        <f t="shared" si="7"/>
        <v>1.5886425327701688</v>
      </c>
      <c r="V19" s="229">
        <f t="shared" si="13"/>
        <v>1.4889230089669205</v>
      </c>
    </row>
    <row r="20" spans="1:22" x14ac:dyDescent="0.2">
      <c r="A20" s="31"/>
      <c r="B20" s="128">
        <f t="shared" si="8"/>
        <v>2029</v>
      </c>
      <c r="C20" s="34">
        <f>INDEX([21]SourceEnergy!$S$20:$T$45,MATCH($B20,[21]SourceEnergy!$R$20:$R$45,0),MATCH(C$7,[21]SourceEnergy!$S$12:$T$12,0))/10</f>
        <v>1.2882075372407213</v>
      </c>
      <c r="D20" s="34">
        <f>INDEX([21]SourceEnergy!$S$20:$T$45,MATCH($B20,[21]SourceEnergy!$R$20:$R$45,0),MATCH(D$7,[21]SourceEnergy!$S$12:$T$12,0))/10</f>
        <v>4.0153774354320655</v>
      </c>
      <c r="E20" s="34">
        <f>INDEX([21]SourceEnergy!$U$20:$V$45,MATCH($B20,[21]SourceEnergy!$R$20:$R$45,0),MATCH(E$7,[21]SourceEnergy!$U$12:$V$12,0))/10</f>
        <v>1.3360623852797251</v>
      </c>
      <c r="F20" s="34">
        <f>INDEX([21]SourceEnergy!$U$20:$V$45,MATCH($B20,[21]SourceEnergy!$R$20:$R$45,0),MATCH(F$7,[21]SourceEnergy!$U$12:$V$12,0))/10</f>
        <v>1.7680069598921855</v>
      </c>
      <c r="H20" s="57"/>
      <c r="I20" s="213">
        <f t="shared" si="9"/>
        <v>0.95</v>
      </c>
      <c r="J20" s="213"/>
      <c r="L20" s="228">
        <f t="shared" si="4"/>
        <v>1.2237971603786852</v>
      </c>
      <c r="M20" s="229">
        <f t="shared" si="10"/>
        <v>1.3035613129525705</v>
      </c>
      <c r="O20" s="228">
        <f t="shared" si="5"/>
        <v>3.8146085636604621</v>
      </c>
      <c r="P20" s="229">
        <f t="shared" si="11"/>
        <v>2.9321691011867825</v>
      </c>
      <c r="R20" s="228">
        <f t="shared" si="6"/>
        <v>1.2692592660157387</v>
      </c>
      <c r="S20" s="229">
        <f t="shared" si="12"/>
        <v>1.2843880017574687</v>
      </c>
      <c r="U20" s="228">
        <f t="shared" si="7"/>
        <v>1.6796066118975761</v>
      </c>
      <c r="V20" s="229">
        <f t="shared" si="13"/>
        <v>1.4811276005430101</v>
      </c>
    </row>
    <row r="21" spans="1:22" x14ac:dyDescent="0.2">
      <c r="A21" s="31"/>
      <c r="B21" s="128">
        <f t="shared" si="8"/>
        <v>2030</v>
      </c>
      <c r="C21" s="34">
        <f>INDEX([21]SourceEnergy!$S$20:$T$45,MATCH($B21,[21]SourceEnergy!$R$20:$R$45,0),MATCH(C$7,[21]SourceEnergy!$S$12:$T$12,0))/10</f>
        <v>1.1834920859207352</v>
      </c>
      <c r="D21" s="34">
        <f>INDEX([21]SourceEnergy!$S$20:$T$45,MATCH($B21,[21]SourceEnergy!$R$20:$R$45,0),MATCH(D$7,[21]SourceEnergy!$S$12:$T$12,0))/10</f>
        <v>3.6606722540433374</v>
      </c>
      <c r="E21" s="34">
        <f>INDEX([21]SourceEnergy!$U$20:$V$45,MATCH($B21,[21]SourceEnergy!$R$20:$R$45,0),MATCH(E$7,[21]SourceEnergy!$U$12:$V$12,0))/10</f>
        <v>1.2498388476356559</v>
      </c>
      <c r="F21" s="34">
        <f>INDEX([21]SourceEnergy!$U$20:$V$45,MATCH($B21,[21]SourceEnergy!$R$20:$R$45,0),MATCH(F$7,[21]SourceEnergy!$U$12:$V$12,0))/10</f>
        <v>1.6863762854772417</v>
      </c>
      <c r="H21" s="57"/>
      <c r="I21" s="213">
        <f t="shared" si="9"/>
        <v>0.94499999999999995</v>
      </c>
      <c r="J21" s="213"/>
      <c r="L21" s="228">
        <f t="shared" si="4"/>
        <v>1.1184000211950946</v>
      </c>
      <c r="M21" s="229">
        <f t="shared" si="10"/>
        <v>1.2967004639370305</v>
      </c>
      <c r="O21" s="228">
        <f t="shared" si="5"/>
        <v>3.4593352800709538</v>
      </c>
      <c r="P21" s="229">
        <f t="shared" si="11"/>
        <v>2.9167366322331678</v>
      </c>
      <c r="R21" s="228">
        <f t="shared" si="6"/>
        <v>1.1810977110156948</v>
      </c>
      <c r="S21" s="229">
        <f t="shared" si="12"/>
        <v>1.2776280649061136</v>
      </c>
      <c r="U21" s="228">
        <f t="shared" si="7"/>
        <v>1.5936255897759934</v>
      </c>
      <c r="V21" s="229">
        <f t="shared" si="13"/>
        <v>1.4733321921190994</v>
      </c>
    </row>
    <row r="22" spans="1:22" x14ac:dyDescent="0.2">
      <c r="A22" s="31"/>
      <c r="B22" s="128">
        <f t="shared" si="8"/>
        <v>2031</v>
      </c>
      <c r="C22" s="34">
        <f>INDEX([21]SourceEnergy!$S$20:$T$45,MATCH($B22,[21]SourceEnergy!$R$20:$R$45,0),MATCH(C$7,[21]SourceEnergy!$S$12:$T$12,0))/10</f>
        <v>1.3530911726509944</v>
      </c>
      <c r="D22" s="34">
        <f>INDEX([21]SourceEnergy!$S$20:$T$45,MATCH($B22,[21]SourceEnergy!$R$20:$R$45,0),MATCH(D$7,[21]SourceEnergy!$S$12:$T$12,0))/10</f>
        <v>3.6543544471264298</v>
      </c>
      <c r="E22" s="34">
        <f>INDEX([21]SourceEnergy!$U$20:$V$45,MATCH($B22,[21]SourceEnergy!$R$20:$R$45,0),MATCH(E$7,[21]SourceEnergy!$U$12:$V$12,0))/10</f>
        <v>1.4481644485389891</v>
      </c>
      <c r="F22" s="34">
        <f>INDEX([21]SourceEnergy!$U$20:$V$45,MATCH($B22,[21]SourceEnergy!$R$20:$R$45,0),MATCH(F$7,[21]SourceEnergy!$U$12:$V$12,0))/10</f>
        <v>1.9339751470963749</v>
      </c>
      <c r="H22" s="57"/>
      <c r="I22" s="213">
        <f t="shared" si="9"/>
        <v>0.94</v>
      </c>
      <c r="J22" s="213"/>
      <c r="L22" s="228">
        <f t="shared" si="4"/>
        <v>1.2719057022919347</v>
      </c>
      <c r="M22" s="229">
        <f t="shared" si="10"/>
        <v>1.2898396149214908</v>
      </c>
      <c r="O22" s="228">
        <f t="shared" si="5"/>
        <v>3.4350931802988436</v>
      </c>
      <c r="P22" s="229">
        <f t="shared" si="11"/>
        <v>2.9013041632795535</v>
      </c>
      <c r="R22" s="228">
        <f t="shared" si="6"/>
        <v>1.3612745816266496</v>
      </c>
      <c r="S22" s="229">
        <f t="shared" si="12"/>
        <v>1.2708681280547585</v>
      </c>
      <c r="U22" s="228">
        <f t="shared" si="7"/>
        <v>1.8179366382705922</v>
      </c>
      <c r="V22" s="229">
        <f t="shared" si="13"/>
        <v>1.4655367836951889</v>
      </c>
    </row>
    <row r="23" spans="1:22" x14ac:dyDescent="0.2">
      <c r="A23" s="31"/>
      <c r="B23" s="128">
        <f t="shared" si="8"/>
        <v>2032</v>
      </c>
      <c r="C23" s="34">
        <f>INDEX([21]SourceEnergy!$S$20:$T$45,MATCH($B23,[21]SourceEnergy!$R$20:$R$45,0),MATCH(C$7,[21]SourceEnergy!$S$12:$T$12,0))/10</f>
        <v>1.553557686544714</v>
      </c>
      <c r="D23" s="34">
        <f>INDEX([21]SourceEnergy!$S$20:$T$45,MATCH($B23,[21]SourceEnergy!$R$20:$R$45,0),MATCH(D$7,[21]SourceEnergy!$S$12:$T$12,0))/10</f>
        <v>3.8489650383527567</v>
      </c>
      <c r="E23" s="34">
        <f>INDEX([21]SourceEnergy!$U$20:$V$45,MATCH($B23,[21]SourceEnergy!$R$20:$R$45,0),MATCH(E$7,[21]SourceEnergy!$U$12:$V$12,0))/10</f>
        <v>1.6597518284725723</v>
      </c>
      <c r="F23" s="34">
        <f>INDEX([21]SourceEnergy!$U$20:$V$45,MATCH($B23,[21]SourceEnergy!$R$20:$R$45,0),MATCH(F$7,[21]SourceEnergy!$U$12:$V$12,0))/10</f>
        <v>2.2199166663968932</v>
      </c>
      <c r="H23" s="57"/>
      <c r="I23" s="213">
        <f t="shared" si="9"/>
        <v>0.93499999999999994</v>
      </c>
      <c r="J23" s="213"/>
      <c r="L23" s="228">
        <f t="shared" si="4"/>
        <v>1.4525764369193075</v>
      </c>
      <c r="M23" s="229">
        <f t="shared" si="10"/>
        <v>1.2829787659059508</v>
      </c>
      <c r="O23" s="228">
        <f t="shared" si="5"/>
        <v>3.5987823108598271</v>
      </c>
      <c r="P23" s="229">
        <f t="shared" si="11"/>
        <v>2.8858716943259388</v>
      </c>
      <c r="R23" s="228">
        <f t="shared" si="6"/>
        <v>1.551867959621855</v>
      </c>
      <c r="S23" s="229">
        <f t="shared" si="12"/>
        <v>1.2641081912034033</v>
      </c>
      <c r="U23" s="228">
        <f t="shared" si="7"/>
        <v>2.075622083081095</v>
      </c>
      <c r="V23" s="229">
        <f t="shared" si="13"/>
        <v>1.4577413752712782</v>
      </c>
    </row>
    <row r="24" spans="1:22" x14ac:dyDescent="0.2">
      <c r="A24" s="31"/>
      <c r="B24" s="128">
        <f t="shared" si="8"/>
        <v>2033</v>
      </c>
      <c r="C24" s="34">
        <f>INDEX([21]SourceEnergy!$S$20:$T$45,MATCH($B24,[21]SourceEnergy!$R$20:$R$45,0),MATCH(C$7,[21]SourceEnergy!$S$12:$T$12,0))/10</f>
        <v>1.4972133315042815</v>
      </c>
      <c r="D24" s="34">
        <f>INDEX([21]SourceEnergy!$S$20:$T$45,MATCH($B24,[21]SourceEnergy!$R$20:$R$45,0),MATCH(D$7,[21]SourceEnergy!$S$12:$T$12,0))/10</f>
        <v>3.6511909507276208</v>
      </c>
      <c r="E24" s="34">
        <f>INDEX([21]SourceEnergy!$U$20:$V$45,MATCH($B24,[21]SourceEnergy!$R$20:$R$45,0),MATCH(E$7,[21]SourceEnergy!$U$12:$V$12,0))/10</f>
        <v>1.5930730608729455</v>
      </c>
      <c r="F24" s="34">
        <f>INDEX([21]SourceEnergy!$U$20:$V$45,MATCH($B24,[21]SourceEnergy!$R$20:$R$45,0),MATCH(F$7,[21]SourceEnergy!$U$12:$V$12,0))/10</f>
        <v>2.1127034326317915</v>
      </c>
      <c r="H24" s="57"/>
      <c r="I24" s="213">
        <f t="shared" si="9"/>
        <v>0.92999999999999994</v>
      </c>
      <c r="J24" s="213"/>
      <c r="L24" s="228">
        <f t="shared" si="4"/>
        <v>1.3924083982989817</v>
      </c>
      <c r="M24" s="229">
        <f t="shared" si="10"/>
        <v>1.2761179168904111</v>
      </c>
      <c r="O24" s="228">
        <f t="shared" si="5"/>
        <v>3.3956075841766871</v>
      </c>
      <c r="P24" s="229">
        <f t="shared" si="11"/>
        <v>2.8704392253723241</v>
      </c>
      <c r="R24" s="228">
        <f t="shared" si="6"/>
        <v>1.4815579466118391</v>
      </c>
      <c r="S24" s="229">
        <f t="shared" si="12"/>
        <v>1.2573482543520482</v>
      </c>
      <c r="U24" s="228">
        <f t="shared" si="7"/>
        <v>1.9648141923475659</v>
      </c>
      <c r="V24" s="229">
        <f t="shared" si="13"/>
        <v>1.4499459668473675</v>
      </c>
    </row>
    <row r="25" spans="1:22" x14ac:dyDescent="0.2">
      <c r="A25" s="31"/>
      <c r="B25" s="128">
        <f t="shared" si="8"/>
        <v>2034</v>
      </c>
      <c r="C25" s="34">
        <f>INDEX([21]SourceEnergy!$S$20:$T$45,MATCH($B25,[21]SourceEnergy!$R$20:$R$45,0),MATCH(C$7,[21]SourceEnergy!$S$12:$T$12,0))/10</f>
        <v>1.5241669194205809</v>
      </c>
      <c r="D25" s="34">
        <f>INDEX([21]SourceEnergy!$S$20:$T$45,MATCH($B25,[21]SourceEnergy!$R$20:$R$45,0),MATCH(D$7,[21]SourceEnergy!$S$12:$T$12,0))/10</f>
        <v>3.780138904058294</v>
      </c>
      <c r="E25" s="34">
        <f>INDEX([21]SourceEnergy!$U$20:$V$45,MATCH($B25,[21]SourceEnergy!$R$20:$R$45,0),MATCH(E$7,[21]SourceEnergy!$U$12:$V$12,0))/10</f>
        <v>1.6605606406019653</v>
      </c>
      <c r="F25" s="34">
        <f>INDEX([21]SourceEnergy!$U$20:$V$45,MATCH($B25,[21]SourceEnergy!$R$20:$R$45,0),MATCH(F$7,[21]SourceEnergy!$U$12:$V$12,0))/10</f>
        <v>2.1997703800736916</v>
      </c>
      <c r="H25" s="57"/>
      <c r="I25" s="213">
        <f t="shared" si="9"/>
        <v>0.92499999999999993</v>
      </c>
      <c r="J25" s="213"/>
      <c r="L25" s="228">
        <f t="shared" si="4"/>
        <v>1.4098544004640372</v>
      </c>
      <c r="M25" s="229">
        <f t="shared" si="10"/>
        <v>1.2692570678748711</v>
      </c>
      <c r="O25" s="228">
        <f t="shared" si="5"/>
        <v>3.4966284862539219</v>
      </c>
      <c r="P25" s="229">
        <f t="shared" si="11"/>
        <v>2.8550067564187094</v>
      </c>
      <c r="R25" s="228">
        <f t="shared" si="6"/>
        <v>1.5360185925568177</v>
      </c>
      <c r="S25" s="229">
        <f t="shared" si="12"/>
        <v>1.2505883175006931</v>
      </c>
      <c r="U25" s="228">
        <f t="shared" si="7"/>
        <v>2.0347876015681647</v>
      </c>
      <c r="V25" s="229">
        <f t="shared" si="13"/>
        <v>1.4421505584234571</v>
      </c>
    </row>
    <row r="26" spans="1:22" x14ac:dyDescent="0.2">
      <c r="A26" s="31"/>
      <c r="B26" s="128">
        <f t="shared" si="8"/>
        <v>2035</v>
      </c>
      <c r="C26" s="34">
        <f>INDEX([21]SourceEnergy!$S$20:$T$45,MATCH($B26,[21]SourceEnergy!$R$20:$R$45,0),MATCH(C$7,[21]SourceEnergy!$S$12:$T$12,0))/10</f>
        <v>1.4349041743922599</v>
      </c>
      <c r="D26" s="34">
        <f>INDEX([21]SourceEnergy!$S$20:$T$45,MATCH($B26,[21]SourceEnergy!$R$20:$R$45,0),MATCH(D$7,[21]SourceEnergy!$S$12:$T$12,0))/10</f>
        <v>3.9963605403330744</v>
      </c>
      <c r="E26" s="34">
        <f>INDEX([21]SourceEnergy!$U$20:$V$45,MATCH($B26,[21]SourceEnergy!$R$20:$R$45,0),MATCH(E$7,[21]SourceEnergy!$U$12:$V$12,0))/10</f>
        <v>1.5687771303073781</v>
      </c>
      <c r="F26" s="34">
        <f>INDEX([21]SourceEnergy!$U$20:$V$45,MATCH($B26,[21]SourceEnergy!$R$20:$R$45,0),MATCH(F$7,[21]SourceEnergy!$U$12:$V$12,0))/10</f>
        <v>2.1500563298298068</v>
      </c>
      <c r="H26" s="57"/>
      <c r="I26" s="213">
        <f t="shared" si="9"/>
        <v>0.91999999999999993</v>
      </c>
      <c r="J26" s="213"/>
      <c r="L26" s="228">
        <f t="shared" si="4"/>
        <v>1.3201118404408789</v>
      </c>
      <c r="M26" s="229">
        <f t="shared" si="10"/>
        <v>1.2623962188593314</v>
      </c>
      <c r="O26" s="228">
        <f t="shared" si="5"/>
        <v>3.6766516971064283</v>
      </c>
      <c r="P26" s="229">
        <f t="shared" si="11"/>
        <v>2.8395742874650947</v>
      </c>
      <c r="R26" s="228">
        <f t="shared" si="6"/>
        <v>1.4432749598827876</v>
      </c>
      <c r="S26" s="229">
        <f t="shared" si="12"/>
        <v>1.243828380649338</v>
      </c>
      <c r="U26" s="228">
        <f t="shared" si="7"/>
        <v>1.9780518234434221</v>
      </c>
      <c r="V26" s="229">
        <f t="shared" si="13"/>
        <v>1.4343551499995464</v>
      </c>
    </row>
    <row r="27" spans="1:22" x14ac:dyDescent="0.2">
      <c r="A27" s="31"/>
      <c r="B27" s="128">
        <f t="shared" si="8"/>
        <v>2036</v>
      </c>
      <c r="C27" s="34">
        <f>INDEX([21]SourceEnergy!$S$20:$T$45,MATCH($B27,[21]SourceEnergy!$R$20:$R$45,0),MATCH(C$7,[21]SourceEnergy!$S$12:$T$12,0))/10</f>
        <v>1.5192083985626139</v>
      </c>
      <c r="D27" s="34">
        <f>INDEX([21]SourceEnergy!$S$20:$T$45,MATCH($B27,[21]SourceEnergy!$R$20:$R$45,0),MATCH(D$7,[21]SourceEnergy!$S$12:$T$12,0))/10</f>
        <v>4.5461011274279928</v>
      </c>
      <c r="E27" s="34">
        <f>INDEX([21]SourceEnergy!$U$20:$V$45,MATCH($B27,[21]SourceEnergy!$R$20:$R$45,0),MATCH(E$7,[21]SourceEnergy!$U$12:$V$12,0))/10</f>
        <v>1.6536947422619683</v>
      </c>
      <c r="F27" s="34">
        <f>INDEX([21]SourceEnergy!$U$20:$V$45,MATCH($B27,[21]SourceEnergy!$R$20:$R$45,0),MATCH(F$7,[21]SourceEnergy!$U$12:$V$12,0))/10</f>
        <v>2.276033917743189</v>
      </c>
      <c r="H27" s="57"/>
      <c r="I27" s="213">
        <f t="shared" si="9"/>
        <v>0.91499999999999992</v>
      </c>
      <c r="J27" s="213"/>
      <c r="L27" s="228">
        <f t="shared" si="4"/>
        <v>1.3900756846847917</v>
      </c>
      <c r="M27" s="229">
        <f t="shared" si="10"/>
        <v>1.2555353698437914</v>
      </c>
      <c r="O27" s="228">
        <f t="shared" si="5"/>
        <v>4.1596825315966131</v>
      </c>
      <c r="P27" s="229">
        <f t="shared" si="11"/>
        <v>2.8241418185114799</v>
      </c>
      <c r="R27" s="228">
        <f t="shared" si="6"/>
        <v>1.5131306891697009</v>
      </c>
      <c r="S27" s="229">
        <f t="shared" si="12"/>
        <v>1.2370684437979829</v>
      </c>
      <c r="U27" s="228">
        <f t="shared" si="7"/>
        <v>2.0825710347350177</v>
      </c>
      <c r="V27" s="229">
        <f t="shared" si="13"/>
        <v>1.4265597415756359</v>
      </c>
    </row>
    <row r="28" spans="1:22" x14ac:dyDescent="0.2">
      <c r="A28" s="31"/>
      <c r="B28" s="128">
        <f t="shared" ref="B28:B30" si="14">B27+1</f>
        <v>2037</v>
      </c>
      <c r="C28" s="34">
        <f>INDEX([21]SourceEnergy!$S$20:$T$45,MATCH($B28,[21]SourceEnergy!$R$20:$R$45,0),MATCH(C$7,[21]SourceEnergy!$S$12:$T$12,0))/10</f>
        <v>1.707214553123406</v>
      </c>
      <c r="D28" s="34">
        <f>INDEX([21]SourceEnergy!$S$20:$T$45,MATCH($B28,[21]SourceEnergy!$R$20:$R$45,0),MATCH(D$7,[21]SourceEnergy!$S$12:$T$12,0))/10</f>
        <v>4.7794593272361956</v>
      </c>
      <c r="E28" s="34">
        <f>INDEX([21]SourceEnergy!$U$20:$V$45,MATCH($B28,[21]SourceEnergy!$R$20:$R$45,0),MATCH(E$7,[21]SourceEnergy!$U$12:$V$12,0))/10</f>
        <v>1.8781367898755217</v>
      </c>
      <c r="F28" s="34">
        <f>INDEX([21]SourceEnergy!$U$20:$V$45,MATCH($B28,[21]SourceEnergy!$R$20:$R$45,0),MATCH(F$7,[21]SourceEnergy!$U$12:$V$12,0))/10</f>
        <v>2.6403546042301707</v>
      </c>
      <c r="H28" s="57"/>
      <c r="I28" s="213"/>
      <c r="J28" s="213"/>
      <c r="L28" s="214"/>
      <c r="O28" s="214"/>
      <c r="R28" s="214"/>
      <c r="U28" s="214"/>
    </row>
    <row r="29" spans="1:22" x14ac:dyDescent="0.2">
      <c r="A29" s="31"/>
      <c r="B29" s="128">
        <f t="shared" si="14"/>
        <v>2038</v>
      </c>
      <c r="C29" s="34">
        <f>INDEX([21]SourceEnergy!$S$20:$T$45,MATCH($B29,[21]SourceEnergy!$R$20:$R$45,0),MATCH(C$7,[21]SourceEnergy!$S$12:$T$12,0))/10</f>
        <v>1.6485766177521639</v>
      </c>
      <c r="D29" s="34">
        <f>INDEX([21]SourceEnergy!$S$20:$T$45,MATCH($B29,[21]SourceEnergy!$R$20:$R$45,0),MATCH(D$7,[21]SourceEnergy!$S$12:$T$12,0))/10</f>
        <v>4.9035826372681202</v>
      </c>
      <c r="E29" s="34">
        <f>INDEX([21]SourceEnergy!$U$20:$V$45,MATCH($B29,[21]SourceEnergy!$R$20:$R$45,0),MATCH(E$7,[21]SourceEnergy!$U$12:$V$12,0))/10</f>
        <v>1.8261634588349231</v>
      </c>
      <c r="F29" s="34">
        <f>INDEX([21]SourceEnergy!$U$20:$V$45,MATCH($B29,[21]SourceEnergy!$R$20:$R$45,0),MATCH(F$7,[21]SourceEnergy!$U$12:$V$12,0))/10</f>
        <v>2.5911675499504887</v>
      </c>
      <c r="H29" s="57"/>
      <c r="I29" s="213"/>
      <c r="J29" s="213"/>
      <c r="L29" s="214"/>
      <c r="O29" s="214"/>
      <c r="R29" s="214"/>
      <c r="U29" s="214"/>
    </row>
    <row r="30" spans="1:22" hidden="1" x14ac:dyDescent="0.2">
      <c r="A30" s="31"/>
      <c r="B30" s="128">
        <f t="shared" si="14"/>
        <v>2039</v>
      </c>
      <c r="C30" s="34">
        <f>INDEX([21]SourceEnergy!$S$20:$T$45,MATCH($B30,[21]SourceEnergy!$R$20:$R$45,0),MATCH(C$7,[21]SourceEnergy!$S$12:$T$12,0))/10</f>
        <v>1.6873673481677258</v>
      </c>
      <c r="D30" s="34">
        <f>INDEX([21]SourceEnergy!$S$20:$T$45,MATCH($B30,[21]SourceEnergy!$R$20:$R$45,0),MATCH(D$7,[21]SourceEnergy!$S$12:$T$12,0))/10</f>
        <v>5.0279651650268065</v>
      </c>
      <c r="E30" s="34">
        <f>INDEX([21]SourceEnergy!$U$20:$V$45,MATCH($B30,[21]SourceEnergy!$R$20:$R$45,0),MATCH(E$7,[21]SourceEnergy!$U$12:$V$12,0))/10</f>
        <v>1.8699853990829631</v>
      </c>
      <c r="F30" s="34">
        <f>INDEX([21]SourceEnergy!$U$20:$V$45,MATCH($B30,[21]SourceEnergy!$R$20:$R$45,0),MATCH(F$7,[21]SourceEnergy!$U$12:$V$12,0))/10</f>
        <v>2.6263315853593494</v>
      </c>
      <c r="H30" s="57"/>
      <c r="I30" s="213"/>
      <c r="J30" s="213"/>
      <c r="L30" s="214"/>
      <c r="O30" s="214"/>
      <c r="R30" s="214"/>
      <c r="U30" s="214"/>
    </row>
    <row r="31" spans="1:22" x14ac:dyDescent="0.2">
      <c r="A31" s="31"/>
      <c r="B31" s="32"/>
      <c r="C31" s="34"/>
      <c r="D31" s="34"/>
      <c r="E31" s="34"/>
      <c r="F31" s="34"/>
      <c r="H31" s="57"/>
      <c r="I31" s="213"/>
      <c r="J31" s="213"/>
      <c r="L31" s="214"/>
      <c r="O31" s="214"/>
      <c r="R31" s="214"/>
      <c r="U31" s="214"/>
    </row>
    <row r="32" spans="1:22" x14ac:dyDescent="0.2">
      <c r="A32" s="31"/>
      <c r="C32" s="29" t="s">
        <v>122</v>
      </c>
      <c r="D32" s="29"/>
      <c r="E32" s="49" t="s">
        <v>244</v>
      </c>
      <c r="F32" s="49"/>
      <c r="I32" s="213"/>
      <c r="J32" s="213"/>
      <c r="L32" s="214"/>
      <c r="O32" s="214"/>
      <c r="R32" s="214"/>
      <c r="U32" s="214"/>
    </row>
    <row r="33" spans="1:22" ht="14.25" x14ac:dyDescent="0.35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I33" s="213"/>
      <c r="J33" s="213"/>
      <c r="K33" s="225"/>
      <c r="L33" s="225"/>
      <c r="M33" s="225"/>
      <c r="O33" s="214"/>
      <c r="R33" s="214"/>
      <c r="U33" s="214"/>
    </row>
    <row r="34" spans="1:22" ht="33.75" customHeight="1" x14ac:dyDescent="0.2">
      <c r="B34" s="38" t="str">
        <f ca="1">"15-year ("&amp;INDEX($B:$B,MID(_xlfn.FORMULATEXT(L34),FIND("(L",_xlfn.FORMULATEXT(L34))+2,2),1)&amp;"-"&amp;INDEX($B:$B,MID(_xlfn.FORMULATEXT(L34),FIND("),",_xlfn.FORMULATEXT(L34))-2,2),1)&amp;") Nominal Levelized"</f>
        <v>15-year (2021-2035) Nominal Levelized</v>
      </c>
      <c r="C34" s="39">
        <f>M34</f>
        <v>1.372169803107969</v>
      </c>
      <c r="D34" s="39">
        <f>P34</f>
        <v>3.0864937907229293</v>
      </c>
      <c r="E34" s="39">
        <f>S34</f>
        <v>1.3519873702710197</v>
      </c>
      <c r="F34" s="39">
        <f>V34</f>
        <v>1.5590816847821158</v>
      </c>
      <c r="I34" s="227">
        <f>-PMT('Table 3 Comparison'!$P$37,COUNT(I12:I26),NPV('Table 3 Comparison'!$P$37,I12:I26))</f>
        <v>0.96114215030347483</v>
      </c>
      <c r="J34" s="217"/>
      <c r="K34" s="225"/>
      <c r="L34" s="227">
        <f>-PMT('Table 3 Comparison'!$P$37,COUNT(L12:L26),NPV('Table 3 Comparison'!$P$37,L12:L26))</f>
        <v>1.318850235140689</v>
      </c>
      <c r="M34" s="226">
        <f>L34/$I34</f>
        <v>1.372169803107969</v>
      </c>
      <c r="N34" s="220"/>
      <c r="O34" s="227">
        <f>-PMT('Table 3 Comparison'!$P$37,COUNT(O12:O26),NPV('Table 3 Comparison'!$P$37,O12:O26))</f>
        <v>2.9665592789137594</v>
      </c>
      <c r="P34" s="226">
        <f>O34/$I34</f>
        <v>3.0864937907229293</v>
      </c>
      <c r="Q34" s="220"/>
      <c r="R34" s="227">
        <f>-PMT('Table 3 Comparison'!$P$37,COUNT(R12:R26),NPV('Table 3 Comparison'!$P$37,R12:R26))</f>
        <v>1.2994520482454281</v>
      </c>
      <c r="S34" s="226">
        <f>R34/$I34</f>
        <v>1.3519873702710197</v>
      </c>
      <c r="T34" s="220"/>
      <c r="U34" s="227">
        <f>-PMT('Table 3 Comparison'!$P$37,COUNT(U12:U26),NPV('Table 3 Comparison'!$P$37,U12:U26))</f>
        <v>1.4984991230102471</v>
      </c>
      <c r="V34" s="226">
        <f>U34/$I34</f>
        <v>1.5590816847821158</v>
      </c>
    </row>
    <row r="35" spans="1:22" ht="24" hidden="1" x14ac:dyDescent="0.2">
      <c r="A35" s="37"/>
      <c r="B35" s="38" t="s">
        <v>89</v>
      </c>
      <c r="C35" s="39">
        <f t="shared" ref="C35:C36" si="15">M35</f>
        <v>1.372169803107969</v>
      </c>
      <c r="D35" s="39">
        <f t="shared" ref="D35:D36" si="16">P35</f>
        <v>3.0864937907229293</v>
      </c>
      <c r="E35" s="39">
        <f t="shared" ref="E35:E36" si="17">S35</f>
        <v>1.3519873702710197</v>
      </c>
      <c r="F35" s="39">
        <f t="shared" ref="F35:F36" si="18">V35</f>
        <v>1.5590816847821158</v>
      </c>
      <c r="I35" s="227">
        <f>-PMT('Table 3 Comparison'!$P$37,COUNT(I12:I26),NPV('Table 3 Comparison'!$P$37,I12:I26))</f>
        <v>0.96114215030347483</v>
      </c>
      <c r="J35" s="215"/>
      <c r="K35" s="216"/>
      <c r="L35" s="227">
        <f>-PMT('Table 3 Comparison'!$P$37,COUNT(L12:L26),NPV('Table 3 Comparison'!$P$37,L12:L26))</f>
        <v>1.318850235140689</v>
      </c>
      <c r="M35" s="226">
        <f>L35/$I35</f>
        <v>1.372169803107969</v>
      </c>
      <c r="N35" s="216"/>
      <c r="O35" s="227">
        <f>-PMT('Table 3 Comparison'!$P$37,COUNT(O12:O26),NPV('Table 3 Comparison'!$P$37,O12:O26))</f>
        <v>2.9665592789137594</v>
      </c>
      <c r="P35" s="226">
        <f>O35/$I35</f>
        <v>3.0864937907229293</v>
      </c>
      <c r="Q35" s="216"/>
      <c r="R35" s="227">
        <f>-PMT('Table 3 Comparison'!$P$37,COUNT(R12:R26),NPV('Table 3 Comparison'!$P$37,R12:R26))</f>
        <v>1.2994520482454281</v>
      </c>
      <c r="S35" s="226">
        <f>R35/$I35</f>
        <v>1.3519873702710197</v>
      </c>
      <c r="T35" s="216"/>
      <c r="U35" s="227">
        <f>-PMT('Table 3 Comparison'!$P$37,COUNT(U12:U26),NPV('Table 3 Comparison'!$P$37,U12:U26))</f>
        <v>1.4984991230102471</v>
      </c>
      <c r="V35" s="226">
        <f>U35/$I35</f>
        <v>1.5590816847821158</v>
      </c>
    </row>
    <row r="36" spans="1:22" ht="24" hidden="1" x14ac:dyDescent="0.2">
      <c r="B36" s="38" t="s">
        <v>90</v>
      </c>
      <c r="C36" s="39">
        <f t="shared" si="15"/>
        <v>1.3570720489939267</v>
      </c>
      <c r="D36" s="39">
        <f t="shared" si="16"/>
        <v>3.1885514677039839</v>
      </c>
      <c r="E36" s="39">
        <f t="shared" si="17"/>
        <v>1.36279818061636</v>
      </c>
      <c r="F36" s="39">
        <f t="shared" si="18"/>
        <v>1.6588781853885302</v>
      </c>
      <c r="I36" s="227">
        <f>-PMT('Table 3 Comparison'!$P$37,COUNT(I13:I27),NPV('Table 3 Comparison'!$P$37,I13:I27))</f>
        <v>0.95614215030347482</v>
      </c>
      <c r="J36" s="215"/>
      <c r="K36" s="216"/>
      <c r="L36" s="227">
        <f>-PMT('Table 3 Comparison'!$P$37,COUNT(L13:L27),NPV('Table 3 Comparison'!$P$37,L13:L27))</f>
        <v>1.2975537870417957</v>
      </c>
      <c r="M36" s="226">
        <f>L36/$I36</f>
        <v>1.3570720489939267</v>
      </c>
      <c r="N36" s="216"/>
      <c r="O36" s="227">
        <f>-PMT('Table 3 Comparison'!$P$37,COUNT(O13:O27),NPV('Table 3 Comparison'!$P$37,O13:O27))</f>
        <v>3.0487084566837876</v>
      </c>
      <c r="P36" s="226">
        <f>O36/$I36</f>
        <v>3.1885514677039839</v>
      </c>
      <c r="Q36" s="216"/>
      <c r="R36" s="227">
        <f>-PMT('Table 3 Comparison'!$P$37,COUNT(R13:R27),NPV('Table 3 Comparison'!$P$37,R13:R27))</f>
        <v>1.3030287828441898</v>
      </c>
      <c r="S36" s="226">
        <f>R36/$I36</f>
        <v>1.36279818061636</v>
      </c>
      <c r="T36" s="216"/>
      <c r="U36" s="227">
        <f>-PMT('Table 3 Comparison'!$P$37,COUNT(U13:U27),NPV('Table 3 Comparison'!$P$37,U13:U27))</f>
        <v>1.5861233552689156</v>
      </c>
      <c r="V36" s="226">
        <f>U36/$I36</f>
        <v>1.6588781853885302</v>
      </c>
    </row>
    <row r="37" spans="1:22" hidden="1" x14ac:dyDescent="0.2">
      <c r="B37" s="38"/>
      <c r="C37" s="39"/>
      <c r="D37" s="39"/>
      <c r="E37" s="39"/>
      <c r="F37" s="39"/>
      <c r="I37" s="217"/>
      <c r="J37" s="217"/>
      <c r="K37" s="218"/>
      <c r="L37" s="218"/>
      <c r="M37" s="219"/>
      <c r="N37" s="220"/>
      <c r="O37" s="218"/>
      <c r="P37" s="219"/>
      <c r="Q37" s="220"/>
      <c r="R37" s="218"/>
      <c r="S37" s="219"/>
      <c r="T37" s="220"/>
      <c r="U37" s="218"/>
      <c r="V37" s="219"/>
    </row>
    <row r="38" spans="1:22" ht="33" hidden="1" customHeight="1" x14ac:dyDescent="0.2">
      <c r="A38" s="41"/>
      <c r="B38" s="16"/>
      <c r="C38" s="16"/>
      <c r="D38" s="16"/>
      <c r="E38" s="16"/>
      <c r="F38" s="42"/>
      <c r="H38" s="57"/>
      <c r="K38" s="221"/>
      <c r="L38" s="222"/>
      <c r="M38" s="223"/>
      <c r="O38" s="222"/>
      <c r="P38" s="223"/>
      <c r="R38" s="222"/>
      <c r="S38" s="223"/>
      <c r="U38" s="222"/>
      <c r="V38" s="223"/>
    </row>
    <row r="39" spans="1:22" ht="12.75" hidden="1" x14ac:dyDescent="0.2">
      <c r="A39" s="41"/>
      <c r="B39" s="48"/>
      <c r="C39" s="48"/>
      <c r="D39" s="44"/>
      <c r="E39" s="44"/>
      <c r="F39" s="42"/>
      <c r="L39" s="224"/>
      <c r="O39" s="224"/>
      <c r="R39" s="224"/>
      <c r="U39" s="224"/>
    </row>
    <row r="40" spans="1:22" ht="12.75" hidden="1" x14ac:dyDescent="0.2">
      <c r="A40" s="31"/>
      <c r="B40" s="48"/>
      <c r="C40" s="48"/>
      <c r="D40" s="44"/>
      <c r="E40" s="44"/>
      <c r="F40" s="31"/>
      <c r="H40" s="53"/>
    </row>
    <row r="41" spans="1:22" ht="12.75" x14ac:dyDescent="0.2">
      <c r="A41" s="40"/>
      <c r="B41" s="48" t="s">
        <v>121</v>
      </c>
      <c r="C41" s="48"/>
      <c r="D41" s="44"/>
      <c r="E41" s="44"/>
      <c r="H41" s="59"/>
      <c r="K41" s="205" t="str">
        <f ca="1">"NPV ("&amp;INDEX($B:$B,MID(_xlfn.FORMULATEXT(L34),FIND("(L",_xlfn.FORMULATEXT(L34))+2,2),1)&amp;"-"&amp;INDEX($B:$B,MID(_xlfn.FORMULATEXT(L34),FIND("),",_xlfn.FORMULATEXT(L34))-2,2),1)&amp;")"</f>
        <v>NPV (2021-2035)</v>
      </c>
      <c r="L41" s="212">
        <f>NPV('Table 3 Comparison'!$P$37,L12:L26)</f>
        <v>12.072906547114957</v>
      </c>
      <c r="M41" s="212">
        <f>NPV('Table 3 Comparison'!$P$37,M12:M26)</f>
        <v>12.072906547114956</v>
      </c>
      <c r="O41" s="212">
        <f>NPV('Table 3 Comparison'!$P$37,O12:O26)</f>
        <v>27.15622440404082</v>
      </c>
      <c r="P41" s="212">
        <f>NPV('Table 3 Comparison'!$P$37,P12:P26)</f>
        <v>27.156224404040817</v>
      </c>
      <c r="R41" s="212">
        <f>NPV('Table 3 Comparison'!$P$37,R12:R26)</f>
        <v>11.895333316030861</v>
      </c>
      <c r="S41" s="212">
        <f>NPV('Table 3 Comparison'!$P$37,S12:S26)</f>
        <v>11.895333316030857</v>
      </c>
      <c r="U41" s="212">
        <f>NPV('Table 3 Comparison'!$P$37,U12:U26)</f>
        <v>13.717433102710515</v>
      </c>
      <c r="V41" s="212">
        <f>NPV('Table 3 Comparison'!$P$37,V12:V26)</f>
        <v>13.717433102710515</v>
      </c>
    </row>
    <row r="42" spans="1:22" ht="12.75" x14ac:dyDescent="0.2">
      <c r="A42" s="41"/>
      <c r="B42" s="48" t="s">
        <v>242</v>
      </c>
      <c r="K42" s="205" t="s">
        <v>129</v>
      </c>
      <c r="M42" s="205">
        <f>M41-L41</f>
        <v>0</v>
      </c>
      <c r="P42" s="205">
        <f>P41-O41</f>
        <v>0</v>
      </c>
      <c r="S42" s="205">
        <f>S41-R41</f>
        <v>0</v>
      </c>
      <c r="V42" s="205">
        <f>V41-U41</f>
        <v>0</v>
      </c>
    </row>
    <row r="43" spans="1:22" ht="12.75" x14ac:dyDescent="0.2">
      <c r="B43" s="48" t="s">
        <v>243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44"/>
  <sheetViews>
    <sheetView showGridLines="0" view="pageBreakPreview" zoomScale="80" zoomScaleNormal="80" zoomScaleSheetLayoutView="80" workbookViewId="0">
      <selection activeCell="B42" sqref="B32:F42"/>
    </sheetView>
  </sheetViews>
  <sheetFormatPr defaultColWidth="9.33203125" defaultRowHeight="12" x14ac:dyDescent="0.2"/>
  <cols>
    <col min="1" max="1" width="2.83203125" style="26" customWidth="1"/>
    <col min="2" max="2" width="22.1640625" style="26" customWidth="1"/>
    <col min="3" max="6" width="18.83203125" style="26" customWidth="1"/>
    <col min="7" max="7" width="4.6640625" style="26" customWidth="1"/>
    <col min="8" max="16384" width="9.33203125" style="26"/>
  </cols>
  <sheetData>
    <row r="1" spans="1:7" x14ac:dyDescent="0.2">
      <c r="A1" s="2"/>
      <c r="B1" s="2"/>
      <c r="C1" s="2"/>
      <c r="D1" s="2"/>
      <c r="E1" s="2"/>
      <c r="F1" s="2"/>
      <c r="G1" s="28"/>
    </row>
    <row r="2" spans="1:7" x14ac:dyDescent="0.2">
      <c r="A2" s="2"/>
      <c r="B2" s="2" t="s">
        <v>18</v>
      </c>
      <c r="C2" s="2"/>
      <c r="D2" s="2"/>
      <c r="E2" s="2"/>
      <c r="F2" s="2"/>
      <c r="G2" s="28"/>
    </row>
    <row r="3" spans="1:7" x14ac:dyDescent="0.2">
      <c r="G3" s="28"/>
    </row>
    <row r="4" spans="1:7" x14ac:dyDescent="0.2">
      <c r="A4" s="27"/>
      <c r="B4" s="47" t="s">
        <v>34</v>
      </c>
      <c r="C4" s="27"/>
      <c r="D4" s="27"/>
      <c r="E4" s="27"/>
      <c r="F4" s="27"/>
      <c r="G4" s="28"/>
    </row>
    <row r="5" spans="1:7" x14ac:dyDescent="0.2">
      <c r="A5" s="27"/>
      <c r="B5" s="27"/>
    </row>
    <row r="6" spans="1:7" x14ac:dyDescent="0.2">
      <c r="A6" s="27"/>
      <c r="B6" s="28" t="s">
        <v>29</v>
      </c>
      <c r="C6" s="29" t="s">
        <v>122</v>
      </c>
      <c r="D6" s="29"/>
      <c r="E6" s="29" t="s">
        <v>91</v>
      </c>
      <c r="F6" s="29"/>
    </row>
    <row r="7" spans="1:7" ht="14.25" x14ac:dyDescent="0.35">
      <c r="A7" s="27"/>
      <c r="B7" s="28" t="s">
        <v>27</v>
      </c>
      <c r="C7" s="30" t="s">
        <v>9</v>
      </c>
      <c r="D7" s="30" t="s">
        <v>10</v>
      </c>
      <c r="E7" s="30" t="s">
        <v>9</v>
      </c>
      <c r="F7" s="30" t="s">
        <v>10</v>
      </c>
    </row>
    <row r="8" spans="1:7" hidden="1" x14ac:dyDescent="0.2">
      <c r="A8" s="31"/>
      <c r="B8" s="32"/>
      <c r="C8" s="33"/>
      <c r="D8" s="33"/>
      <c r="E8" s="33"/>
      <c r="F8" s="33"/>
    </row>
    <row r="9" spans="1:7" hidden="1" x14ac:dyDescent="0.2">
      <c r="A9" s="31"/>
      <c r="B9" s="32"/>
      <c r="C9" s="33"/>
      <c r="D9" s="33"/>
      <c r="E9" s="33"/>
      <c r="F9" s="33"/>
    </row>
    <row r="10" spans="1:7" hidden="1" x14ac:dyDescent="0.2">
      <c r="A10" s="31"/>
      <c r="B10" s="128">
        <f>[23]SourceEnergy!$R$20</f>
        <v>2017</v>
      </c>
      <c r="C10" s="34">
        <f>INDEX([23]SourceEnergy!$S$20:$T$40,MATCH($B10,[23]SourceEnergy!$R$20:$R$40,0),MATCH(C$7,[23]SourceEnergy!$S$12:$T$12,0))/10</f>
        <v>0</v>
      </c>
      <c r="D10" s="34">
        <f>INDEX([23]SourceEnergy!$S$20:$T$40,MATCH($B10,[23]SourceEnergy!$R$20:$R$40,0),MATCH(D$7,[23]SourceEnergy!$S$12:$T$12,0))/10</f>
        <v>0</v>
      </c>
      <c r="E10" s="34">
        <f>INDEX([23]SourceEnergy!$U$20:$V$40,MATCH($B10,[23]SourceEnergy!$R$20:$R$40,0),MATCH(E$7,[23]SourceEnergy!$U$12:$V$12,0))/10</f>
        <v>0</v>
      </c>
      <c r="F10" s="34">
        <f>INDEX([23]SourceEnergy!$U$20:$V$40,MATCH($B10,[23]SourceEnergy!$R$20:$R$40,0),MATCH(F$7,[23]SourceEnergy!$U$12:$V$12,0))/10</f>
        <v>0</v>
      </c>
    </row>
    <row r="11" spans="1:7" hidden="1" x14ac:dyDescent="0.2">
      <c r="A11" s="31"/>
      <c r="B11" s="128">
        <v>2020</v>
      </c>
      <c r="C11" s="34">
        <f>INDEX([23]SourceEnergy!$S$20:$T$45,MATCH($B11,[23]SourceEnergy!$R$20:$R$45,0),MATCH(C$7,[23]SourceEnergy!$S$12:$T$12,0))/10</f>
        <v>0</v>
      </c>
      <c r="D11" s="34">
        <f>INDEX([23]SourceEnergy!$S$20:$T$45,MATCH($B11,[23]SourceEnergy!$R$20:$R$45,0),MATCH(D$7,[23]SourceEnergy!$S$12:$T$12,0))/10</f>
        <v>0</v>
      </c>
      <c r="E11" s="34">
        <f>INDEX([23]SourceEnergy!$U$20:$V$45,MATCH($B11,[23]SourceEnergy!$R$20:$R$45,0),MATCH(E$7,[23]SourceEnergy!$U$12:$V$12,0))/10</f>
        <v>0</v>
      </c>
      <c r="F11" s="34">
        <f>INDEX([23]SourceEnergy!$U$20:$V$45,MATCH($B11,[23]SourceEnergy!$R$20:$R$45,0),MATCH(F$7,[23]SourceEnergy!$U$12:$V$12,0))/10</f>
        <v>0</v>
      </c>
    </row>
    <row r="12" spans="1:7" x14ac:dyDescent="0.2">
      <c r="A12" s="31"/>
      <c r="B12" s="128">
        <f t="shared" ref="B12:B30" si="0">B11+1</f>
        <v>2021</v>
      </c>
      <c r="C12" s="34">
        <f>INDEX([23]SourceEnergy!$S$20:$T$45,MATCH($B12,[23]SourceEnergy!$R$20:$R$45,0),MATCH(C$7,[23]SourceEnergy!$S$12:$T$12,0))/10</f>
        <v>1.9612734089349011</v>
      </c>
      <c r="D12" s="34">
        <f>INDEX([23]SourceEnergy!$S$20:$T$45,MATCH($B12,[23]SourceEnergy!$R$20:$R$45,0),MATCH(D$7,[23]SourceEnergy!$S$12:$T$12,0))/10</f>
        <v>4.6655912368945005</v>
      </c>
      <c r="E12" s="34">
        <f>INDEX([23]SourceEnergy!$U$20:$V$45,MATCH($B12,[23]SourceEnergy!$R$20:$R$45,0),MATCH(E$7,[23]SourceEnergy!$U$12:$V$12,0))/10</f>
        <v>1.7646004900769046</v>
      </c>
      <c r="F12" s="34">
        <f>INDEX([23]SourceEnergy!$U$20:$V$45,MATCH($B12,[23]SourceEnergy!$R$20:$R$45,0),MATCH(F$7,[23]SourceEnergy!$U$12:$V$12,0))/10</f>
        <v>1.5897179527518182</v>
      </c>
    </row>
    <row r="13" spans="1:7" x14ac:dyDescent="0.2">
      <c r="A13" s="31"/>
      <c r="B13" s="128">
        <f t="shared" si="0"/>
        <v>2022</v>
      </c>
      <c r="C13" s="34">
        <f>INDEX([23]SourceEnergy!$S$20:$T$45,MATCH($B13,[23]SourceEnergy!$R$20:$R$45,0),MATCH(C$7,[23]SourceEnergy!$S$12:$T$12,0))/10</f>
        <v>2.0148957315003861</v>
      </c>
      <c r="D13" s="34">
        <f>INDEX([23]SourceEnergy!$S$20:$T$45,MATCH($B13,[23]SourceEnergy!$R$20:$R$45,0),MATCH(D$7,[23]SourceEnergy!$S$12:$T$12,0))/10</f>
        <v>3.5305069458708354</v>
      </c>
      <c r="E13" s="34">
        <f>INDEX([23]SourceEnergy!$U$20:$V$45,MATCH($B13,[23]SourceEnergy!$R$20:$R$45,0),MATCH(E$7,[23]SourceEnergy!$U$12:$V$12,0))/10</f>
        <v>1.864261780410668</v>
      </c>
      <c r="F13" s="34">
        <f>INDEX([23]SourceEnergy!$U$20:$V$45,MATCH($B13,[23]SourceEnergy!$R$20:$R$45,0),MATCH(F$7,[23]SourceEnergy!$U$12:$V$12,0))/10</f>
        <v>1.799499997650343</v>
      </c>
    </row>
    <row r="14" spans="1:7" x14ac:dyDescent="0.2">
      <c r="A14" s="31"/>
      <c r="B14" s="128">
        <f t="shared" si="0"/>
        <v>2023</v>
      </c>
      <c r="C14" s="34">
        <f>INDEX([23]SourceEnergy!$S$20:$T$45,MATCH($B14,[23]SourceEnergy!$R$20:$R$45,0),MATCH(C$7,[23]SourceEnergy!$S$12:$T$12,0))/10</f>
        <v>2.0010225323202184</v>
      </c>
      <c r="D14" s="34">
        <f>INDEX([23]SourceEnergy!$S$20:$T$45,MATCH($B14,[23]SourceEnergy!$R$20:$R$45,0),MATCH(D$7,[23]SourceEnergy!$S$12:$T$12,0))/10</f>
        <v>5.273588485200837</v>
      </c>
      <c r="E14" s="34">
        <f>INDEX([23]SourceEnergy!$U$20:$V$45,MATCH($B14,[23]SourceEnergy!$R$20:$R$45,0),MATCH(E$7,[23]SourceEnergy!$U$12:$V$12,0))/10</f>
        <v>1.9211915302879619</v>
      </c>
      <c r="F14" s="34">
        <f>INDEX([23]SourceEnergy!$U$20:$V$45,MATCH($B14,[23]SourceEnergy!$R$20:$R$45,0),MATCH(F$7,[23]SourceEnergy!$U$12:$V$12,0))/10</f>
        <v>2.9826037513620292</v>
      </c>
    </row>
    <row r="15" spans="1:7" x14ac:dyDescent="0.2">
      <c r="A15" s="31"/>
      <c r="B15" s="128">
        <f t="shared" si="0"/>
        <v>2024</v>
      </c>
      <c r="C15" s="34">
        <f>INDEX([23]SourceEnergy!$S$20:$T$45,MATCH($B15,[23]SourceEnergy!$R$20:$R$45,0),MATCH(C$7,[23]SourceEnergy!$S$12:$T$12,0))/10</f>
        <v>2.2699463986266246</v>
      </c>
      <c r="D15" s="34">
        <f>INDEX([23]SourceEnergy!$S$20:$T$45,MATCH($B15,[23]SourceEnergy!$R$20:$R$45,0),MATCH(D$7,[23]SourceEnergy!$S$12:$T$12,0))/10</f>
        <v>4.8510020304381509</v>
      </c>
      <c r="E15" s="34">
        <f>INDEX([23]SourceEnergy!$U$20:$V$45,MATCH($B15,[23]SourceEnergy!$R$20:$R$45,0),MATCH(E$7,[23]SourceEnergy!$U$12:$V$12,0))/10</f>
        <v>2.143783054383984</v>
      </c>
      <c r="F15" s="34">
        <f>INDEX([23]SourceEnergy!$U$20:$V$45,MATCH($B15,[23]SourceEnergy!$R$20:$R$45,0),MATCH(F$7,[23]SourceEnergy!$U$12:$V$12,0))/10</f>
        <v>2.8568424491715509</v>
      </c>
    </row>
    <row r="16" spans="1:7" x14ac:dyDescent="0.2">
      <c r="A16" s="31"/>
      <c r="B16" s="128">
        <f t="shared" si="0"/>
        <v>2025</v>
      </c>
      <c r="C16" s="34">
        <f>INDEX([23]SourceEnergy!$S$20:$T$45,MATCH($B16,[23]SourceEnergy!$R$20:$R$45,0),MATCH(C$7,[23]SourceEnergy!$S$12:$T$12,0))/10</f>
        <v>2.4503172443785877</v>
      </c>
      <c r="D16" s="34">
        <f>INDEX([23]SourceEnergy!$S$20:$T$45,MATCH($B16,[23]SourceEnergy!$R$20:$R$45,0),MATCH(D$7,[23]SourceEnergy!$S$12:$T$12,0))/10</f>
        <v>4.1144657702130649</v>
      </c>
      <c r="E16" s="34">
        <f>INDEX([23]SourceEnergy!$U$20:$V$45,MATCH($B16,[23]SourceEnergy!$R$20:$R$45,0),MATCH(E$7,[23]SourceEnergy!$U$12:$V$12,0))/10</f>
        <v>2.3540290183347432</v>
      </c>
      <c r="F16" s="34">
        <f>INDEX([23]SourceEnergy!$U$20:$V$45,MATCH($B16,[23]SourceEnergy!$R$20:$R$45,0),MATCH(F$7,[23]SourceEnergy!$U$12:$V$12,0))/10</f>
        <v>2.6834540650320431</v>
      </c>
    </row>
    <row r="17" spans="1:14" x14ac:dyDescent="0.2">
      <c r="A17" s="31"/>
      <c r="B17" s="128">
        <f t="shared" si="0"/>
        <v>2026</v>
      </c>
      <c r="C17" s="34">
        <f>INDEX([23]SourceEnergy!$S$20:$T$45,MATCH($B17,[23]SourceEnergy!$R$20:$R$45,0),MATCH(C$7,[23]SourceEnergy!$S$12:$T$12,0))/10</f>
        <v>2.4238432053772945</v>
      </c>
      <c r="D17" s="34">
        <f>INDEX([23]SourceEnergy!$S$20:$T$45,MATCH($B17,[23]SourceEnergy!$R$20:$R$45,0),MATCH(D$7,[23]SourceEnergy!$S$12:$T$12,0))/10</f>
        <v>4.8089661417278817</v>
      </c>
      <c r="E17" s="34">
        <f>INDEX([23]SourceEnergy!$U$20:$V$45,MATCH($B17,[23]SourceEnergy!$R$20:$R$45,0),MATCH(E$7,[23]SourceEnergy!$U$12:$V$12,0))/10</f>
        <v>2.3974760744909456</v>
      </c>
      <c r="F17" s="34">
        <f>INDEX([23]SourceEnergy!$U$20:$V$45,MATCH($B17,[23]SourceEnergy!$R$20:$R$45,0),MATCH(F$7,[23]SourceEnergy!$U$12:$V$12,0))/10</f>
        <v>2.8553353439989477</v>
      </c>
    </row>
    <row r="18" spans="1:14" x14ac:dyDescent="0.2">
      <c r="A18" s="31"/>
      <c r="B18" s="128">
        <f t="shared" si="0"/>
        <v>2027</v>
      </c>
      <c r="C18" s="34">
        <f>INDEX([23]SourceEnergy!$S$20:$T$45,MATCH($B18,[23]SourceEnergy!$R$20:$R$45,0),MATCH(C$7,[23]SourceEnergy!$S$12:$T$12,0))/10</f>
        <v>2.2623658238421389</v>
      </c>
      <c r="D18" s="34">
        <f>INDEX([23]SourceEnergy!$S$20:$T$45,MATCH($B18,[23]SourceEnergy!$R$20:$R$45,0),MATCH(D$7,[23]SourceEnergy!$S$12:$T$12,0))/10</f>
        <v>5.890194199152722</v>
      </c>
      <c r="E18" s="34">
        <f>INDEX([23]SourceEnergy!$U$20:$V$45,MATCH($B18,[23]SourceEnergy!$R$20:$R$45,0),MATCH(E$7,[23]SourceEnergy!$U$12:$V$12,0))/10</f>
        <v>2.3325454983728422</v>
      </c>
      <c r="F18" s="34">
        <f>INDEX([23]SourceEnergy!$U$20:$V$45,MATCH($B18,[23]SourceEnergy!$R$20:$R$45,0),MATCH(F$7,[23]SourceEnergy!$U$12:$V$12,0))/10</f>
        <v>2.8829062415801223</v>
      </c>
    </row>
    <row r="19" spans="1:14" x14ac:dyDescent="0.2">
      <c r="A19" s="31"/>
      <c r="B19" s="128">
        <f t="shared" si="0"/>
        <v>2028</v>
      </c>
      <c r="C19" s="34">
        <f>INDEX([23]SourceEnergy!$S$20:$T$45,MATCH($B19,[23]SourceEnergy!$R$20:$R$45,0),MATCH(C$7,[23]SourceEnergy!$S$12:$T$12,0))/10</f>
        <v>2.4428541122404779</v>
      </c>
      <c r="D19" s="34">
        <f>INDEX([23]SourceEnergy!$S$20:$T$45,MATCH($B19,[23]SourceEnergy!$R$20:$R$45,0),MATCH(D$7,[23]SourceEnergy!$S$12:$T$12,0))/10</f>
        <v>5.5909780701455869</v>
      </c>
      <c r="E19" s="34">
        <f>INDEX([23]SourceEnergy!$U$20:$V$45,MATCH($B19,[23]SourceEnergy!$R$20:$R$45,0),MATCH(E$7,[23]SourceEnergy!$U$12:$V$12,0))/10</f>
        <v>2.4849972761891781</v>
      </c>
      <c r="F19" s="34">
        <f>INDEX([23]SourceEnergy!$U$20:$V$45,MATCH($B19,[23]SourceEnergy!$R$20:$R$45,0),MATCH(F$7,[23]SourceEnergy!$U$12:$V$12,0))/10</f>
        <v>3.0340466940714848</v>
      </c>
    </row>
    <row r="20" spans="1:14" x14ac:dyDescent="0.2">
      <c r="A20" s="31"/>
      <c r="B20" s="128">
        <f t="shared" si="0"/>
        <v>2029</v>
      </c>
      <c r="C20" s="34">
        <f>INDEX([23]SourceEnergy!$S$20:$T$45,MATCH($B20,[23]SourceEnergy!$R$20:$R$45,0),MATCH(C$7,[23]SourceEnergy!$S$12:$T$12,0))/10</f>
        <v>2.3844454414567342</v>
      </c>
      <c r="D20" s="34">
        <f>INDEX([23]SourceEnergy!$S$20:$T$45,MATCH($B20,[23]SourceEnergy!$R$20:$R$45,0),MATCH(D$7,[23]SourceEnergy!$S$12:$T$12,0))/10</f>
        <v>6.2035355756399309</v>
      </c>
      <c r="E20" s="34">
        <f>INDEX([23]SourceEnergy!$U$20:$V$45,MATCH($B20,[23]SourceEnergy!$R$20:$R$45,0),MATCH(E$7,[23]SourceEnergy!$U$12:$V$12,0))/10</f>
        <v>2.4618767767866778</v>
      </c>
      <c r="F20" s="34">
        <f>INDEX([23]SourceEnergy!$U$20:$V$45,MATCH($B20,[23]SourceEnergy!$R$20:$R$45,0),MATCH(F$7,[23]SourceEnergy!$U$12:$V$12,0))/10</f>
        <v>3.0637429839083268</v>
      </c>
      <c r="H20" s="35"/>
    </row>
    <row r="21" spans="1:14" x14ac:dyDescent="0.2">
      <c r="A21" s="31"/>
      <c r="B21" s="128">
        <f t="shared" si="0"/>
        <v>2030</v>
      </c>
      <c r="C21" s="34">
        <f>INDEX([23]SourceEnergy!$S$20:$T$45,MATCH($B21,[23]SourceEnergy!$R$20:$R$45,0),MATCH(C$7,[23]SourceEnergy!$S$12:$T$12,0))/10</f>
        <v>2.410432063192526</v>
      </c>
      <c r="D21" s="34">
        <f>INDEX([23]SourceEnergy!$S$20:$T$45,MATCH($B21,[23]SourceEnergy!$R$20:$R$45,0),MATCH(D$7,[23]SourceEnergy!$S$12:$T$12,0))/10</f>
        <v>6.2159046440312506</v>
      </c>
      <c r="E21" s="34">
        <f>INDEX([23]SourceEnergy!$U$20:$V$45,MATCH($B21,[23]SourceEnergy!$R$20:$R$45,0),MATCH(E$7,[23]SourceEnergy!$U$12:$V$12,0))/10</f>
        <v>2.5235977293158713</v>
      </c>
      <c r="F21" s="34">
        <f>INDEX([23]SourceEnergy!$U$20:$V$45,MATCH($B21,[23]SourceEnergy!$R$20:$R$45,0),MATCH(F$7,[23]SourceEnergy!$U$12:$V$12,0))/10</f>
        <v>3.2681032327599935</v>
      </c>
    </row>
    <row r="22" spans="1:14" x14ac:dyDescent="0.2">
      <c r="A22" s="31"/>
      <c r="B22" s="128">
        <f t="shared" si="0"/>
        <v>2031</v>
      </c>
      <c r="C22" s="34">
        <f>INDEX([23]SourceEnergy!$S$20:$T$45,MATCH($B22,[23]SourceEnergy!$R$20:$R$45,0),MATCH(C$7,[23]SourceEnergy!$S$12:$T$12,0))/10</f>
        <v>2.6007821712632677</v>
      </c>
      <c r="D22" s="34">
        <f>INDEX([23]SourceEnergy!$S$20:$T$45,MATCH($B22,[23]SourceEnergy!$R$20:$R$45,0),MATCH(D$7,[23]SourceEnergy!$S$12:$T$12,0))/10</f>
        <v>5.8741820326570107</v>
      </c>
      <c r="E22" s="34">
        <f>INDEX([23]SourceEnergy!$U$20:$V$45,MATCH($B22,[23]SourceEnergy!$R$20:$R$45,0),MATCH(E$7,[23]SourceEnergy!$U$12:$V$12,0))/10</f>
        <v>2.7078014137904476</v>
      </c>
      <c r="F22" s="34">
        <f>INDEX([23]SourceEnergy!$U$20:$V$45,MATCH($B22,[23]SourceEnergy!$R$20:$R$45,0),MATCH(F$7,[23]SourceEnergy!$U$12:$V$12,0))/10</f>
        <v>3.4476847557651689</v>
      </c>
    </row>
    <row r="23" spans="1:14" x14ac:dyDescent="0.2">
      <c r="A23" s="31"/>
      <c r="B23" s="128">
        <f t="shared" si="0"/>
        <v>2032</v>
      </c>
      <c r="C23" s="34">
        <f>INDEX([23]SourceEnergy!$S$20:$T$45,MATCH($B23,[23]SourceEnergy!$R$20:$R$45,0),MATCH(C$7,[23]SourceEnergy!$S$12:$T$12,0))/10</f>
        <v>2.6378451802700469</v>
      </c>
      <c r="D23" s="34">
        <f>INDEX([23]SourceEnergy!$S$20:$T$45,MATCH($B23,[23]SourceEnergy!$R$20:$R$45,0),MATCH(D$7,[23]SourceEnergy!$S$12:$T$12,0))/10</f>
        <v>5.7181169400811651</v>
      </c>
      <c r="E23" s="34">
        <f>INDEX([23]SourceEnergy!$U$20:$V$45,MATCH($B23,[23]SourceEnergy!$R$20:$R$45,0),MATCH(E$7,[23]SourceEnergy!$U$12:$V$12,0))/10</f>
        <v>2.8686398450512312</v>
      </c>
      <c r="F23" s="34">
        <f>INDEX([23]SourceEnergy!$U$20:$V$45,MATCH($B23,[23]SourceEnergy!$R$20:$R$45,0),MATCH(F$7,[23]SourceEnergy!$U$12:$V$12,0))/10</f>
        <v>3.5272688046181919</v>
      </c>
    </row>
    <row r="24" spans="1:14" x14ac:dyDescent="0.2">
      <c r="A24" s="31"/>
      <c r="B24" s="128">
        <f t="shared" si="0"/>
        <v>2033</v>
      </c>
      <c r="C24" s="34">
        <f>INDEX([23]SourceEnergy!$S$20:$T$45,MATCH($B24,[23]SourceEnergy!$R$20:$R$45,0),MATCH(C$7,[23]SourceEnergy!$S$12:$T$12,0))/10</f>
        <v>4.8882630659216408</v>
      </c>
      <c r="D24" s="34">
        <f>INDEX([23]SourceEnergy!$S$20:$T$45,MATCH($B24,[23]SourceEnergy!$R$20:$R$45,0),MATCH(D$7,[23]SourceEnergy!$S$12:$T$12,0))/10</f>
        <v>9.9875847358515379</v>
      </c>
      <c r="E24" s="34">
        <f>INDEX([23]SourceEnergy!$U$20:$V$45,MATCH($B24,[23]SourceEnergy!$R$20:$R$45,0),MATCH(E$7,[23]SourceEnergy!$U$12:$V$12,0))/10</f>
        <v>5.2630156239551109</v>
      </c>
      <c r="F24" s="34">
        <f>INDEX([23]SourceEnergy!$U$20:$V$45,MATCH($B24,[23]SourceEnergy!$R$20:$R$45,0),MATCH(F$7,[23]SourceEnergy!$U$12:$V$12,0))/10</f>
        <v>6.5704399677012448</v>
      </c>
    </row>
    <row r="25" spans="1:14" x14ac:dyDescent="0.2">
      <c r="A25" s="31"/>
      <c r="B25" s="128">
        <f t="shared" si="0"/>
        <v>2034</v>
      </c>
      <c r="C25" s="34">
        <f>INDEX([23]SourceEnergy!$S$20:$T$45,MATCH($B25,[23]SourceEnergy!$R$20:$R$45,0),MATCH(C$7,[23]SourceEnergy!$S$12:$T$12,0))/10</f>
        <v>4.9976025591206623</v>
      </c>
      <c r="D25" s="34">
        <f>INDEX([23]SourceEnergy!$S$20:$T$45,MATCH($B25,[23]SourceEnergy!$R$20:$R$45,0),MATCH(D$7,[23]SourceEnergy!$S$12:$T$12,0))/10</f>
        <v>10.143437600910669</v>
      </c>
      <c r="E25" s="34">
        <f>INDEX([23]SourceEnergy!$U$20:$V$45,MATCH($B25,[23]SourceEnergy!$R$20:$R$45,0),MATCH(E$7,[23]SourceEnergy!$U$12:$V$12,0))/10</f>
        <v>5.4305632574268294</v>
      </c>
      <c r="F25" s="34">
        <f>INDEX([23]SourceEnergy!$U$20:$V$45,MATCH($B25,[23]SourceEnergy!$R$20:$R$45,0),MATCH(F$7,[23]SourceEnergy!$U$12:$V$12,0))/10</f>
        <v>6.8289664891970094</v>
      </c>
    </row>
    <row r="26" spans="1:14" x14ac:dyDescent="0.2">
      <c r="A26" s="31"/>
      <c r="B26" s="128">
        <f t="shared" si="0"/>
        <v>2035</v>
      </c>
      <c r="C26" s="34">
        <f>INDEX([23]SourceEnergy!$S$20:$T$45,MATCH($B26,[23]SourceEnergy!$R$20:$R$45,0),MATCH(C$7,[23]SourceEnergy!$S$12:$T$12,0))/10</f>
        <v>4.9194681886857712</v>
      </c>
      <c r="D26" s="34">
        <f>INDEX([23]SourceEnergy!$S$20:$T$45,MATCH($B26,[23]SourceEnergy!$R$20:$R$45,0),MATCH(D$7,[23]SourceEnergy!$S$12:$T$12,0))/10</f>
        <v>11.496523800399917</v>
      </c>
      <c r="E26" s="34">
        <f>INDEX([23]SourceEnergy!$U$20:$V$45,MATCH($B26,[23]SourceEnergy!$R$20:$R$45,0),MATCH(E$7,[23]SourceEnergy!$U$12:$V$12,0))/10</f>
        <v>5.3867297853761595</v>
      </c>
      <c r="F26" s="34">
        <f>INDEX([23]SourceEnergy!$U$20:$V$45,MATCH($B26,[23]SourceEnergy!$R$20:$R$45,0),MATCH(F$7,[23]SourceEnergy!$U$12:$V$12,0))/10</f>
        <v>6.8944805827388631</v>
      </c>
    </row>
    <row r="27" spans="1:14" x14ac:dyDescent="0.2">
      <c r="A27" s="31"/>
      <c r="B27" s="128">
        <f t="shared" si="0"/>
        <v>2036</v>
      </c>
      <c r="C27" s="34">
        <f>INDEX([23]SourceEnergy!$S$20:$T$45,MATCH($B27,[23]SourceEnergy!$R$20:$R$45,0),MATCH(C$7,[23]SourceEnergy!$S$12:$T$12,0))/10</f>
        <v>5.0007553754091409</v>
      </c>
      <c r="D27" s="34">
        <f>INDEX([23]SourceEnergy!$S$20:$T$45,MATCH($B27,[23]SourceEnergy!$R$20:$R$45,0),MATCH(D$7,[23]SourceEnergy!$S$12:$T$12,0))/10</f>
        <v>12.346598628249726</v>
      </c>
      <c r="E27" s="34">
        <f>INDEX([23]SourceEnergy!$U$20:$V$45,MATCH($B27,[23]SourceEnergy!$R$20:$R$45,0),MATCH(E$7,[23]SourceEnergy!$U$12:$V$12,0))/10</f>
        <v>5.3292102230288867</v>
      </c>
      <c r="F27" s="34">
        <f>INDEX([23]SourceEnergy!$U$20:$V$45,MATCH($B27,[23]SourceEnergy!$R$20:$R$45,0),MATCH(F$7,[23]SourceEnergy!$U$12:$V$12,0))/10</f>
        <v>6.8847753170032062</v>
      </c>
    </row>
    <row r="28" spans="1:14" x14ac:dyDescent="0.2">
      <c r="A28" s="31"/>
      <c r="B28" s="128">
        <f t="shared" si="0"/>
        <v>2037</v>
      </c>
      <c r="C28" s="34">
        <f>INDEX([23]SourceEnergy!$S$20:$T$45,MATCH($B28,[23]SourceEnergy!$R$20:$R$45,0),MATCH(C$7,[23]SourceEnergy!$S$12:$T$12,0))/10</f>
        <v>5.1199339705605862</v>
      </c>
      <c r="D28" s="34">
        <f>INDEX([23]SourceEnergy!$S$20:$T$45,MATCH($B28,[23]SourceEnergy!$R$20:$R$45,0),MATCH(D$7,[23]SourceEnergy!$S$12:$T$12,0))/10</f>
        <v>12.113648846532838</v>
      </c>
      <c r="E28" s="34">
        <f>INDEX([23]SourceEnergy!$U$20:$V$45,MATCH($B28,[23]SourceEnergy!$R$20:$R$45,0),MATCH(E$7,[23]SourceEnergy!$U$12:$V$12,0))/10</f>
        <v>5.5856427313680523</v>
      </c>
      <c r="F28" s="34">
        <f>INDEX([23]SourceEnergy!$U$20:$V$45,MATCH($B28,[23]SourceEnergy!$R$20:$R$45,0),MATCH(F$7,[23]SourceEnergy!$U$12:$V$12,0))/10</f>
        <v>7.1762154037443846</v>
      </c>
    </row>
    <row r="29" spans="1:14" x14ac:dyDescent="0.2">
      <c r="A29" s="31"/>
      <c r="B29" s="128">
        <f t="shared" si="0"/>
        <v>2038</v>
      </c>
      <c r="C29" s="34">
        <f>INDEX([23]SourceEnergy!$S$20:$T$45,MATCH($B29,[23]SourceEnergy!$R$20:$R$45,0),MATCH(C$7,[23]SourceEnergy!$S$12:$T$12,0))/10</f>
        <v>5.0781783333265231</v>
      </c>
      <c r="D29" s="34">
        <f>INDEX([23]SourceEnergy!$S$20:$T$45,MATCH($B29,[23]SourceEnergy!$R$20:$R$45,0),MATCH(D$7,[23]SourceEnergy!$S$12:$T$12,0))/10</f>
        <v>13.023596310405058</v>
      </c>
      <c r="E29" s="34">
        <f>INDEX([23]SourceEnergy!$U$20:$V$45,MATCH($B29,[23]SourceEnergy!$R$20:$R$45,0),MATCH(E$7,[23]SourceEnergy!$U$12:$V$12,0))/10</f>
        <v>5.754121188592654</v>
      </c>
      <c r="F29" s="34">
        <f>INDEX([23]SourceEnergy!$U$20:$V$45,MATCH($B29,[23]SourceEnergy!$R$20:$R$45,0),MATCH(F$7,[23]SourceEnergy!$U$12:$V$12,0))/10</f>
        <v>7.3941856836376116</v>
      </c>
    </row>
    <row r="30" spans="1:14" hidden="1" x14ac:dyDescent="0.2">
      <c r="A30" s="31"/>
      <c r="B30" s="128">
        <f t="shared" si="0"/>
        <v>2039</v>
      </c>
      <c r="C30" s="34">
        <f>INDEX([23]SourceEnergy!$S$20:$T$45,MATCH($B30,[23]SourceEnergy!$R$20:$R$45,0),MATCH(C$7,[23]SourceEnergy!$S$12:$T$12,0))/10</f>
        <v>5.253596552936143</v>
      </c>
      <c r="D30" s="34">
        <f>INDEX([23]SourceEnergy!$S$20:$T$45,MATCH($B30,[23]SourceEnergy!$R$20:$R$45,0),MATCH(D$7,[23]SourceEnergy!$S$12:$T$12,0))/10</f>
        <v>13.060882329799279</v>
      </c>
      <c r="E30" s="34">
        <f>INDEX([23]SourceEnergy!$U$20:$V$45,MATCH($B30,[23]SourceEnergy!$R$20:$R$45,0),MATCH(E$7,[23]SourceEnergy!$U$12:$V$12,0))/10</f>
        <v>5.8484460525863629</v>
      </c>
      <c r="F30" s="34">
        <f>INDEX([23]SourceEnergy!$U$20:$V$45,MATCH($B30,[23]SourceEnergy!$R$20:$R$45,0),MATCH(F$7,[23]SourceEnergy!$U$12:$V$12,0))/10</f>
        <v>7.5845195102630445</v>
      </c>
      <c r="H30" s="36"/>
    </row>
    <row r="31" spans="1:14" x14ac:dyDescent="0.2">
      <c r="A31" s="31"/>
      <c r="B31" s="32"/>
      <c r="C31" s="34"/>
      <c r="D31" s="33"/>
      <c r="E31" s="34"/>
      <c r="F31" s="34"/>
    </row>
    <row r="32" spans="1:14" x14ac:dyDescent="0.2">
      <c r="A32" s="31"/>
      <c r="C32" s="29" t="s">
        <v>70</v>
      </c>
      <c r="D32" s="29"/>
      <c r="E32" s="49" t="s">
        <v>28</v>
      </c>
      <c r="F32" s="49"/>
      <c r="H32" s="51"/>
      <c r="I32" s="51"/>
      <c r="J32" s="51"/>
      <c r="K32" s="51"/>
      <c r="L32" s="51"/>
      <c r="M32" s="51"/>
      <c r="N32" s="51"/>
    </row>
    <row r="33" spans="1:14" ht="14.25" x14ac:dyDescent="0.35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H33" s="51"/>
      <c r="I33" s="51"/>
      <c r="J33" s="51"/>
      <c r="K33" s="51"/>
      <c r="L33" s="51"/>
      <c r="M33" s="51"/>
      <c r="N33" s="51"/>
    </row>
    <row r="34" spans="1:14" ht="33.75" customHeight="1" x14ac:dyDescent="0.2">
      <c r="B34" s="38" t="str">
        <f ca="1">"15-year ("&amp;INDEX($B:$B,MID(_xlfn.FORMULATEXT(C34),FIND("(C",_xlfn.FORMULATEXT(C34))+2,2),1)&amp;"-"&amp;INDEX($B:$B,MID(_xlfn.FORMULATEXT(C34),FIND("),",_xlfn.FORMULATEXT(C34))-2,2),1)&amp;") Nominal Levelized"</f>
        <v>15-year (2021-2035) Nominal Levelized</v>
      </c>
      <c r="C34" s="39">
        <f>-PMT('Table 3 Comparison'!$P$37,COUNT(C12:C26),NPV('Table 3 Comparison'!$P$37,C12:C26))</f>
        <v>2.6186373998541947</v>
      </c>
      <c r="D34" s="39">
        <f>-PMT('Table 3 Comparison'!$P$37,COUNT(D12:D26),NPV('Table 3 Comparison'!$P$37,D12:D26))</f>
        <v>5.782424868737972</v>
      </c>
      <c r="E34" s="39">
        <f>-PMT('Table 3 Comparison'!$P$37,COUNT(E12:E26),NPV('Table 3 Comparison'!$P$37,E12:E26))</f>
        <v>2.6467655918548183</v>
      </c>
      <c r="F34" s="39">
        <f>-PMT('Table 3 Comparison'!$P$37,COUNT(F12:F26),NPV('Table 3 Comparison'!$P$37,F12:F26))</f>
        <v>3.2378557484207682</v>
      </c>
      <c r="H34" s="51"/>
      <c r="I34" s="51"/>
      <c r="J34" s="51"/>
      <c r="K34" s="51"/>
      <c r="L34" s="51"/>
      <c r="M34" s="51"/>
      <c r="N34" s="51"/>
    </row>
    <row r="35" spans="1:14" ht="24" hidden="1" x14ac:dyDescent="0.2">
      <c r="A35" s="37"/>
      <c r="B35" s="38" t="s">
        <v>89</v>
      </c>
      <c r="C35" s="39">
        <f>-PMT('Table 3 Comparison'!$P$37,COUNT(C12:C26),NPV('Table 3 Comparison'!$P$37,C12:C26))</f>
        <v>2.6186373998541947</v>
      </c>
      <c r="D35" s="39">
        <f>-PMT('Table 3 Comparison'!$P$37,COUNT(D12:D26),NPV('Table 3 Comparison'!$P$37,D12:D26))</f>
        <v>5.782424868737972</v>
      </c>
      <c r="E35" s="39">
        <f>-PMT('Table 3 Comparison'!$P$37,COUNT(E12:E26),NPV('Table 3 Comparison'!$P$37,E12:E26))</f>
        <v>2.6467655918548183</v>
      </c>
      <c r="F35" s="39">
        <f>-PMT('Table 3 Comparison'!$P$37,COUNT(F12:F26),NPV('Table 3 Comparison'!$P$37,F12:F26))</f>
        <v>3.2378557484207682</v>
      </c>
      <c r="H35" s="51"/>
      <c r="I35" s="51"/>
      <c r="J35" s="51"/>
      <c r="K35" s="51"/>
      <c r="L35" s="51"/>
      <c r="M35" s="51"/>
      <c r="N35" s="51"/>
    </row>
    <row r="36" spans="1:14" ht="24" hidden="1" x14ac:dyDescent="0.2">
      <c r="B36" s="38" t="s">
        <v>90</v>
      </c>
      <c r="C36" s="39">
        <f>-PMT('Table 3 Comparison'!$P$37,COUNT(C13:C27),NPV('Table 3 Comparison'!$P$37,C13:C27))</f>
        <v>2.7858293373764664</v>
      </c>
      <c r="D36" s="39">
        <f>-PMT('Table 3 Comparison'!$P$37,COUNT(D13:D27),NPV('Table 3 Comparison'!$P$37,D13:D27))</f>
        <v>6.1672610609281531</v>
      </c>
      <c r="E36" s="39">
        <f>-PMT('Table 3 Comparison'!$P$37,COUNT(E13:E27),NPV('Table 3 Comparison'!$P$37,E13:E27))</f>
        <v>2.8505401396879697</v>
      </c>
      <c r="F36" s="39">
        <f>-PMT('Table 3 Comparison'!$P$37,COUNT(F13:F27),NPV('Table 3 Comparison'!$P$37,F13:F27))</f>
        <v>3.5639235789244625</v>
      </c>
      <c r="H36" s="51"/>
      <c r="I36" s="51"/>
      <c r="J36" s="51"/>
      <c r="K36" s="51"/>
      <c r="L36" s="51"/>
      <c r="M36" s="51"/>
      <c r="N36" s="51"/>
    </row>
    <row r="37" spans="1:14" hidden="1" x14ac:dyDescent="0.2">
      <c r="B37" s="38"/>
      <c r="C37" s="39"/>
      <c r="D37" s="39"/>
      <c r="E37" s="39"/>
      <c r="F37" s="39"/>
      <c r="H37" s="51"/>
      <c r="I37" s="51"/>
      <c r="J37" s="51"/>
      <c r="K37" s="51"/>
      <c r="L37" s="51"/>
      <c r="M37" s="51"/>
      <c r="N37" s="51"/>
    </row>
    <row r="38" spans="1:14" ht="7.5" hidden="1" customHeight="1" x14ac:dyDescent="0.2">
      <c r="A38" s="41"/>
      <c r="B38" s="16"/>
      <c r="C38" s="16"/>
      <c r="D38" s="16"/>
      <c r="E38" s="16"/>
      <c r="F38" s="42"/>
      <c r="H38" s="57"/>
      <c r="I38" s="57"/>
      <c r="J38" s="58"/>
      <c r="K38" s="58"/>
      <c r="L38" s="57"/>
      <c r="M38" s="51"/>
      <c r="N38" s="51"/>
    </row>
    <row r="39" spans="1:14" ht="12.75" hidden="1" x14ac:dyDescent="0.2">
      <c r="A39" s="41"/>
      <c r="B39" s="48"/>
      <c r="C39" s="48"/>
      <c r="D39" s="44"/>
      <c r="E39" s="44"/>
      <c r="F39" s="42"/>
      <c r="H39" s="51"/>
      <c r="I39" s="51"/>
      <c r="J39" s="51"/>
      <c r="K39" s="51"/>
      <c r="L39" s="51"/>
      <c r="M39" s="51"/>
      <c r="N39" s="51"/>
    </row>
    <row r="40" spans="1:14" ht="12.75" x14ac:dyDescent="0.2">
      <c r="A40" s="31"/>
      <c r="B40" s="48"/>
      <c r="C40" s="48"/>
      <c r="D40" s="44"/>
      <c r="E40" s="44"/>
      <c r="F40" s="31"/>
      <c r="H40" s="53"/>
      <c r="I40" s="53"/>
      <c r="J40" s="52"/>
      <c r="K40" s="54"/>
      <c r="L40" s="53"/>
      <c r="M40" s="53"/>
      <c r="N40" s="51"/>
    </row>
    <row r="41" spans="1:14" ht="12.75" x14ac:dyDescent="0.2">
      <c r="A41" s="40"/>
      <c r="B41" s="48" t="s">
        <v>121</v>
      </c>
      <c r="C41" s="48"/>
      <c r="D41" s="44"/>
      <c r="E41" s="44"/>
      <c r="H41" s="59"/>
      <c r="I41" s="55"/>
      <c r="J41" s="59"/>
      <c r="K41" s="60"/>
      <c r="L41" s="51"/>
      <c r="M41" s="51"/>
      <c r="N41" s="51"/>
    </row>
    <row r="42" spans="1:14" ht="12.75" x14ac:dyDescent="0.2">
      <c r="A42" s="31"/>
      <c r="B42" s="48" t="s">
        <v>245</v>
      </c>
      <c r="C42" s="31"/>
      <c r="D42" s="31"/>
      <c r="E42" s="31"/>
      <c r="F42" s="31"/>
    </row>
    <row r="43" spans="1:14" x14ac:dyDescent="0.2">
      <c r="A43" s="40"/>
    </row>
    <row r="44" spans="1:14" x14ac:dyDescent="0.2">
      <c r="A44" s="40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Q253"/>
  <sheetViews>
    <sheetView view="pageBreakPreview" zoomScale="70" zoomScaleNormal="100" zoomScaleSheetLayoutView="70" workbookViewId="0">
      <selection activeCell="C6" sqref="C6"/>
    </sheetView>
  </sheetViews>
  <sheetFormatPr defaultColWidth="8.83203125" defaultRowHeight="12.75" x14ac:dyDescent="0.2"/>
  <cols>
    <col min="1" max="1" width="1.5" style="64" customWidth="1"/>
    <col min="2" max="2" width="25.83203125" style="64" bestFit="1" customWidth="1"/>
    <col min="3" max="3" width="20.33203125" style="64" bestFit="1" customWidth="1"/>
    <col min="4" max="4" width="18.83203125" style="64" customWidth="1"/>
    <col min="5" max="5" width="7.83203125" style="64" bestFit="1" customWidth="1"/>
    <col min="6" max="6" width="3" style="64" customWidth="1"/>
    <col min="7" max="7" width="8.1640625" style="64" customWidth="1"/>
    <col min="8" max="9" width="21.1640625" style="64" customWidth="1"/>
    <col min="10" max="12" width="8.83203125" style="64"/>
    <col min="13" max="13" width="14" style="101" bestFit="1" customWidth="1"/>
    <col min="14" max="14" width="9" style="104" bestFit="1" customWidth="1"/>
    <col min="15" max="15" width="7.83203125" style="104" bestFit="1" customWidth="1"/>
    <col min="16" max="16" width="9" style="104" bestFit="1" customWidth="1"/>
    <col min="17" max="17" width="10.33203125" style="104" customWidth="1"/>
    <col min="18" max="18" width="3.1640625" style="64" customWidth="1"/>
    <col min="19" max="19" width="10" style="43" customWidth="1"/>
    <col min="20" max="20" width="10.83203125" style="64" customWidth="1"/>
    <col min="21" max="21" width="10.1640625" style="64" customWidth="1"/>
    <col min="22" max="22" width="3.1640625" style="64" customWidth="1"/>
    <col min="23" max="23" width="8.83203125" style="64"/>
    <col min="24" max="24" width="10.1640625" style="64" customWidth="1"/>
    <col min="25" max="25" width="9.6640625" style="64" customWidth="1"/>
    <col min="26" max="26" width="8.83203125" style="64"/>
    <col min="27" max="27" width="9.83203125" style="64" customWidth="1"/>
    <col min="28" max="28" width="8.83203125" style="64"/>
    <col min="29" max="29" width="10.5" style="64" customWidth="1"/>
    <col min="30" max="30" width="8.83203125" style="177"/>
    <col min="38" max="38" width="22.83203125" customWidth="1"/>
    <col min="39" max="39" width="14.5" customWidth="1"/>
    <col min="43" max="43" width="8.83203125" style="177"/>
    <col min="44" max="16384" width="8.83203125" style="64"/>
  </cols>
  <sheetData>
    <row r="1" spans="2:41" ht="15.75" x14ac:dyDescent="0.25">
      <c r="B1" s="1" t="s">
        <v>56</v>
      </c>
      <c r="C1" s="63"/>
      <c r="D1" s="63"/>
      <c r="E1" s="63"/>
      <c r="F1" s="63"/>
      <c r="G1" s="63"/>
      <c r="H1" s="63"/>
      <c r="I1" s="63"/>
      <c r="M1" s="241" t="s">
        <v>57</v>
      </c>
      <c r="N1" s="240"/>
      <c r="O1" s="241"/>
      <c r="P1" s="240"/>
      <c r="Q1" s="65"/>
      <c r="AE1" t="s">
        <v>25</v>
      </c>
      <c r="AF1" t="s">
        <v>103</v>
      </c>
      <c r="AG1" t="s">
        <v>20</v>
      </c>
      <c r="AH1" t="s">
        <v>21</v>
      </c>
      <c r="AI1" t="s">
        <v>109</v>
      </c>
      <c r="AJ1" t="s">
        <v>108</v>
      </c>
    </row>
    <row r="2" spans="2:41" ht="15.75" x14ac:dyDescent="0.25">
      <c r="B2" s="1" t="s">
        <v>58</v>
      </c>
      <c r="C2" s="63"/>
      <c r="D2" s="63"/>
      <c r="E2" s="63"/>
      <c r="F2" s="63"/>
      <c r="G2" s="63"/>
      <c r="H2" s="63"/>
      <c r="I2" s="63"/>
      <c r="M2" s="66"/>
      <c r="N2" s="67"/>
      <c r="O2" s="67"/>
      <c r="P2" s="67"/>
      <c r="Q2" s="67"/>
      <c r="AD2" s="177" t="str">
        <f t="shared" ref="AD2:AD65" si="0">IF(AND(AE2&gt;=6,AE2&lt;=9),"Summer","Winter")</f>
        <v>Winter</v>
      </c>
      <c r="AE2">
        <f t="shared" ref="AE2:AE65" si="1">MONTH(AF2)</f>
        <v>1</v>
      </c>
      <c r="AF2" s="175">
        <v>42736</v>
      </c>
      <c r="AG2" s="176">
        <v>400</v>
      </c>
      <c r="AH2" s="176">
        <v>344</v>
      </c>
      <c r="AI2">
        <f t="shared" ref="AI2:AI65" si="2">AG2/16</f>
        <v>25</v>
      </c>
      <c r="AJ2">
        <f t="shared" ref="AJ2:AJ65" si="3">EDATE(AF2,1)-AF2-AI2</f>
        <v>6</v>
      </c>
    </row>
    <row r="3" spans="2:41" x14ac:dyDescent="0.2">
      <c r="B3" s="63"/>
      <c r="C3" s="63"/>
      <c r="D3" s="63"/>
      <c r="E3" s="63"/>
      <c r="F3" s="63"/>
      <c r="G3" s="63"/>
      <c r="H3" s="63"/>
      <c r="I3" s="63"/>
      <c r="M3" s="68" t="str">
        <f>"Official Forward Price Curve dated "&amp;TEXT(C4,"mmmm YYYY")</f>
        <v>Official Forward Price Curve dated March 2021</v>
      </c>
      <c r="N3" s="69"/>
      <c r="O3" s="69"/>
      <c r="P3" s="69"/>
      <c r="Q3" s="69"/>
      <c r="AD3" s="177" t="str">
        <f t="shared" si="0"/>
        <v>Winter</v>
      </c>
      <c r="AE3">
        <f t="shared" si="1"/>
        <v>2</v>
      </c>
      <c r="AF3" s="175">
        <v>42767</v>
      </c>
      <c r="AG3" s="176">
        <v>384</v>
      </c>
      <c r="AH3" s="176">
        <v>288</v>
      </c>
      <c r="AI3">
        <f t="shared" si="2"/>
        <v>24</v>
      </c>
      <c r="AJ3">
        <f t="shared" si="3"/>
        <v>4</v>
      </c>
      <c r="AM3" s="180"/>
      <c r="AN3" s="180"/>
      <c r="AO3" s="178"/>
    </row>
    <row r="4" spans="2:41" x14ac:dyDescent="0.2">
      <c r="B4" s="70" t="s">
        <v>59</v>
      </c>
      <c r="C4" s="71">
        <v>44286</v>
      </c>
      <c r="D4" s="71"/>
      <c r="E4" s="63"/>
      <c r="F4" s="72"/>
      <c r="G4" s="63"/>
      <c r="H4" s="63"/>
      <c r="I4" s="63"/>
      <c r="M4" s="73"/>
      <c r="N4" s="74"/>
      <c r="O4" s="74"/>
      <c r="P4" s="74"/>
      <c r="Q4" s="74"/>
      <c r="AD4" s="177" t="str">
        <f t="shared" si="0"/>
        <v>Winter</v>
      </c>
      <c r="AE4">
        <f t="shared" si="1"/>
        <v>3</v>
      </c>
      <c r="AF4" s="175">
        <v>42795</v>
      </c>
      <c r="AG4" s="176">
        <v>432</v>
      </c>
      <c r="AH4" s="176">
        <v>312</v>
      </c>
      <c r="AI4">
        <f t="shared" si="2"/>
        <v>27</v>
      </c>
      <c r="AJ4">
        <f t="shared" si="3"/>
        <v>4</v>
      </c>
      <c r="AM4" s="180"/>
      <c r="AN4" s="180"/>
      <c r="AO4" s="178"/>
    </row>
    <row r="5" spans="2:41" x14ac:dyDescent="0.2">
      <c r="B5" s="70"/>
      <c r="C5" s="75"/>
      <c r="D5" s="75"/>
      <c r="F5" s="72"/>
      <c r="G5" s="171"/>
      <c r="H5" s="172" t="s">
        <v>88</v>
      </c>
      <c r="I5" s="172"/>
      <c r="M5" s="239"/>
      <c r="N5" s="76" t="s">
        <v>57</v>
      </c>
      <c r="O5" s="76"/>
      <c r="P5" s="76"/>
      <c r="Q5" s="76"/>
      <c r="W5" s="239"/>
      <c r="X5" s="76" t="s">
        <v>57</v>
      </c>
      <c r="Y5" s="76"/>
      <c r="Z5" s="76"/>
      <c r="AA5" s="76"/>
      <c r="AD5" s="177" t="str">
        <f t="shared" si="0"/>
        <v>Winter</v>
      </c>
      <c r="AE5">
        <f t="shared" si="1"/>
        <v>4</v>
      </c>
      <c r="AF5" s="175">
        <v>42826</v>
      </c>
      <c r="AG5" s="176">
        <v>400</v>
      </c>
      <c r="AH5" s="176">
        <v>320</v>
      </c>
      <c r="AI5">
        <f t="shared" si="2"/>
        <v>25</v>
      </c>
      <c r="AJ5">
        <f t="shared" si="3"/>
        <v>5</v>
      </c>
      <c r="AM5" s="180"/>
      <c r="AN5" s="180"/>
      <c r="AO5" s="178"/>
    </row>
    <row r="6" spans="2:41" x14ac:dyDescent="0.2">
      <c r="B6" s="77" t="s">
        <v>60</v>
      </c>
      <c r="G6" s="173" t="s">
        <v>0</v>
      </c>
      <c r="H6" s="173" t="str">
        <f>C7</f>
        <v>IRP - Wyo NE</v>
      </c>
      <c r="I6" s="173" t="str">
        <f>D7</f>
        <v>West Side</v>
      </c>
      <c r="M6" s="78"/>
      <c r="N6" s="76" t="s">
        <v>20</v>
      </c>
      <c r="O6" s="76"/>
      <c r="P6" s="76" t="s">
        <v>21</v>
      </c>
      <c r="Q6" s="76"/>
      <c r="W6" s="78"/>
      <c r="X6" s="76" t="s">
        <v>20</v>
      </c>
      <c r="Y6" s="76"/>
      <c r="Z6" s="76" t="s">
        <v>21</v>
      </c>
      <c r="AA6" s="76"/>
      <c r="AD6" s="177" t="str">
        <f t="shared" si="0"/>
        <v>Winter</v>
      </c>
      <c r="AE6">
        <f t="shared" si="1"/>
        <v>5</v>
      </c>
      <c r="AF6" s="175">
        <v>42856</v>
      </c>
      <c r="AG6" s="176">
        <v>416</v>
      </c>
      <c r="AH6" s="176">
        <v>328</v>
      </c>
      <c r="AI6">
        <f t="shared" si="2"/>
        <v>26</v>
      </c>
      <c r="AJ6">
        <f t="shared" si="3"/>
        <v>5</v>
      </c>
      <c r="AM6" s="180"/>
      <c r="AN6" s="180"/>
      <c r="AO6" s="178"/>
    </row>
    <row r="7" spans="2:41" ht="38.25" x14ac:dyDescent="0.2">
      <c r="B7" s="238" t="s">
        <v>25</v>
      </c>
      <c r="C7" s="237" t="str">
        <f>C249</f>
        <v>IRP - Wyo NE</v>
      </c>
      <c r="D7" s="237" t="str">
        <f>D249</f>
        <v>West Side</v>
      </c>
      <c r="E7" s="236" t="s">
        <v>0</v>
      </c>
      <c r="G7" s="171"/>
      <c r="H7" s="170" t="s">
        <v>8</v>
      </c>
      <c r="I7" s="170" t="s">
        <v>8</v>
      </c>
      <c r="K7" s="64" t="s">
        <v>25</v>
      </c>
      <c r="L7" s="64" t="s">
        <v>0</v>
      </c>
      <c r="M7" s="235" t="s">
        <v>61</v>
      </c>
      <c r="N7" s="79" t="s">
        <v>62</v>
      </c>
      <c r="O7" s="79" t="s">
        <v>63</v>
      </c>
      <c r="P7" s="79" t="s">
        <v>62</v>
      </c>
      <c r="Q7" s="80" t="s">
        <v>63</v>
      </c>
      <c r="S7" s="43" t="s">
        <v>67</v>
      </c>
      <c r="T7" s="108" t="s">
        <v>66</v>
      </c>
      <c r="U7" s="108" t="s">
        <v>68</v>
      </c>
      <c r="V7" s="108"/>
      <c r="W7" s="235" t="s">
        <v>0</v>
      </c>
      <c r="X7" s="79" t="s">
        <v>62</v>
      </c>
      <c r="Y7" s="79" t="s">
        <v>63</v>
      </c>
      <c r="Z7" s="79" t="s">
        <v>62</v>
      </c>
      <c r="AA7" s="80" t="s">
        <v>63</v>
      </c>
      <c r="AD7" s="177" t="str">
        <f t="shared" si="0"/>
        <v>Summer</v>
      </c>
      <c r="AE7">
        <f t="shared" si="1"/>
        <v>6</v>
      </c>
      <c r="AF7" s="175">
        <v>42887</v>
      </c>
      <c r="AG7" s="176">
        <v>416</v>
      </c>
      <c r="AH7" s="176">
        <v>304</v>
      </c>
      <c r="AI7">
        <f t="shared" si="2"/>
        <v>26</v>
      </c>
      <c r="AJ7">
        <f t="shared" si="3"/>
        <v>4</v>
      </c>
      <c r="AM7" s="180"/>
      <c r="AN7" s="180"/>
      <c r="AO7" s="178"/>
    </row>
    <row r="8" spans="2:41" x14ac:dyDescent="0.2">
      <c r="B8" s="234">
        <v>44197</v>
      </c>
      <c r="C8" s="81">
        <v>2.4132387032018467</v>
      </c>
      <c r="D8" s="81">
        <v>3.1632786912315072</v>
      </c>
      <c r="E8" s="233">
        <f t="shared" ref="E8:E71" si="4">YEAR(B8)</f>
        <v>2021</v>
      </c>
      <c r="G8" s="82">
        <f>YEAR(B8)</f>
        <v>2021</v>
      </c>
      <c r="H8" s="83">
        <f t="shared" ref="H8:H27" si="5">ROUND(AVERAGEIF($E$8:$E$247,$G8,$C$8:$C$247),2)</f>
        <v>2.34</v>
      </c>
      <c r="I8" s="83">
        <f t="shared" ref="I8:I27" si="6">ROUND(AVERAGEIF($E$8:$E$247,$G8,$D$8:$D$247),2)</f>
        <v>2.87</v>
      </c>
      <c r="K8" s="16">
        <f>MONTH(M8)</f>
        <v>1</v>
      </c>
      <c r="L8" s="110">
        <f>YEAR(M8)</f>
        <v>2021</v>
      </c>
      <c r="M8" s="84">
        <f t="shared" ref="M8:M71" si="7">B8</f>
        <v>44197</v>
      </c>
      <c r="N8" s="85">
        <v>23.617599999999996</v>
      </c>
      <c r="O8" s="85">
        <v>25.178799999999995</v>
      </c>
      <c r="P8" s="85">
        <v>20.874418604651169</v>
      </c>
      <c r="Q8" s="86">
        <v>24.726279069767436</v>
      </c>
      <c r="S8" s="107">
        <v>27.430588172043013</v>
      </c>
      <c r="T8" s="109">
        <f>O8/S8</f>
        <v>0.91790959209769996</v>
      </c>
      <c r="U8" s="109">
        <f>Q8/S8</f>
        <v>0.90141264615565986</v>
      </c>
      <c r="W8" s="82">
        <f>G8</f>
        <v>2021</v>
      </c>
      <c r="X8" s="87">
        <f>ROUND(AVERAGEIF($E$8:$E$247,$W8,N$8:N$247),2)</f>
        <v>43.49</v>
      </c>
      <c r="Y8" s="87">
        <f>ROUND(AVERAGEIF($E$8:$E$247,$W8,O$8:O$247),2)</f>
        <v>80.72</v>
      </c>
      <c r="Z8" s="87">
        <f>ROUND(AVERAGEIF($E$8:$E$247,$W8,P$8:P$247),2)</f>
        <v>27.86</v>
      </c>
      <c r="AA8" s="87">
        <f>ROUND(AVERAGEIF($E$8:$E$247,$W8,Q$8:Q$247),2)</f>
        <v>40.15</v>
      </c>
      <c r="AD8" s="177" t="str">
        <f t="shared" si="0"/>
        <v>Summer</v>
      </c>
      <c r="AE8">
        <f t="shared" si="1"/>
        <v>7</v>
      </c>
      <c r="AF8" s="175">
        <v>42917</v>
      </c>
      <c r="AG8" s="176">
        <v>400</v>
      </c>
      <c r="AH8" s="176">
        <v>344</v>
      </c>
      <c r="AI8">
        <f t="shared" si="2"/>
        <v>25</v>
      </c>
      <c r="AJ8">
        <f t="shared" si="3"/>
        <v>6</v>
      </c>
      <c r="AM8" s="180"/>
      <c r="AN8" s="180"/>
      <c r="AO8" s="178"/>
    </row>
    <row r="9" spans="2:41" x14ac:dyDescent="0.2">
      <c r="B9" s="88">
        <f t="shared" ref="B9:B72" si="8">EDATE(B8,1)</f>
        <v>44228</v>
      </c>
      <c r="C9" s="81">
        <v>2.4498742547425474</v>
      </c>
      <c r="D9" s="81">
        <v>3.106578307258034</v>
      </c>
      <c r="E9" s="89">
        <f t="shared" si="4"/>
        <v>2021</v>
      </c>
      <c r="G9" s="82">
        <f t="shared" ref="G9:G27" si="9">G8+1</f>
        <v>2022</v>
      </c>
      <c r="H9" s="83">
        <f t="shared" si="5"/>
        <v>2.5099999999999998</v>
      </c>
      <c r="I9" s="83">
        <f t="shared" si="6"/>
        <v>2.73</v>
      </c>
      <c r="K9" s="16">
        <f t="shared" ref="K9:K72" si="10">MONTH(M9)</f>
        <v>2</v>
      </c>
      <c r="L9" s="110">
        <f t="shared" ref="L9:L72" si="11">YEAR(M9)</f>
        <v>2021</v>
      </c>
      <c r="M9" s="84">
        <f t="shared" si="7"/>
        <v>44228</v>
      </c>
      <c r="N9" s="85">
        <v>51.464166666666664</v>
      </c>
      <c r="O9" s="85">
        <v>78.627500000000012</v>
      </c>
      <c r="P9" s="85">
        <v>36.051111111111119</v>
      </c>
      <c r="Q9" s="86">
        <v>57.44083333333333</v>
      </c>
      <c r="S9" s="107">
        <v>28.403772857142858</v>
      </c>
      <c r="T9" s="109">
        <f t="shared" ref="T9:T72" si="12">O9/S9</f>
        <v>2.7682061955451496</v>
      </c>
      <c r="U9" s="109">
        <f t="shared" ref="U9:U72" si="13">Q9/S9</f>
        <v>2.0222958978806354</v>
      </c>
      <c r="W9" s="82">
        <f t="shared" ref="W9:W27" si="14">W8+1</f>
        <v>2022</v>
      </c>
      <c r="X9" s="87">
        <f t="shared" ref="X9:AA27" si="15">ROUND(AVERAGEIF($E$8:$E$247,$W9,N$8:N$247),2)</f>
        <v>38.42</v>
      </c>
      <c r="Y9" s="87">
        <f t="shared" si="15"/>
        <v>59.99</v>
      </c>
      <c r="Z9" s="87">
        <f t="shared" si="15"/>
        <v>26.56</v>
      </c>
      <c r="AA9" s="87">
        <f t="shared" si="15"/>
        <v>37.130000000000003</v>
      </c>
      <c r="AD9" s="177" t="str">
        <f t="shared" si="0"/>
        <v>Summer</v>
      </c>
      <c r="AE9">
        <f t="shared" si="1"/>
        <v>8</v>
      </c>
      <c r="AF9" s="175">
        <v>42948</v>
      </c>
      <c r="AG9" s="176">
        <v>432</v>
      </c>
      <c r="AH9" s="176">
        <v>312</v>
      </c>
      <c r="AI9">
        <f t="shared" si="2"/>
        <v>27</v>
      </c>
      <c r="AJ9">
        <f t="shared" si="3"/>
        <v>4</v>
      </c>
      <c r="AM9" s="180"/>
      <c r="AN9" s="180"/>
      <c r="AO9" s="178"/>
    </row>
    <row r="10" spans="2:41" x14ac:dyDescent="0.2">
      <c r="B10" s="88">
        <f t="shared" si="8"/>
        <v>44256</v>
      </c>
      <c r="C10" s="81">
        <v>2.3766031516611461</v>
      </c>
      <c r="D10" s="81">
        <v>2.7707774030863703</v>
      </c>
      <c r="E10" s="89">
        <f t="shared" si="4"/>
        <v>2021</v>
      </c>
      <c r="G10" s="82">
        <f t="shared" si="9"/>
        <v>2023</v>
      </c>
      <c r="H10" s="83">
        <f t="shared" si="5"/>
        <v>2.38</v>
      </c>
      <c r="I10" s="83">
        <f t="shared" si="6"/>
        <v>2.6</v>
      </c>
      <c r="K10" s="16">
        <f t="shared" si="10"/>
        <v>3</v>
      </c>
      <c r="L10" s="110">
        <f t="shared" si="11"/>
        <v>2021</v>
      </c>
      <c r="M10" s="84">
        <f t="shared" si="7"/>
        <v>44256</v>
      </c>
      <c r="N10" s="85">
        <v>27.628148148148146</v>
      </c>
      <c r="O10" s="85">
        <v>24.230740740740739</v>
      </c>
      <c r="P10" s="85">
        <v>25.502820512820509</v>
      </c>
      <c r="Q10" s="86">
        <v>24.99871794871795</v>
      </c>
      <c r="S10" s="107">
        <v>25.701759475100946</v>
      </c>
      <c r="T10" s="109">
        <f t="shared" si="12"/>
        <v>0.94276583532013503</v>
      </c>
      <c r="U10" s="109">
        <f t="shared" si="13"/>
        <v>0.97264617128395114</v>
      </c>
      <c r="W10" s="82">
        <f t="shared" si="14"/>
        <v>2023</v>
      </c>
      <c r="X10" s="87">
        <f t="shared" si="15"/>
        <v>36.22</v>
      </c>
      <c r="Y10" s="87">
        <f t="shared" si="15"/>
        <v>50.61</v>
      </c>
      <c r="Z10" s="87">
        <f t="shared" si="15"/>
        <v>24.8</v>
      </c>
      <c r="AA10" s="87">
        <f t="shared" si="15"/>
        <v>35.520000000000003</v>
      </c>
      <c r="AD10" s="177" t="str">
        <f t="shared" si="0"/>
        <v>Summer</v>
      </c>
      <c r="AE10">
        <f t="shared" si="1"/>
        <v>9</v>
      </c>
      <c r="AF10" s="175">
        <v>42979</v>
      </c>
      <c r="AG10" s="176">
        <v>400</v>
      </c>
      <c r="AH10" s="176">
        <v>320</v>
      </c>
      <c r="AI10">
        <f t="shared" si="2"/>
        <v>25</v>
      </c>
      <c r="AJ10">
        <f t="shared" si="3"/>
        <v>5</v>
      </c>
      <c r="AM10" s="180"/>
      <c r="AN10" s="180"/>
      <c r="AO10" s="178"/>
    </row>
    <row r="11" spans="2:41" x14ac:dyDescent="0.2">
      <c r="B11" s="88">
        <f t="shared" si="8"/>
        <v>44287</v>
      </c>
      <c r="C11" s="81">
        <v>2.3229044665261469</v>
      </c>
      <c r="D11" s="81">
        <v>2.6040420273835556</v>
      </c>
      <c r="E11" s="89">
        <f t="shared" si="4"/>
        <v>2021</v>
      </c>
      <c r="G11" s="82">
        <f t="shared" si="9"/>
        <v>2024</v>
      </c>
      <c r="H11" s="83">
        <f t="shared" si="5"/>
        <v>2.65</v>
      </c>
      <c r="I11" s="83">
        <f t="shared" si="6"/>
        <v>2.85</v>
      </c>
      <c r="K11" s="16">
        <f t="shared" si="10"/>
        <v>4</v>
      </c>
      <c r="L11" s="110">
        <f t="shared" si="11"/>
        <v>2021</v>
      </c>
      <c r="M11" s="84">
        <f t="shared" si="7"/>
        <v>44287</v>
      </c>
      <c r="N11" s="85">
        <v>25.98</v>
      </c>
      <c r="O11" s="85">
        <v>25.75647</v>
      </c>
      <c r="P11" s="85">
        <v>24.143270000000001</v>
      </c>
      <c r="Q11" s="86">
        <v>25.927569999999999</v>
      </c>
      <c r="S11" s="107">
        <v>25.828712222222222</v>
      </c>
      <c r="T11" s="109">
        <f t="shared" si="12"/>
        <v>0.99720302655429849</v>
      </c>
      <c r="U11" s="109">
        <f t="shared" si="13"/>
        <v>1.0038274373467495</v>
      </c>
      <c r="W11" s="82">
        <f t="shared" si="14"/>
        <v>2024</v>
      </c>
      <c r="X11" s="87">
        <f t="shared" si="15"/>
        <v>36.909999999999997</v>
      </c>
      <c r="Y11" s="87">
        <f t="shared" si="15"/>
        <v>47.32</v>
      </c>
      <c r="Z11" s="87">
        <f t="shared" si="15"/>
        <v>24.99</v>
      </c>
      <c r="AA11" s="87">
        <f t="shared" si="15"/>
        <v>34.83</v>
      </c>
      <c r="AD11" s="177" t="str">
        <f t="shared" si="0"/>
        <v>Winter</v>
      </c>
      <c r="AE11">
        <f t="shared" si="1"/>
        <v>10</v>
      </c>
      <c r="AF11" s="175">
        <v>43009</v>
      </c>
      <c r="AG11" s="176">
        <v>416</v>
      </c>
      <c r="AH11" s="176">
        <v>328</v>
      </c>
      <c r="AI11">
        <f t="shared" si="2"/>
        <v>26</v>
      </c>
      <c r="AJ11">
        <f t="shared" si="3"/>
        <v>5</v>
      </c>
      <c r="AM11" s="180"/>
      <c r="AN11" s="180"/>
      <c r="AO11" s="178"/>
    </row>
    <row r="12" spans="2:41" x14ac:dyDescent="0.2">
      <c r="B12" s="88">
        <f t="shared" si="8"/>
        <v>44317</v>
      </c>
      <c r="C12" s="81">
        <v>2.1226635752283447</v>
      </c>
      <c r="D12" s="81">
        <v>2.4437792982530544</v>
      </c>
      <c r="E12" s="89">
        <f t="shared" si="4"/>
        <v>2021</v>
      </c>
      <c r="G12" s="82">
        <f t="shared" si="9"/>
        <v>2025</v>
      </c>
      <c r="H12" s="83">
        <f t="shared" si="5"/>
        <v>3.02</v>
      </c>
      <c r="I12" s="83">
        <f t="shared" si="6"/>
        <v>3.2</v>
      </c>
      <c r="K12" s="16">
        <f t="shared" si="10"/>
        <v>5</v>
      </c>
      <c r="L12" s="110">
        <f t="shared" si="11"/>
        <v>2021</v>
      </c>
      <c r="M12" s="84">
        <f t="shared" si="7"/>
        <v>44317</v>
      </c>
      <c r="N12" s="85">
        <v>18.547699999999999</v>
      </c>
      <c r="O12" s="85">
        <v>27.48047</v>
      </c>
      <c r="P12" s="85">
        <v>12.31433</v>
      </c>
      <c r="Q12" s="86">
        <v>25.95853</v>
      </c>
      <c r="S12" s="107">
        <v>26.77677731182796</v>
      </c>
      <c r="T12" s="109">
        <f t="shared" si="12"/>
        <v>1.0262799619228713</v>
      </c>
      <c r="U12" s="109">
        <f t="shared" si="13"/>
        <v>0.96944190474084724</v>
      </c>
      <c r="W12" s="82">
        <f t="shared" si="14"/>
        <v>2025</v>
      </c>
      <c r="X12" s="87">
        <f t="shared" si="15"/>
        <v>38.79</v>
      </c>
      <c r="Y12" s="87">
        <f t="shared" si="15"/>
        <v>43.43</v>
      </c>
      <c r="Z12" s="87">
        <f t="shared" si="15"/>
        <v>25.72</v>
      </c>
      <c r="AA12" s="87">
        <f t="shared" si="15"/>
        <v>34.369999999999997</v>
      </c>
      <c r="AD12" s="177" t="str">
        <f t="shared" si="0"/>
        <v>Winter</v>
      </c>
      <c r="AE12">
        <f t="shared" si="1"/>
        <v>11</v>
      </c>
      <c r="AF12" s="175">
        <v>43040</v>
      </c>
      <c r="AG12" s="176">
        <v>400</v>
      </c>
      <c r="AH12" s="176">
        <v>320</v>
      </c>
      <c r="AI12">
        <f t="shared" si="2"/>
        <v>25</v>
      </c>
      <c r="AJ12">
        <f t="shared" si="3"/>
        <v>5</v>
      </c>
      <c r="AM12" s="180"/>
      <c r="AN12" s="180"/>
      <c r="AO12" s="178"/>
    </row>
    <row r="13" spans="2:41" x14ac:dyDescent="0.2">
      <c r="B13" s="88">
        <f t="shared" si="8"/>
        <v>44348</v>
      </c>
      <c r="C13" s="81">
        <v>2.1015855866706814</v>
      </c>
      <c r="D13" s="81">
        <v>2.4898645418479317</v>
      </c>
      <c r="E13" s="89">
        <f t="shared" si="4"/>
        <v>2021</v>
      </c>
      <c r="G13" s="82">
        <f t="shared" si="9"/>
        <v>2026</v>
      </c>
      <c r="H13" s="83">
        <f t="shared" si="5"/>
        <v>3.15</v>
      </c>
      <c r="I13" s="83">
        <f t="shared" si="6"/>
        <v>3.28</v>
      </c>
      <c r="K13" s="16">
        <f t="shared" si="10"/>
        <v>6</v>
      </c>
      <c r="L13" s="110">
        <f t="shared" si="11"/>
        <v>2021</v>
      </c>
      <c r="M13" s="84">
        <f t="shared" si="7"/>
        <v>44348</v>
      </c>
      <c r="N13" s="85">
        <v>24.35127</v>
      </c>
      <c r="O13" s="85">
        <v>81.255359999999996</v>
      </c>
      <c r="P13" s="85">
        <v>12.365</v>
      </c>
      <c r="Q13" s="86">
        <v>39.358899999999998</v>
      </c>
      <c r="S13" s="107">
        <v>63.565743555555557</v>
      </c>
      <c r="T13" s="109">
        <f t="shared" si="12"/>
        <v>1.2782885160303987</v>
      </c>
      <c r="U13" s="109">
        <f t="shared" si="13"/>
        <v>0.61918413595840149</v>
      </c>
      <c r="W13" s="82">
        <f t="shared" si="14"/>
        <v>2026</v>
      </c>
      <c r="X13" s="87">
        <f t="shared" si="15"/>
        <v>43.15</v>
      </c>
      <c r="Y13" s="87">
        <f t="shared" si="15"/>
        <v>47.57</v>
      </c>
      <c r="Z13" s="87">
        <f t="shared" si="15"/>
        <v>27.29</v>
      </c>
      <c r="AA13" s="87">
        <f t="shared" si="15"/>
        <v>36.36</v>
      </c>
      <c r="AD13" s="177" t="str">
        <f t="shared" si="0"/>
        <v>Winter</v>
      </c>
      <c r="AE13">
        <f t="shared" si="1"/>
        <v>12</v>
      </c>
      <c r="AF13" s="175">
        <v>43070</v>
      </c>
      <c r="AG13" s="176">
        <v>400</v>
      </c>
      <c r="AH13" s="176">
        <v>344</v>
      </c>
      <c r="AI13">
        <f t="shared" si="2"/>
        <v>25</v>
      </c>
      <c r="AJ13">
        <f t="shared" si="3"/>
        <v>6</v>
      </c>
      <c r="AM13" s="180"/>
      <c r="AN13" s="180"/>
      <c r="AO13" s="178"/>
    </row>
    <row r="14" spans="2:41" x14ac:dyDescent="0.2">
      <c r="B14" s="88">
        <f t="shared" si="8"/>
        <v>44378</v>
      </c>
      <c r="C14" s="81">
        <v>2.0965670179664757</v>
      </c>
      <c r="D14" s="81">
        <v>2.6296737078099195</v>
      </c>
      <c r="E14" s="89">
        <f t="shared" si="4"/>
        <v>2021</v>
      </c>
      <c r="G14" s="82">
        <f t="shared" si="9"/>
        <v>2027</v>
      </c>
      <c r="H14" s="83">
        <f t="shared" si="5"/>
        <v>3.25</v>
      </c>
      <c r="I14" s="83">
        <f t="shared" si="6"/>
        <v>3.44</v>
      </c>
      <c r="K14" s="16">
        <f t="shared" si="10"/>
        <v>7</v>
      </c>
      <c r="L14" s="110">
        <f t="shared" si="11"/>
        <v>2021</v>
      </c>
      <c r="M14" s="84">
        <f t="shared" si="7"/>
        <v>44378</v>
      </c>
      <c r="N14" s="85">
        <v>68.896429999999995</v>
      </c>
      <c r="O14" s="85">
        <v>233.21430000000001</v>
      </c>
      <c r="P14" s="85">
        <v>30.899429999999999</v>
      </c>
      <c r="Q14" s="86">
        <v>61.139629999999997</v>
      </c>
      <c r="S14" s="107">
        <v>157.35342397849462</v>
      </c>
      <c r="T14" s="109">
        <f t="shared" si="12"/>
        <v>1.4821050225883439</v>
      </c>
      <c r="U14" s="109">
        <f t="shared" si="13"/>
        <v>0.3885497274489299</v>
      </c>
      <c r="W14" s="82">
        <f t="shared" si="14"/>
        <v>2027</v>
      </c>
      <c r="X14" s="87">
        <f t="shared" si="15"/>
        <v>51.54</v>
      </c>
      <c r="Y14" s="87">
        <f t="shared" si="15"/>
        <v>56.62</v>
      </c>
      <c r="Z14" s="87">
        <f t="shared" si="15"/>
        <v>28.49</v>
      </c>
      <c r="AA14" s="87">
        <f t="shared" si="15"/>
        <v>38.47</v>
      </c>
      <c r="AD14" s="177" t="str">
        <f t="shared" si="0"/>
        <v>Winter</v>
      </c>
      <c r="AE14">
        <f t="shared" si="1"/>
        <v>1</v>
      </c>
      <c r="AF14" s="175">
        <v>43101</v>
      </c>
      <c r="AG14" s="176">
        <v>416</v>
      </c>
      <c r="AH14" s="176">
        <v>328</v>
      </c>
      <c r="AI14">
        <f t="shared" si="2"/>
        <v>26</v>
      </c>
      <c r="AJ14">
        <f t="shared" si="3"/>
        <v>5</v>
      </c>
      <c r="AM14" s="180"/>
      <c r="AN14" s="180"/>
      <c r="AO14" s="178"/>
    </row>
    <row r="15" spans="2:41" x14ac:dyDescent="0.2">
      <c r="B15" s="88">
        <f t="shared" si="8"/>
        <v>44409</v>
      </c>
      <c r="C15" s="81">
        <v>1.9169022583559168</v>
      </c>
      <c r="D15" s="81">
        <v>2.7013906318311616</v>
      </c>
      <c r="E15" s="89">
        <f t="shared" si="4"/>
        <v>2021</v>
      </c>
      <c r="G15" s="82">
        <f t="shared" si="9"/>
        <v>2028</v>
      </c>
      <c r="H15" s="83">
        <f t="shared" si="5"/>
        <v>3.5</v>
      </c>
      <c r="I15" s="83">
        <f t="shared" si="6"/>
        <v>3.67</v>
      </c>
      <c r="K15" s="16">
        <f t="shared" si="10"/>
        <v>8</v>
      </c>
      <c r="L15" s="110">
        <f t="shared" si="11"/>
        <v>2021</v>
      </c>
      <c r="M15" s="84">
        <f t="shared" si="7"/>
        <v>44409</v>
      </c>
      <c r="N15" s="85">
        <v>93.619370000000004</v>
      </c>
      <c r="O15" s="85">
        <v>213.52250000000001</v>
      </c>
      <c r="P15" s="85">
        <v>39.457700000000003</v>
      </c>
      <c r="Q15" s="86">
        <v>65.187529999999995</v>
      </c>
      <c r="S15" s="107">
        <v>148.12751322580644</v>
      </c>
      <c r="T15" s="109">
        <f t="shared" si="12"/>
        <v>1.4414776522610291</v>
      </c>
      <c r="U15" s="109">
        <f t="shared" si="13"/>
        <v>0.4400771239616218</v>
      </c>
      <c r="W15" s="82">
        <f t="shared" si="14"/>
        <v>2028</v>
      </c>
      <c r="X15" s="87">
        <f t="shared" si="15"/>
        <v>52.65</v>
      </c>
      <c r="Y15" s="87">
        <f t="shared" si="15"/>
        <v>59.03</v>
      </c>
      <c r="Z15" s="87">
        <f t="shared" si="15"/>
        <v>30.15</v>
      </c>
      <c r="AA15" s="87">
        <f t="shared" si="15"/>
        <v>41.07</v>
      </c>
      <c r="AD15" s="177" t="str">
        <f t="shared" si="0"/>
        <v>Winter</v>
      </c>
      <c r="AE15">
        <f t="shared" si="1"/>
        <v>2</v>
      </c>
      <c r="AF15" s="175">
        <v>43132</v>
      </c>
      <c r="AG15" s="176">
        <v>384</v>
      </c>
      <c r="AH15" s="176">
        <v>288</v>
      </c>
      <c r="AI15">
        <f t="shared" si="2"/>
        <v>24</v>
      </c>
      <c r="AJ15">
        <f t="shared" si="3"/>
        <v>4</v>
      </c>
      <c r="AO15" s="178"/>
    </row>
    <row r="16" spans="2:41" x14ac:dyDescent="0.2">
      <c r="B16" s="88">
        <f t="shared" si="8"/>
        <v>44440</v>
      </c>
      <c r="C16" s="81">
        <v>2.0895410217805881</v>
      </c>
      <c r="D16" s="81">
        <v>2.5160140340000816</v>
      </c>
      <c r="E16" s="89">
        <f t="shared" si="4"/>
        <v>2021</v>
      </c>
      <c r="G16" s="82">
        <f t="shared" si="9"/>
        <v>2029</v>
      </c>
      <c r="H16" s="83">
        <f t="shared" si="5"/>
        <v>3.85</v>
      </c>
      <c r="I16" s="83">
        <f t="shared" si="6"/>
        <v>3.98</v>
      </c>
      <c r="K16" s="16">
        <f t="shared" si="10"/>
        <v>9</v>
      </c>
      <c r="L16" s="110">
        <f t="shared" si="11"/>
        <v>2021</v>
      </c>
      <c r="M16" s="84">
        <f t="shared" si="7"/>
        <v>44440</v>
      </c>
      <c r="N16" s="85">
        <v>67.073300000000003</v>
      </c>
      <c r="O16" s="85">
        <v>121.4984</v>
      </c>
      <c r="P16" s="85">
        <v>35.42333</v>
      </c>
      <c r="Q16" s="86">
        <v>52.230670000000003</v>
      </c>
      <c r="S16" s="107">
        <v>90.712742222222232</v>
      </c>
      <c r="T16" s="109">
        <f t="shared" si="12"/>
        <v>1.3393752302445123</v>
      </c>
      <c r="U16" s="109">
        <f t="shared" si="13"/>
        <v>0.57578096219435937</v>
      </c>
      <c r="W16" s="82">
        <f t="shared" si="14"/>
        <v>2029</v>
      </c>
      <c r="X16" s="87">
        <f t="shared" si="15"/>
        <v>58.38</v>
      </c>
      <c r="Y16" s="87">
        <f t="shared" si="15"/>
        <v>66.33</v>
      </c>
      <c r="Z16" s="87">
        <f t="shared" si="15"/>
        <v>32.36</v>
      </c>
      <c r="AA16" s="87">
        <f t="shared" si="15"/>
        <v>44.78</v>
      </c>
      <c r="AD16" s="177" t="str">
        <f t="shared" si="0"/>
        <v>Winter</v>
      </c>
      <c r="AE16">
        <f t="shared" si="1"/>
        <v>3</v>
      </c>
      <c r="AF16" s="175">
        <v>43160</v>
      </c>
      <c r="AG16" s="176">
        <v>432</v>
      </c>
      <c r="AH16" s="176">
        <v>312</v>
      </c>
      <c r="AI16">
        <f t="shared" si="2"/>
        <v>27</v>
      </c>
      <c r="AJ16">
        <f t="shared" si="3"/>
        <v>4</v>
      </c>
      <c r="AO16" t="s">
        <v>107</v>
      </c>
    </row>
    <row r="17" spans="2:41" x14ac:dyDescent="0.2">
      <c r="B17" s="88">
        <f t="shared" si="8"/>
        <v>44470</v>
      </c>
      <c r="C17" s="81">
        <v>2.204968101977316</v>
      </c>
      <c r="D17" s="81">
        <v>2.8267010694711661</v>
      </c>
      <c r="E17" s="89">
        <f t="shared" si="4"/>
        <v>2021</v>
      </c>
      <c r="G17" s="82">
        <f t="shared" si="9"/>
        <v>2030</v>
      </c>
      <c r="H17" s="83">
        <f t="shared" si="5"/>
        <v>4</v>
      </c>
      <c r="I17" s="83">
        <f t="shared" si="6"/>
        <v>4.1399999999999997</v>
      </c>
      <c r="K17" s="16">
        <f t="shared" si="10"/>
        <v>10</v>
      </c>
      <c r="L17" s="110">
        <f t="shared" si="11"/>
        <v>2021</v>
      </c>
      <c r="M17" s="84">
        <f t="shared" si="7"/>
        <v>44470</v>
      </c>
      <c r="N17" s="85">
        <v>36.478430000000003</v>
      </c>
      <c r="O17" s="85">
        <v>56.92163</v>
      </c>
      <c r="P17" s="85">
        <v>29.766729999999999</v>
      </c>
      <c r="Q17" s="86">
        <v>35.55883</v>
      </c>
      <c r="S17" s="107">
        <v>47.503621397849457</v>
      </c>
      <c r="T17" s="109">
        <f t="shared" si="12"/>
        <v>1.1982587500703032</v>
      </c>
      <c r="U17" s="109">
        <f t="shared" si="13"/>
        <v>0.74854987795961569</v>
      </c>
      <c r="W17" s="82">
        <f t="shared" si="14"/>
        <v>2030</v>
      </c>
      <c r="X17" s="87">
        <f t="shared" si="15"/>
        <v>58.81</v>
      </c>
      <c r="Y17" s="87">
        <f t="shared" si="15"/>
        <v>66.06</v>
      </c>
      <c r="Z17" s="87">
        <f t="shared" si="15"/>
        <v>32.78</v>
      </c>
      <c r="AA17" s="87">
        <f t="shared" si="15"/>
        <v>46.63</v>
      </c>
      <c r="AD17" s="177" t="str">
        <f t="shared" si="0"/>
        <v>Winter</v>
      </c>
      <c r="AE17">
        <f t="shared" si="1"/>
        <v>4</v>
      </c>
      <c r="AF17" s="175">
        <v>43191</v>
      </c>
      <c r="AG17" s="176">
        <v>400</v>
      </c>
      <c r="AH17" s="176">
        <v>320</v>
      </c>
      <c r="AI17">
        <f t="shared" si="2"/>
        <v>25</v>
      </c>
      <c r="AJ17">
        <f t="shared" si="3"/>
        <v>5</v>
      </c>
      <c r="AL17" s="133" t="s">
        <v>106</v>
      </c>
      <c r="AM17" s="179">
        <f>SUM(AG2:AG253)</f>
        <v>103168</v>
      </c>
      <c r="AN17" s="179">
        <f>SUM(AH2:AH253)</f>
        <v>80912</v>
      </c>
      <c r="AO17" s="178">
        <f>AM17/SUM(AM17:AN17)</f>
        <v>0.56045197740112995</v>
      </c>
    </row>
    <row r="18" spans="2:41" x14ac:dyDescent="0.2">
      <c r="B18" s="88">
        <f t="shared" si="8"/>
        <v>44501</v>
      </c>
      <c r="C18" s="81">
        <v>2.8322891900030109</v>
      </c>
      <c r="D18" s="81">
        <v>3.3458073245707696</v>
      </c>
      <c r="E18" s="89">
        <f t="shared" si="4"/>
        <v>2021</v>
      </c>
      <c r="G18" s="82">
        <f t="shared" si="9"/>
        <v>2031</v>
      </c>
      <c r="H18" s="83">
        <f t="shared" si="5"/>
        <v>4.12</v>
      </c>
      <c r="I18" s="83">
        <f t="shared" si="6"/>
        <v>4.28</v>
      </c>
      <c r="K18" s="16">
        <f t="shared" si="10"/>
        <v>11</v>
      </c>
      <c r="L18" s="110">
        <f t="shared" si="11"/>
        <v>2021</v>
      </c>
      <c r="M18" s="84">
        <f t="shared" si="7"/>
        <v>44501</v>
      </c>
      <c r="N18" s="85">
        <v>37.95337</v>
      </c>
      <c r="O18" s="85">
        <v>39.596670000000003</v>
      </c>
      <c r="P18" s="85">
        <v>31.004000000000001</v>
      </c>
      <c r="Q18" s="86">
        <v>33.086199999999998</v>
      </c>
      <c r="S18" s="107">
        <v>36.698111234396677</v>
      </c>
      <c r="T18" s="109">
        <f t="shared" si="12"/>
        <v>1.0789838677824526</v>
      </c>
      <c r="U18" s="109">
        <f t="shared" si="13"/>
        <v>0.90157773485052606</v>
      </c>
      <c r="W18" s="82">
        <f t="shared" si="14"/>
        <v>2031</v>
      </c>
      <c r="X18" s="87">
        <f t="shared" si="15"/>
        <v>55.37</v>
      </c>
      <c r="Y18" s="87">
        <f t="shared" si="15"/>
        <v>65.010000000000005</v>
      </c>
      <c r="Z18" s="87">
        <f t="shared" si="15"/>
        <v>32.04</v>
      </c>
      <c r="AA18" s="87">
        <f t="shared" si="15"/>
        <v>49.14</v>
      </c>
      <c r="AD18" s="177" t="str">
        <f t="shared" si="0"/>
        <v>Winter</v>
      </c>
      <c r="AE18">
        <f t="shared" si="1"/>
        <v>5</v>
      </c>
      <c r="AF18" s="175">
        <v>43221</v>
      </c>
      <c r="AG18" s="176">
        <v>416</v>
      </c>
      <c r="AH18" s="176">
        <v>328</v>
      </c>
      <c r="AI18">
        <f t="shared" si="2"/>
        <v>26</v>
      </c>
      <c r="AJ18">
        <f t="shared" si="3"/>
        <v>5</v>
      </c>
    </row>
    <row r="19" spans="2:41" x14ac:dyDescent="0.2">
      <c r="B19" s="90">
        <f t="shared" si="8"/>
        <v>44531</v>
      </c>
      <c r="C19" s="91">
        <v>3.109314182475158</v>
      </c>
      <c r="D19" s="91">
        <v>3.8225565805011485</v>
      </c>
      <c r="E19" s="92">
        <f t="shared" si="4"/>
        <v>2021</v>
      </c>
      <c r="G19" s="82">
        <f t="shared" si="9"/>
        <v>2032</v>
      </c>
      <c r="H19" s="83">
        <f t="shared" si="5"/>
        <v>4.1900000000000004</v>
      </c>
      <c r="I19" s="83">
        <f t="shared" si="6"/>
        <v>4.33</v>
      </c>
      <c r="K19" s="16">
        <f t="shared" si="10"/>
        <v>12</v>
      </c>
      <c r="L19" s="110">
        <f t="shared" si="11"/>
        <v>2021</v>
      </c>
      <c r="M19" s="93">
        <f t="shared" si="7"/>
        <v>44531</v>
      </c>
      <c r="N19" s="94">
        <v>46.293230000000001</v>
      </c>
      <c r="O19" s="94">
        <v>41.304729999999999</v>
      </c>
      <c r="P19" s="94">
        <v>36.459470000000003</v>
      </c>
      <c r="Q19" s="95">
        <v>36.191969999999998</v>
      </c>
      <c r="S19" s="107">
        <v>39.050717526881719</v>
      </c>
      <c r="T19" s="109">
        <f t="shared" si="12"/>
        <v>1.057720129510211</v>
      </c>
      <c r="U19" s="109">
        <f t="shared" si="13"/>
        <v>0.92679398208461039</v>
      </c>
      <c r="W19" s="82">
        <f t="shared" si="14"/>
        <v>2032</v>
      </c>
      <c r="X19" s="87">
        <f t="shared" si="15"/>
        <v>52.86</v>
      </c>
      <c r="Y19" s="87">
        <f t="shared" si="15"/>
        <v>64.45</v>
      </c>
      <c r="Z19" s="87">
        <f t="shared" si="15"/>
        <v>32.36</v>
      </c>
      <c r="AA19" s="87">
        <f t="shared" si="15"/>
        <v>51.07</v>
      </c>
      <c r="AD19" s="177" t="str">
        <f t="shared" si="0"/>
        <v>Summer</v>
      </c>
      <c r="AE19">
        <f t="shared" si="1"/>
        <v>6</v>
      </c>
      <c r="AF19" s="175">
        <v>43252</v>
      </c>
      <c r="AG19" s="176">
        <v>416</v>
      </c>
      <c r="AH19" s="176">
        <v>304</v>
      </c>
      <c r="AI19">
        <f t="shared" si="2"/>
        <v>26</v>
      </c>
      <c r="AJ19">
        <f t="shared" si="3"/>
        <v>4</v>
      </c>
      <c r="AL19" t="s">
        <v>105</v>
      </c>
      <c r="AM19">
        <f>SUMIF($AD$2:$AD$253,"Summer",$AG$2:$AG$253)</f>
        <v>34464</v>
      </c>
      <c r="AN19" s="251">
        <f>AM19/$AM$23</f>
        <v>0.18722294654498045</v>
      </c>
      <c r="AO19" s="251"/>
    </row>
    <row r="20" spans="2:41" x14ac:dyDescent="0.2">
      <c r="B20" s="234">
        <f>EDATE(B19,1)</f>
        <v>44562</v>
      </c>
      <c r="C20" s="81">
        <v>3.2352802569507175</v>
      </c>
      <c r="D20" s="81">
        <v>3.6897378728372603</v>
      </c>
      <c r="E20" s="233">
        <f t="shared" si="4"/>
        <v>2022</v>
      </c>
      <c r="G20" s="82">
        <f t="shared" si="9"/>
        <v>2033</v>
      </c>
      <c r="H20" s="83">
        <f t="shared" si="5"/>
        <v>4.4400000000000004</v>
      </c>
      <c r="I20" s="83">
        <f t="shared" si="6"/>
        <v>4.5199999999999996</v>
      </c>
      <c r="K20" s="16">
        <f t="shared" si="10"/>
        <v>1</v>
      </c>
      <c r="L20" s="110">
        <f t="shared" si="11"/>
        <v>2022</v>
      </c>
      <c r="M20" s="84">
        <f t="shared" si="7"/>
        <v>44562</v>
      </c>
      <c r="N20" s="232">
        <v>46.538429999999998</v>
      </c>
      <c r="O20" s="232">
        <v>42.313470000000002</v>
      </c>
      <c r="P20" s="232">
        <v>37.077629999999999</v>
      </c>
      <c r="Q20" s="231">
        <v>36.710169999999998</v>
      </c>
      <c r="S20" s="107">
        <v>39.722696881720431</v>
      </c>
      <c r="T20" s="109">
        <f t="shared" si="12"/>
        <v>1.0652214809582023</v>
      </c>
      <c r="U20" s="109">
        <f t="shared" si="13"/>
        <v>0.92416106865325309</v>
      </c>
      <c r="W20" s="82">
        <f t="shared" si="14"/>
        <v>2033</v>
      </c>
      <c r="X20" s="87">
        <f t="shared" si="15"/>
        <v>51.58</v>
      </c>
      <c r="Y20" s="87">
        <f t="shared" si="15"/>
        <v>65.52</v>
      </c>
      <c r="Z20" s="87">
        <f t="shared" si="15"/>
        <v>32.89</v>
      </c>
      <c r="AA20" s="87">
        <f t="shared" si="15"/>
        <v>52.38</v>
      </c>
      <c r="AD20" s="177" t="str">
        <f t="shared" si="0"/>
        <v>Summer</v>
      </c>
      <c r="AE20">
        <f t="shared" si="1"/>
        <v>7</v>
      </c>
      <c r="AF20" s="175">
        <v>43282</v>
      </c>
      <c r="AG20" s="176">
        <v>400</v>
      </c>
      <c r="AH20" s="176">
        <v>344</v>
      </c>
      <c r="AI20">
        <f t="shared" si="2"/>
        <v>25</v>
      </c>
      <c r="AJ20">
        <f t="shared" si="3"/>
        <v>6</v>
      </c>
      <c r="AL20" t="s">
        <v>104</v>
      </c>
      <c r="AM20">
        <f>SUMIF($AD$2:$AD$253,"Winter",$AG$2:$AG$253)</f>
        <v>68704</v>
      </c>
      <c r="AN20" s="251">
        <f>AM20/$AM$23</f>
        <v>0.3732290308561495</v>
      </c>
      <c r="AO20" s="251">
        <f>AN20+AN19</f>
        <v>0.56045197740112995</v>
      </c>
    </row>
    <row r="21" spans="2:41" x14ac:dyDescent="0.2">
      <c r="B21" s="88">
        <f t="shared" si="8"/>
        <v>44593</v>
      </c>
      <c r="C21" s="81">
        <v>3.1329014553849239</v>
      </c>
      <c r="D21" s="81">
        <v>3.4934872287646916</v>
      </c>
      <c r="E21" s="89">
        <f t="shared" si="4"/>
        <v>2022</v>
      </c>
      <c r="G21" s="82">
        <f t="shared" si="9"/>
        <v>2034</v>
      </c>
      <c r="H21" s="83">
        <f t="shared" si="5"/>
        <v>4.5</v>
      </c>
      <c r="I21" s="83">
        <f t="shared" si="6"/>
        <v>4.5599999999999996</v>
      </c>
      <c r="K21" s="16">
        <f t="shared" si="10"/>
        <v>2</v>
      </c>
      <c r="L21" s="110">
        <f t="shared" si="11"/>
        <v>2022</v>
      </c>
      <c r="M21" s="84">
        <f t="shared" si="7"/>
        <v>44593</v>
      </c>
      <c r="N21" s="85">
        <v>39.864570000000001</v>
      </c>
      <c r="O21" s="85">
        <v>40.252630000000003</v>
      </c>
      <c r="P21" s="85">
        <v>32.534930000000003</v>
      </c>
      <c r="Q21" s="86">
        <v>34.91583</v>
      </c>
      <c r="S21" s="107">
        <v>37.965430000000005</v>
      </c>
      <c r="T21" s="109">
        <f t="shared" si="12"/>
        <v>1.0602442801253666</v>
      </c>
      <c r="U21" s="109">
        <f t="shared" si="13"/>
        <v>0.91967429316617766</v>
      </c>
      <c r="W21" s="82">
        <f t="shared" si="14"/>
        <v>2034</v>
      </c>
      <c r="X21" s="87">
        <f t="shared" si="15"/>
        <v>52.02</v>
      </c>
      <c r="Y21" s="87">
        <f t="shared" si="15"/>
        <v>65.900000000000006</v>
      </c>
      <c r="Z21" s="87">
        <f t="shared" si="15"/>
        <v>33.08</v>
      </c>
      <c r="AA21" s="87">
        <f t="shared" si="15"/>
        <v>52.94</v>
      </c>
      <c r="AD21" s="177" t="str">
        <f t="shared" si="0"/>
        <v>Summer</v>
      </c>
      <c r="AE21">
        <f t="shared" si="1"/>
        <v>8</v>
      </c>
      <c r="AF21" s="175">
        <v>43313</v>
      </c>
      <c r="AG21" s="176">
        <v>432</v>
      </c>
      <c r="AH21" s="176">
        <v>312</v>
      </c>
      <c r="AI21">
        <f t="shared" si="2"/>
        <v>27</v>
      </c>
      <c r="AJ21">
        <f t="shared" si="3"/>
        <v>4</v>
      </c>
      <c r="AL21" s="48" t="s">
        <v>52</v>
      </c>
      <c r="AM21">
        <f>SUMIF($AD$2:$AD$253,"Summer",$AH$2:$AH$253)</f>
        <v>27024</v>
      </c>
      <c r="AN21" s="251">
        <f>AM21/$AM$23</f>
        <v>0.1468057366362451</v>
      </c>
    </row>
    <row r="22" spans="2:41" x14ac:dyDescent="0.2">
      <c r="B22" s="88">
        <f t="shared" si="8"/>
        <v>44621</v>
      </c>
      <c r="C22" s="81">
        <v>2.7324196727893204</v>
      </c>
      <c r="D22" s="81">
        <v>2.9249817350251854</v>
      </c>
      <c r="E22" s="89">
        <f t="shared" si="4"/>
        <v>2022</v>
      </c>
      <c r="G22" s="82">
        <f t="shared" si="9"/>
        <v>2035</v>
      </c>
      <c r="H22" s="83">
        <f t="shared" si="5"/>
        <v>4.58</v>
      </c>
      <c r="I22" s="83">
        <f t="shared" si="6"/>
        <v>4.58</v>
      </c>
      <c r="K22" s="16">
        <f t="shared" si="10"/>
        <v>3</v>
      </c>
      <c r="L22" s="110">
        <f t="shared" si="11"/>
        <v>2022</v>
      </c>
      <c r="M22" s="84">
        <f t="shared" si="7"/>
        <v>44621</v>
      </c>
      <c r="N22" s="85">
        <v>28.890830000000001</v>
      </c>
      <c r="O22" s="85">
        <v>30.127330000000001</v>
      </c>
      <c r="P22" s="85">
        <v>23.959530000000001</v>
      </c>
      <c r="Q22" s="86">
        <v>27.924199999999999</v>
      </c>
      <c r="S22" s="107">
        <v>29.205158492597576</v>
      </c>
      <c r="T22" s="109">
        <f t="shared" si="12"/>
        <v>1.0315756378324796</v>
      </c>
      <c r="U22" s="109">
        <f t="shared" si="13"/>
        <v>0.956139306933662</v>
      </c>
      <c r="W22" s="82">
        <f t="shared" si="14"/>
        <v>2035</v>
      </c>
      <c r="X22" s="87">
        <f t="shared" si="15"/>
        <v>56.74</v>
      </c>
      <c r="Y22" s="87">
        <f t="shared" si="15"/>
        <v>71.59</v>
      </c>
      <c r="Z22" s="87">
        <f t="shared" si="15"/>
        <v>34.619999999999997</v>
      </c>
      <c r="AA22" s="87">
        <f t="shared" si="15"/>
        <v>55.38</v>
      </c>
      <c r="AD22" s="177" t="str">
        <f t="shared" si="0"/>
        <v>Summer</v>
      </c>
      <c r="AE22">
        <f t="shared" si="1"/>
        <v>9</v>
      </c>
      <c r="AF22" s="175">
        <v>43344</v>
      </c>
      <c r="AG22" s="176">
        <v>384</v>
      </c>
      <c r="AH22" s="176">
        <v>336</v>
      </c>
      <c r="AI22">
        <f t="shared" si="2"/>
        <v>24</v>
      </c>
      <c r="AJ22">
        <f t="shared" si="3"/>
        <v>6</v>
      </c>
      <c r="AL22" s="48" t="s">
        <v>53</v>
      </c>
      <c r="AM22">
        <f>SUMIF($AD$2:$AD$253,"Winter",$AH$2:$AH$253)</f>
        <v>53888</v>
      </c>
      <c r="AN22" s="251">
        <f>AM22/$AM$23</f>
        <v>0.29274228596262497</v>
      </c>
      <c r="AO22" s="251">
        <f>AN21+AN22</f>
        <v>0.43954802259887005</v>
      </c>
    </row>
    <row r="23" spans="2:41" x14ac:dyDescent="0.2">
      <c r="B23" s="88">
        <f t="shared" si="8"/>
        <v>44652</v>
      </c>
      <c r="C23" s="81">
        <v>2.1703399779182977</v>
      </c>
      <c r="D23" s="81">
        <v>2.2382080431163534</v>
      </c>
      <c r="E23" s="89">
        <f t="shared" si="4"/>
        <v>2022</v>
      </c>
      <c r="G23" s="82">
        <f t="shared" si="9"/>
        <v>2036</v>
      </c>
      <c r="H23" s="83">
        <f t="shared" si="5"/>
        <v>4.6900000000000004</v>
      </c>
      <c r="I23" s="83">
        <f t="shared" si="6"/>
        <v>4.6500000000000004</v>
      </c>
      <c r="K23" s="16">
        <f t="shared" si="10"/>
        <v>4</v>
      </c>
      <c r="L23" s="110">
        <f t="shared" si="11"/>
        <v>2022</v>
      </c>
      <c r="M23" s="84">
        <f t="shared" si="7"/>
        <v>44652</v>
      </c>
      <c r="N23" s="85">
        <v>20.756329999999998</v>
      </c>
      <c r="O23" s="85">
        <v>23.124600000000001</v>
      </c>
      <c r="P23" s="85">
        <v>13.39377</v>
      </c>
      <c r="Q23" s="86">
        <v>21.922129999999999</v>
      </c>
      <c r="S23" s="107">
        <v>22.616890444444444</v>
      </c>
      <c r="T23" s="109">
        <f t="shared" si="12"/>
        <v>1.0224482475520975</v>
      </c>
      <c r="U23" s="109">
        <f t="shared" si="13"/>
        <v>0.96928134545502453</v>
      </c>
      <c r="W23" s="82">
        <f t="shared" si="14"/>
        <v>2036</v>
      </c>
      <c r="X23" s="87">
        <f t="shared" si="15"/>
        <v>59.9</v>
      </c>
      <c r="Y23" s="87">
        <f t="shared" si="15"/>
        <v>76.930000000000007</v>
      </c>
      <c r="Z23" s="87">
        <f t="shared" si="15"/>
        <v>35.29</v>
      </c>
      <c r="AA23" s="87">
        <f t="shared" si="15"/>
        <v>57.04</v>
      </c>
      <c r="AD23" s="177" t="str">
        <f t="shared" si="0"/>
        <v>Winter</v>
      </c>
      <c r="AE23">
        <f t="shared" si="1"/>
        <v>10</v>
      </c>
      <c r="AF23" s="175">
        <v>43374</v>
      </c>
      <c r="AG23" s="176">
        <v>432</v>
      </c>
      <c r="AH23" s="176">
        <v>312</v>
      </c>
      <c r="AI23">
        <f t="shared" si="2"/>
        <v>27</v>
      </c>
      <c r="AJ23">
        <f t="shared" si="3"/>
        <v>4</v>
      </c>
      <c r="AM23">
        <f>SUM(AM19:AM22)</f>
        <v>184080</v>
      </c>
    </row>
    <row r="24" spans="2:41" x14ac:dyDescent="0.2">
      <c r="B24" s="88">
        <f t="shared" si="8"/>
        <v>44682</v>
      </c>
      <c r="C24" s="81">
        <v>2.0614370370370372</v>
      </c>
      <c r="D24" s="81">
        <v>2.1032145262041673</v>
      </c>
      <c r="E24" s="89">
        <f t="shared" si="4"/>
        <v>2022</v>
      </c>
      <c r="G24" s="82">
        <f t="shared" si="9"/>
        <v>2037</v>
      </c>
      <c r="H24" s="83">
        <f t="shared" si="5"/>
        <v>4.79</v>
      </c>
      <c r="I24" s="83">
        <f t="shared" si="6"/>
        <v>4.78</v>
      </c>
      <c r="K24" s="16">
        <f t="shared" si="10"/>
        <v>5</v>
      </c>
      <c r="L24" s="110">
        <f t="shared" si="11"/>
        <v>2022</v>
      </c>
      <c r="M24" s="84">
        <f t="shared" si="7"/>
        <v>44682</v>
      </c>
      <c r="N24" s="85">
        <v>14.32788</v>
      </c>
      <c r="O24" s="85">
        <v>24.13963</v>
      </c>
      <c r="P24" s="85">
        <v>5.641267</v>
      </c>
      <c r="Q24" s="86">
        <v>23.003579999999999</v>
      </c>
      <c r="S24" s="107">
        <v>23.614359569892475</v>
      </c>
      <c r="T24" s="109">
        <f t="shared" si="12"/>
        <v>1.0222436873019087</v>
      </c>
      <c r="U24" s="109">
        <f t="shared" si="13"/>
        <v>0.97413524732336176</v>
      </c>
      <c r="W24" s="82">
        <f t="shared" si="14"/>
        <v>2037</v>
      </c>
      <c r="X24" s="87">
        <f t="shared" si="15"/>
        <v>58.91</v>
      </c>
      <c r="Y24" s="87">
        <f t="shared" si="15"/>
        <v>73.73</v>
      </c>
      <c r="Z24" s="87">
        <f t="shared" si="15"/>
        <v>35.5</v>
      </c>
      <c r="AA24" s="87">
        <f t="shared" si="15"/>
        <v>57.84</v>
      </c>
      <c r="AD24" s="177" t="str">
        <f t="shared" si="0"/>
        <v>Winter</v>
      </c>
      <c r="AE24">
        <f t="shared" si="1"/>
        <v>11</v>
      </c>
      <c r="AF24" s="175">
        <v>43405</v>
      </c>
      <c r="AG24" s="176">
        <v>400</v>
      </c>
      <c r="AH24" s="176">
        <v>320</v>
      </c>
      <c r="AI24">
        <f t="shared" si="2"/>
        <v>25</v>
      </c>
      <c r="AJ24">
        <f t="shared" si="3"/>
        <v>5</v>
      </c>
    </row>
    <row r="25" spans="2:41" x14ac:dyDescent="0.2">
      <c r="B25" s="88">
        <f t="shared" si="8"/>
        <v>44713</v>
      </c>
      <c r="C25" s="81">
        <v>2.1753585466225029</v>
      </c>
      <c r="D25" s="81">
        <v>2.1708925187642851</v>
      </c>
      <c r="E25" s="89">
        <f t="shared" si="4"/>
        <v>2022</v>
      </c>
      <c r="G25" s="82">
        <f t="shared" si="9"/>
        <v>2038</v>
      </c>
      <c r="H25" s="83">
        <f t="shared" si="5"/>
        <v>4.97</v>
      </c>
      <c r="I25" s="83">
        <f t="shared" si="6"/>
        <v>4.88</v>
      </c>
      <c r="K25" s="16">
        <f t="shared" si="10"/>
        <v>6</v>
      </c>
      <c r="L25" s="110">
        <f t="shared" si="11"/>
        <v>2022</v>
      </c>
      <c r="M25" s="84">
        <f t="shared" si="7"/>
        <v>44713</v>
      </c>
      <c r="N25" s="85">
        <v>20.837710000000001</v>
      </c>
      <c r="O25" s="85">
        <v>53.203290000000003</v>
      </c>
      <c r="P25" s="85">
        <v>12.377689999999999</v>
      </c>
      <c r="Q25" s="86">
        <v>37.810659999999999</v>
      </c>
      <c r="S25" s="107">
        <v>46.704179555555555</v>
      </c>
      <c r="T25" s="109">
        <f t="shared" si="12"/>
        <v>1.1391547931318144</v>
      </c>
      <c r="U25" s="109">
        <f t="shared" si="13"/>
        <v>0.80957765150383298</v>
      </c>
      <c r="W25" s="82">
        <f t="shared" si="14"/>
        <v>2038</v>
      </c>
      <c r="X25" s="87">
        <f t="shared" si="15"/>
        <v>60.21</v>
      </c>
      <c r="Y25" s="87">
        <f t="shared" si="15"/>
        <v>78.47</v>
      </c>
      <c r="Z25" s="87">
        <f t="shared" si="15"/>
        <v>36.78</v>
      </c>
      <c r="AA25" s="87">
        <f t="shared" si="15"/>
        <v>60.02</v>
      </c>
      <c r="AD25" s="177" t="str">
        <f t="shared" si="0"/>
        <v>Winter</v>
      </c>
      <c r="AE25">
        <f t="shared" si="1"/>
        <v>12</v>
      </c>
      <c r="AF25" s="175">
        <v>43435</v>
      </c>
      <c r="AG25" s="176">
        <v>400</v>
      </c>
      <c r="AH25" s="176">
        <v>344</v>
      </c>
      <c r="AI25">
        <f t="shared" si="2"/>
        <v>25</v>
      </c>
      <c r="AJ25">
        <f t="shared" si="3"/>
        <v>6</v>
      </c>
    </row>
    <row r="26" spans="2:41" x14ac:dyDescent="0.2">
      <c r="B26" s="88">
        <f t="shared" si="8"/>
        <v>44743</v>
      </c>
      <c r="C26" s="81">
        <v>2.3309341764528755</v>
      </c>
      <c r="D26" s="81">
        <v>2.4310929109713184</v>
      </c>
      <c r="E26" s="89">
        <f t="shared" si="4"/>
        <v>2022</v>
      </c>
      <c r="G26" s="82">
        <f t="shared" si="9"/>
        <v>2039</v>
      </c>
      <c r="H26" s="83">
        <f t="shared" si="5"/>
        <v>5.26</v>
      </c>
      <c r="I26" s="83">
        <f t="shared" si="6"/>
        <v>5.13</v>
      </c>
      <c r="K26" s="16">
        <f t="shared" si="10"/>
        <v>7</v>
      </c>
      <c r="L26" s="110">
        <f t="shared" si="11"/>
        <v>2022</v>
      </c>
      <c r="M26" s="84">
        <f t="shared" si="7"/>
        <v>44743</v>
      </c>
      <c r="N26" s="85">
        <v>53.839199999999998</v>
      </c>
      <c r="O26" s="85">
        <v>143.1198</v>
      </c>
      <c r="P26" s="85">
        <v>28.933810000000001</v>
      </c>
      <c r="Q26" s="86">
        <v>57.265389999999996</v>
      </c>
      <c r="S26" s="107">
        <v>103.42367494623656</v>
      </c>
      <c r="T26" s="109">
        <f t="shared" si="12"/>
        <v>1.3838204847623037</v>
      </c>
      <c r="U26" s="109">
        <f t="shared" si="13"/>
        <v>0.55369711074150729</v>
      </c>
      <c r="W26" s="82">
        <f t="shared" si="14"/>
        <v>2039</v>
      </c>
      <c r="X26" s="87">
        <f t="shared" si="15"/>
        <v>59.59</v>
      </c>
      <c r="Y26" s="87">
        <f t="shared" si="15"/>
        <v>75.489999999999995</v>
      </c>
      <c r="Z26" s="87">
        <f t="shared" si="15"/>
        <v>36.83</v>
      </c>
      <c r="AA26" s="87">
        <f t="shared" si="15"/>
        <v>61.72</v>
      </c>
      <c r="AD26" s="177" t="str">
        <f t="shared" si="0"/>
        <v>Winter</v>
      </c>
      <c r="AE26">
        <f t="shared" si="1"/>
        <v>1</v>
      </c>
      <c r="AF26" s="175">
        <v>43466</v>
      </c>
      <c r="AG26" s="176">
        <v>416</v>
      </c>
      <c r="AH26" s="176">
        <v>328</v>
      </c>
      <c r="AI26">
        <f t="shared" si="2"/>
        <v>26</v>
      </c>
      <c r="AJ26">
        <f t="shared" si="3"/>
        <v>5</v>
      </c>
    </row>
    <row r="27" spans="2:41" x14ac:dyDescent="0.2">
      <c r="B27" s="88">
        <f t="shared" si="8"/>
        <v>44774</v>
      </c>
      <c r="C27" s="81">
        <v>2.3520121650105388</v>
      </c>
      <c r="D27" s="81">
        <v>2.4800261190580142</v>
      </c>
      <c r="E27" s="89">
        <f t="shared" si="4"/>
        <v>2022</v>
      </c>
      <c r="G27" s="82">
        <f t="shared" si="9"/>
        <v>2040</v>
      </c>
      <c r="H27" s="83">
        <f t="shared" si="5"/>
        <v>5.6</v>
      </c>
      <c r="I27" s="83">
        <f t="shared" si="6"/>
        <v>5.37</v>
      </c>
      <c r="K27" s="16">
        <f t="shared" si="10"/>
        <v>8</v>
      </c>
      <c r="L27" s="110">
        <f t="shared" si="11"/>
        <v>2022</v>
      </c>
      <c r="M27" s="84">
        <f t="shared" si="7"/>
        <v>44774</v>
      </c>
      <c r="N27" s="85">
        <v>68.862380000000002</v>
      </c>
      <c r="O27" s="85">
        <v>143.16030000000001</v>
      </c>
      <c r="P27" s="85">
        <v>41.110329999999998</v>
      </c>
      <c r="Q27" s="86">
        <v>58.168900000000001</v>
      </c>
      <c r="S27" s="107">
        <v>107.51874516129034</v>
      </c>
      <c r="T27" s="109">
        <f t="shared" si="12"/>
        <v>1.3314915439651316</v>
      </c>
      <c r="U27" s="109">
        <f t="shared" si="13"/>
        <v>0.54101170835597123</v>
      </c>
      <c r="W27" s="82">
        <f t="shared" si="14"/>
        <v>2040</v>
      </c>
      <c r="X27" s="87">
        <f t="shared" si="15"/>
        <v>61.61</v>
      </c>
      <c r="Y27" s="87">
        <f t="shared" si="15"/>
        <v>77.34</v>
      </c>
      <c r="Z27" s="87">
        <f t="shared" si="15"/>
        <v>38.4</v>
      </c>
      <c r="AA27" s="87">
        <f t="shared" si="15"/>
        <v>62.92</v>
      </c>
      <c r="AD27" s="177" t="str">
        <f t="shared" si="0"/>
        <v>Winter</v>
      </c>
      <c r="AE27">
        <f t="shared" si="1"/>
        <v>2</v>
      </c>
      <c r="AF27" s="175">
        <v>43497</v>
      </c>
      <c r="AG27" s="176">
        <v>384</v>
      </c>
      <c r="AH27" s="176">
        <v>288</v>
      </c>
      <c r="AI27">
        <f t="shared" si="2"/>
        <v>24</v>
      </c>
      <c r="AJ27">
        <f t="shared" si="3"/>
        <v>4</v>
      </c>
    </row>
    <row r="28" spans="2:41" x14ac:dyDescent="0.2">
      <c r="B28" s="88">
        <f t="shared" si="8"/>
        <v>44805</v>
      </c>
      <c r="C28" s="81">
        <v>2.3234063233965676</v>
      </c>
      <c r="D28" s="81">
        <v>2.4460058886739304</v>
      </c>
      <c r="E28" s="89">
        <f t="shared" si="4"/>
        <v>2022</v>
      </c>
      <c r="G28" s="82"/>
      <c r="H28" s="83"/>
      <c r="I28" s="83"/>
      <c r="K28" s="16">
        <f t="shared" si="10"/>
        <v>9</v>
      </c>
      <c r="L28" s="110">
        <f t="shared" si="11"/>
        <v>2022</v>
      </c>
      <c r="M28" s="84">
        <f t="shared" si="7"/>
        <v>44805</v>
      </c>
      <c r="N28" s="85">
        <v>58.108640000000001</v>
      </c>
      <c r="O28" s="85">
        <v>109.5376</v>
      </c>
      <c r="P28" s="85">
        <v>35.102690000000003</v>
      </c>
      <c r="Q28" s="86">
        <v>48.621879999999997</v>
      </c>
      <c r="S28" s="107">
        <v>82.463946666666672</v>
      </c>
      <c r="T28" s="109">
        <f t="shared" si="12"/>
        <v>1.3283089692853247</v>
      </c>
      <c r="U28" s="109">
        <f t="shared" si="13"/>
        <v>0.58961378839334389</v>
      </c>
      <c r="W28" s="82"/>
      <c r="X28" s="87"/>
      <c r="Y28" s="87"/>
      <c r="Z28" s="87"/>
      <c r="AA28" s="87"/>
      <c r="AD28" s="177" t="str">
        <f t="shared" si="0"/>
        <v>Winter</v>
      </c>
      <c r="AE28">
        <f t="shared" si="1"/>
        <v>3</v>
      </c>
      <c r="AF28" s="175">
        <v>43525</v>
      </c>
      <c r="AG28" s="176">
        <v>416</v>
      </c>
      <c r="AH28" s="176">
        <v>328</v>
      </c>
      <c r="AI28">
        <f t="shared" si="2"/>
        <v>26</v>
      </c>
      <c r="AJ28">
        <f t="shared" si="3"/>
        <v>5</v>
      </c>
    </row>
    <row r="29" spans="2:41" x14ac:dyDescent="0.2">
      <c r="B29" s="88">
        <f t="shared" si="8"/>
        <v>44835</v>
      </c>
      <c r="C29" s="81">
        <v>2.3309341764528755</v>
      </c>
      <c r="D29" s="81">
        <v>2.4505108506882611</v>
      </c>
      <c r="E29" s="89">
        <f t="shared" si="4"/>
        <v>2022</v>
      </c>
      <c r="G29" s="82"/>
      <c r="H29" s="83"/>
      <c r="I29" s="83"/>
      <c r="K29" s="16">
        <f t="shared" si="10"/>
        <v>10</v>
      </c>
      <c r="L29" s="110">
        <f t="shared" si="11"/>
        <v>2022</v>
      </c>
      <c r="M29" s="84">
        <f t="shared" si="7"/>
        <v>44835</v>
      </c>
      <c r="N29" s="85">
        <v>33.259459999999997</v>
      </c>
      <c r="O29" s="85">
        <v>36.877740000000003</v>
      </c>
      <c r="P29" s="85">
        <v>27.719660000000001</v>
      </c>
      <c r="Q29" s="86">
        <v>33.714860000000002</v>
      </c>
      <c r="S29" s="107">
        <v>35.483352043010754</v>
      </c>
      <c r="T29" s="109">
        <f t="shared" si="12"/>
        <v>1.0392969625670951</v>
      </c>
      <c r="U29" s="109">
        <f t="shared" si="13"/>
        <v>0.95015994991490393</v>
      </c>
      <c r="W29" s="82"/>
      <c r="X29" s="87"/>
      <c r="Y29" s="87"/>
      <c r="Z29" s="87"/>
      <c r="AA29" s="87"/>
      <c r="AD29" s="177" t="str">
        <f t="shared" si="0"/>
        <v>Winter</v>
      </c>
      <c r="AE29">
        <f t="shared" si="1"/>
        <v>4</v>
      </c>
      <c r="AF29" s="175">
        <v>43556</v>
      </c>
      <c r="AG29" s="176">
        <v>416</v>
      </c>
      <c r="AH29" s="176">
        <v>304</v>
      </c>
      <c r="AI29">
        <f t="shared" si="2"/>
        <v>26</v>
      </c>
      <c r="AJ29">
        <f t="shared" si="3"/>
        <v>4</v>
      </c>
    </row>
    <row r="30" spans="2:41" x14ac:dyDescent="0.2">
      <c r="B30" s="88">
        <f t="shared" si="8"/>
        <v>44866</v>
      </c>
      <c r="C30" s="81">
        <v>2.4493723978721267</v>
      </c>
      <c r="D30" s="81">
        <v>2.9500956037257651</v>
      </c>
      <c r="E30" s="89">
        <f t="shared" si="4"/>
        <v>2022</v>
      </c>
      <c r="G30" s="82"/>
      <c r="H30" s="83"/>
      <c r="I30" s="83"/>
      <c r="K30" s="16">
        <f t="shared" si="10"/>
        <v>11</v>
      </c>
      <c r="L30" s="110">
        <f t="shared" si="11"/>
        <v>2022</v>
      </c>
      <c r="M30" s="84">
        <f t="shared" si="7"/>
        <v>44866</v>
      </c>
      <c r="N30" s="85">
        <v>34.757980000000003</v>
      </c>
      <c r="O30" s="85">
        <v>35.418709999999997</v>
      </c>
      <c r="P30" s="85">
        <v>28.430409999999998</v>
      </c>
      <c r="Q30" s="86">
        <v>32.270870000000002</v>
      </c>
      <c r="S30" s="107">
        <v>34.017244479889044</v>
      </c>
      <c r="T30" s="109">
        <f t="shared" si="12"/>
        <v>1.0411986785390421</v>
      </c>
      <c r="U30" s="109">
        <f t="shared" si="13"/>
        <v>0.94866208281739295</v>
      </c>
      <c r="W30" s="82"/>
      <c r="X30" s="87"/>
      <c r="Y30" s="87"/>
      <c r="Z30" s="87"/>
      <c r="AA30" s="87"/>
      <c r="AD30" s="177" t="str">
        <f t="shared" si="0"/>
        <v>Winter</v>
      </c>
      <c r="AE30">
        <f t="shared" si="1"/>
        <v>5</v>
      </c>
      <c r="AF30" s="175">
        <v>43586</v>
      </c>
      <c r="AG30" s="176">
        <v>416</v>
      </c>
      <c r="AH30" s="176">
        <v>328</v>
      </c>
      <c r="AI30">
        <f t="shared" si="2"/>
        <v>26</v>
      </c>
      <c r="AJ30">
        <f t="shared" si="3"/>
        <v>5</v>
      </c>
    </row>
    <row r="31" spans="2:41" x14ac:dyDescent="0.2">
      <c r="B31" s="90">
        <f t="shared" si="8"/>
        <v>44896</v>
      </c>
      <c r="C31" s="91">
        <v>2.8488504667268892</v>
      </c>
      <c r="D31" s="91">
        <v>3.3538334063204394</v>
      </c>
      <c r="E31" s="92">
        <f t="shared" si="4"/>
        <v>2022</v>
      </c>
      <c r="G31" s="82"/>
      <c r="H31" s="83"/>
      <c r="I31" s="83"/>
      <c r="K31" s="16">
        <f t="shared" si="10"/>
        <v>12</v>
      </c>
      <c r="L31" s="110">
        <f t="shared" si="11"/>
        <v>2022</v>
      </c>
      <c r="M31" s="93">
        <f t="shared" si="7"/>
        <v>44896</v>
      </c>
      <c r="N31" s="94">
        <v>40.981430000000003</v>
      </c>
      <c r="O31" s="94">
        <v>38.55048</v>
      </c>
      <c r="P31" s="94">
        <v>32.461039999999997</v>
      </c>
      <c r="Q31" s="95">
        <v>33.22775</v>
      </c>
      <c r="S31" s="107">
        <v>36.203900107526877</v>
      </c>
      <c r="T31" s="109">
        <f t="shared" si="12"/>
        <v>1.0648156658675916</v>
      </c>
      <c r="U31" s="109">
        <f t="shared" si="13"/>
        <v>0.9177947652411037</v>
      </c>
      <c r="W31" s="82"/>
      <c r="X31" s="87"/>
      <c r="Y31" s="87"/>
      <c r="Z31" s="87"/>
      <c r="AA31" s="87"/>
      <c r="AD31" s="177" t="str">
        <f t="shared" si="0"/>
        <v>Summer</v>
      </c>
      <c r="AE31">
        <f t="shared" si="1"/>
        <v>6</v>
      </c>
      <c r="AF31" s="175">
        <v>43617</v>
      </c>
      <c r="AG31" s="176">
        <v>400</v>
      </c>
      <c r="AH31" s="176">
        <v>320</v>
      </c>
      <c r="AI31">
        <f t="shared" si="2"/>
        <v>25</v>
      </c>
      <c r="AJ31">
        <f t="shared" si="3"/>
        <v>5</v>
      </c>
    </row>
    <row r="32" spans="2:41" x14ac:dyDescent="0.2">
      <c r="B32" s="234">
        <f t="shared" si="8"/>
        <v>44927</v>
      </c>
      <c r="C32" s="81">
        <v>2.9206159991970289</v>
      </c>
      <c r="D32" s="81">
        <v>3.4058734847618455</v>
      </c>
      <c r="E32" s="233">
        <f t="shared" si="4"/>
        <v>2023</v>
      </c>
      <c r="G32" s="82"/>
      <c r="H32" s="97" t="s">
        <v>64</v>
      </c>
      <c r="I32" s="97" t="s">
        <v>64</v>
      </c>
      <c r="K32" s="16">
        <f t="shared" si="10"/>
        <v>1</v>
      </c>
      <c r="L32" s="110">
        <f t="shared" si="11"/>
        <v>2023</v>
      </c>
      <c r="M32" s="84">
        <f t="shared" si="7"/>
        <v>44927</v>
      </c>
      <c r="N32" s="232">
        <v>40.601999999999997</v>
      </c>
      <c r="O32" s="232">
        <v>37.501449999999998</v>
      </c>
      <c r="P32" s="232">
        <v>30.13775</v>
      </c>
      <c r="Q32" s="231">
        <v>36.149250000000002</v>
      </c>
      <c r="S32" s="107">
        <v>36.87623924731183</v>
      </c>
      <c r="T32" s="109">
        <f t="shared" si="12"/>
        <v>1.0169542980913853</v>
      </c>
      <c r="U32" s="109">
        <f t="shared" si="13"/>
        <v>0.98028569989373782</v>
      </c>
      <c r="W32" s="82"/>
      <c r="X32" s="87"/>
      <c r="Y32" s="87"/>
      <c r="Z32" s="87"/>
      <c r="AA32" s="87"/>
      <c r="AD32" s="177" t="str">
        <f t="shared" si="0"/>
        <v>Summer</v>
      </c>
      <c r="AE32">
        <f t="shared" si="1"/>
        <v>7</v>
      </c>
      <c r="AF32" s="175">
        <v>43647</v>
      </c>
      <c r="AG32" s="176">
        <v>416</v>
      </c>
      <c r="AH32" s="176">
        <v>328</v>
      </c>
      <c r="AI32">
        <f t="shared" si="2"/>
        <v>26</v>
      </c>
      <c r="AJ32">
        <f t="shared" si="3"/>
        <v>5</v>
      </c>
    </row>
    <row r="33" spans="2:36" x14ac:dyDescent="0.2">
      <c r="B33" s="88">
        <f t="shared" si="8"/>
        <v>44958</v>
      </c>
      <c r="C33" s="81">
        <v>2.8563783197831976</v>
      </c>
      <c r="D33" s="81">
        <v>3.2463874732200226</v>
      </c>
      <c r="E33" s="89">
        <f t="shared" si="4"/>
        <v>2023</v>
      </c>
      <c r="G33" s="82"/>
      <c r="H33" s="99">
        <f>ROUND(AVERAGE(H8:H30)-AVERAGE(C8:C247),2)</f>
        <v>0</v>
      </c>
      <c r="I33" s="99">
        <f>ROUND(AVERAGE(I8:I30)-AVERAGE(D8:D247),2)</f>
        <v>0</v>
      </c>
      <c r="K33" s="16">
        <f t="shared" si="10"/>
        <v>2</v>
      </c>
      <c r="L33" s="110">
        <f t="shared" si="11"/>
        <v>2023</v>
      </c>
      <c r="M33" s="84">
        <f t="shared" si="7"/>
        <v>44958</v>
      </c>
      <c r="N33" s="85">
        <v>35.203650000000003</v>
      </c>
      <c r="O33" s="85">
        <v>36.800800000000002</v>
      </c>
      <c r="P33" s="85">
        <v>26.9877</v>
      </c>
      <c r="Q33" s="86">
        <v>33.402900000000002</v>
      </c>
      <c r="S33" s="107">
        <v>35.344557142857141</v>
      </c>
      <c r="T33" s="109">
        <f t="shared" si="12"/>
        <v>1.0412013326763994</v>
      </c>
      <c r="U33" s="109">
        <f t="shared" si="13"/>
        <v>0.94506488976480119</v>
      </c>
      <c r="W33" s="82"/>
      <c r="X33" s="87"/>
      <c r="Y33" s="87"/>
      <c r="Z33" s="87"/>
      <c r="AA33" s="87"/>
      <c r="AD33" s="177" t="str">
        <f t="shared" si="0"/>
        <v>Summer</v>
      </c>
      <c r="AE33">
        <f t="shared" si="1"/>
        <v>8</v>
      </c>
      <c r="AF33" s="175">
        <v>43678</v>
      </c>
      <c r="AG33" s="176">
        <v>432</v>
      </c>
      <c r="AH33" s="176">
        <v>312</v>
      </c>
      <c r="AI33">
        <f t="shared" si="2"/>
        <v>27</v>
      </c>
      <c r="AJ33">
        <f t="shared" si="3"/>
        <v>4</v>
      </c>
    </row>
    <row r="34" spans="2:36" x14ac:dyDescent="0.2">
      <c r="B34" s="88">
        <f t="shared" si="8"/>
        <v>44986</v>
      </c>
      <c r="C34" s="81">
        <v>2.462420676503061</v>
      </c>
      <c r="D34" s="81">
        <v>2.8237495426341903</v>
      </c>
      <c r="E34" s="89">
        <f t="shared" si="4"/>
        <v>2023</v>
      </c>
      <c r="G34" s="82"/>
      <c r="H34" s="83"/>
      <c r="I34" s="83"/>
      <c r="K34" s="16">
        <f t="shared" si="10"/>
        <v>3</v>
      </c>
      <c r="L34" s="110">
        <f t="shared" si="11"/>
        <v>2023</v>
      </c>
      <c r="M34" s="84">
        <f t="shared" si="7"/>
        <v>44986</v>
      </c>
      <c r="N34" s="85">
        <v>29.232849999999999</v>
      </c>
      <c r="O34" s="85">
        <v>31.90485</v>
      </c>
      <c r="P34" s="85">
        <v>22.7895</v>
      </c>
      <c r="Q34" s="86">
        <v>31.0518</v>
      </c>
      <c r="S34" s="107">
        <v>31.54778600269179</v>
      </c>
      <c r="T34" s="109">
        <f t="shared" si="12"/>
        <v>1.0113181951113064</v>
      </c>
      <c r="U34" s="109">
        <f t="shared" si="13"/>
        <v>0.98427826273927843</v>
      </c>
      <c r="W34" s="82"/>
      <c r="X34" s="87"/>
      <c r="Y34" s="87"/>
      <c r="Z34" s="87"/>
      <c r="AA34" s="87"/>
      <c r="AD34" s="177" t="str">
        <f t="shared" si="0"/>
        <v>Summer</v>
      </c>
      <c r="AE34">
        <f t="shared" si="1"/>
        <v>9</v>
      </c>
      <c r="AF34" s="175">
        <v>43709</v>
      </c>
      <c r="AG34" s="176">
        <v>384</v>
      </c>
      <c r="AH34" s="176">
        <v>336</v>
      </c>
      <c r="AI34">
        <f t="shared" si="2"/>
        <v>24</v>
      </c>
      <c r="AJ34">
        <f t="shared" si="3"/>
        <v>6</v>
      </c>
    </row>
    <row r="35" spans="2:36" x14ac:dyDescent="0.2">
      <c r="B35" s="88">
        <f t="shared" si="8"/>
        <v>45017</v>
      </c>
      <c r="C35" s="81">
        <v>2.1101171534678307</v>
      </c>
      <c r="D35" s="81">
        <v>2.1107227962280519</v>
      </c>
      <c r="E35" s="89">
        <f t="shared" si="4"/>
        <v>2023</v>
      </c>
      <c r="G35" s="82"/>
      <c r="K35" s="16">
        <f t="shared" si="10"/>
        <v>4</v>
      </c>
      <c r="L35" s="110">
        <f t="shared" si="11"/>
        <v>2023</v>
      </c>
      <c r="M35" s="84">
        <f t="shared" si="7"/>
        <v>45017</v>
      </c>
      <c r="N35" s="85">
        <v>19.91085</v>
      </c>
      <c r="O35" s="85">
        <v>23.140450000000001</v>
      </c>
      <c r="P35" s="85">
        <v>14.972200000000001</v>
      </c>
      <c r="Q35" s="86">
        <v>19.637699999999999</v>
      </c>
      <c r="S35" s="107">
        <v>21.583672222222223</v>
      </c>
      <c r="T35" s="109">
        <f t="shared" si="12"/>
        <v>1.0721275676237774</v>
      </c>
      <c r="U35" s="109">
        <f t="shared" si="13"/>
        <v>0.90984054047027829</v>
      </c>
      <c r="X35" s="96"/>
      <c r="Y35" s="96"/>
      <c r="Z35" s="96"/>
      <c r="AA35" s="96"/>
      <c r="AD35" s="177" t="str">
        <f t="shared" si="0"/>
        <v>Winter</v>
      </c>
      <c r="AE35">
        <f t="shared" si="1"/>
        <v>10</v>
      </c>
      <c r="AF35" s="175">
        <v>43739</v>
      </c>
      <c r="AG35" s="176">
        <v>432</v>
      </c>
      <c r="AH35" s="176">
        <v>312</v>
      </c>
      <c r="AI35">
        <f t="shared" si="2"/>
        <v>27</v>
      </c>
      <c r="AJ35">
        <f t="shared" si="3"/>
        <v>4</v>
      </c>
    </row>
    <row r="36" spans="2:36" x14ac:dyDescent="0.2">
      <c r="B36" s="88">
        <f t="shared" si="8"/>
        <v>45047</v>
      </c>
      <c r="C36" s="81">
        <v>1.9650805179162902</v>
      </c>
      <c r="D36" s="81">
        <v>2.0568703767463972</v>
      </c>
      <c r="E36" s="89">
        <f t="shared" si="4"/>
        <v>2023</v>
      </c>
      <c r="G36" s="82"/>
      <c r="K36" s="16">
        <f t="shared" si="10"/>
        <v>5</v>
      </c>
      <c r="L36" s="110">
        <f t="shared" si="11"/>
        <v>2023</v>
      </c>
      <c r="M36" s="84">
        <f t="shared" si="7"/>
        <v>45047</v>
      </c>
      <c r="N36" s="85">
        <v>18.530349999999999</v>
      </c>
      <c r="O36" s="85">
        <v>23.793199999999999</v>
      </c>
      <c r="P36" s="85">
        <v>9.7195499999999999</v>
      </c>
      <c r="Q36" s="86">
        <v>21.141200000000001</v>
      </c>
      <c r="S36" s="107">
        <v>22.624038709677418</v>
      </c>
      <c r="T36" s="109">
        <f t="shared" si="12"/>
        <v>1.0516778328275433</v>
      </c>
      <c r="U36" s="109">
        <f t="shared" si="13"/>
        <v>0.93445738275531087</v>
      </c>
      <c r="X36" s="98" t="s">
        <v>64</v>
      </c>
      <c r="Y36" s="98"/>
      <c r="Z36" s="98"/>
      <c r="AA36" s="98"/>
      <c r="AD36" s="177" t="str">
        <f t="shared" si="0"/>
        <v>Winter</v>
      </c>
      <c r="AE36">
        <f t="shared" si="1"/>
        <v>11</v>
      </c>
      <c r="AF36" s="175">
        <v>43770</v>
      </c>
      <c r="AG36" s="176">
        <v>400</v>
      </c>
      <c r="AH36" s="176">
        <v>320</v>
      </c>
      <c r="AI36">
        <f t="shared" si="2"/>
        <v>25</v>
      </c>
      <c r="AJ36">
        <f t="shared" si="3"/>
        <v>5</v>
      </c>
    </row>
    <row r="37" spans="2:36" x14ac:dyDescent="0.2">
      <c r="B37" s="88">
        <f t="shared" si="8"/>
        <v>45078</v>
      </c>
      <c r="C37" s="81">
        <v>2.0719760313158688</v>
      </c>
      <c r="D37" s="81">
        <v>2.1017646533719687</v>
      </c>
      <c r="E37" s="89">
        <f t="shared" si="4"/>
        <v>2023</v>
      </c>
      <c r="K37" s="16">
        <f t="shared" si="10"/>
        <v>6</v>
      </c>
      <c r="L37" s="110">
        <f t="shared" si="11"/>
        <v>2023</v>
      </c>
      <c r="M37" s="84">
        <f t="shared" si="7"/>
        <v>45078</v>
      </c>
      <c r="N37" s="85">
        <v>18.912600000000001</v>
      </c>
      <c r="O37" s="85">
        <v>48.61665</v>
      </c>
      <c r="P37" s="85">
        <v>7.9928499999999998</v>
      </c>
      <c r="Q37" s="86">
        <v>29.684650000000001</v>
      </c>
      <c r="S37" s="107">
        <v>40.623138888888889</v>
      </c>
      <c r="T37" s="109">
        <f t="shared" si="12"/>
        <v>1.1967723649562065</v>
      </c>
      <c r="U37" s="109">
        <f t="shared" si="13"/>
        <v>0.73073255321782271</v>
      </c>
      <c r="X37" s="99">
        <f>ROUND(AVERAGE(X8:X34)-AVERAGE(N8:N247),2)</f>
        <v>0</v>
      </c>
      <c r="Y37" s="99">
        <f>ROUND(AVERAGE(Y8:Y34)-AVERAGE(O8:O247),2)</f>
        <v>0</v>
      </c>
      <c r="Z37" s="99">
        <f>ROUND(AVERAGE(Z8:Z34)-AVERAGE(P8:P247),2)</f>
        <v>0</v>
      </c>
      <c r="AA37" s="99">
        <f>ROUND(AVERAGE(AA8:AA34)-AVERAGE(Q8:Q247),2)</f>
        <v>0</v>
      </c>
      <c r="AD37" s="177" t="str">
        <f t="shared" si="0"/>
        <v>Winter</v>
      </c>
      <c r="AE37">
        <f t="shared" si="1"/>
        <v>12</v>
      </c>
      <c r="AF37" s="175">
        <v>43800</v>
      </c>
      <c r="AG37" s="176">
        <v>400</v>
      </c>
      <c r="AH37" s="176">
        <v>344</v>
      </c>
      <c r="AI37">
        <f t="shared" si="2"/>
        <v>25</v>
      </c>
      <c r="AJ37">
        <f t="shared" si="3"/>
        <v>6</v>
      </c>
    </row>
    <row r="38" spans="2:36" x14ac:dyDescent="0.2">
      <c r="B38" s="88">
        <f t="shared" si="8"/>
        <v>45108</v>
      </c>
      <c r="C38" s="81">
        <v>2.2355813710729699</v>
      </c>
      <c r="D38" s="81">
        <v>2.3190902346839923</v>
      </c>
      <c r="E38" s="89">
        <f t="shared" si="4"/>
        <v>2023</v>
      </c>
      <c r="K38" s="16">
        <f t="shared" si="10"/>
        <v>7</v>
      </c>
      <c r="L38" s="110">
        <f t="shared" si="11"/>
        <v>2023</v>
      </c>
      <c r="M38" s="84">
        <f t="shared" si="7"/>
        <v>45108</v>
      </c>
      <c r="N38" s="85">
        <v>54.126300000000001</v>
      </c>
      <c r="O38" s="85">
        <v>110.12730000000001</v>
      </c>
      <c r="P38" s="85">
        <v>30.449100000000001</v>
      </c>
      <c r="Q38" s="86">
        <v>53.1417</v>
      </c>
      <c r="S38" s="107">
        <v>83.779119354838727</v>
      </c>
      <c r="T38" s="109">
        <f t="shared" si="12"/>
        <v>1.314495793797569</v>
      </c>
      <c r="U38" s="109">
        <f t="shared" si="13"/>
        <v>0.63430721651445432</v>
      </c>
      <c r="AD38" s="177" t="str">
        <f t="shared" si="0"/>
        <v>Winter</v>
      </c>
      <c r="AE38">
        <f t="shared" si="1"/>
        <v>1</v>
      </c>
      <c r="AF38" s="175">
        <v>43831</v>
      </c>
      <c r="AG38" s="176">
        <v>416</v>
      </c>
      <c r="AH38" s="176">
        <v>328</v>
      </c>
      <c r="AI38">
        <f t="shared" si="2"/>
        <v>26</v>
      </c>
      <c r="AJ38">
        <f t="shared" si="3"/>
        <v>5</v>
      </c>
    </row>
    <row r="39" spans="2:36" x14ac:dyDescent="0.2">
      <c r="B39" s="88">
        <f t="shared" si="8"/>
        <v>45139</v>
      </c>
      <c r="C39" s="81">
        <v>2.2476259359630633</v>
      </c>
      <c r="D39" s="81">
        <v>2.34705206787639</v>
      </c>
      <c r="E39" s="89">
        <f t="shared" si="4"/>
        <v>2023</v>
      </c>
      <c r="K39" s="16">
        <f t="shared" si="10"/>
        <v>8</v>
      </c>
      <c r="L39" s="110">
        <f t="shared" si="11"/>
        <v>2023</v>
      </c>
      <c r="M39" s="84">
        <f t="shared" si="7"/>
        <v>45139</v>
      </c>
      <c r="N39" s="85">
        <v>63.455550000000002</v>
      </c>
      <c r="O39" s="85">
        <v>109.87560000000001</v>
      </c>
      <c r="P39" s="85">
        <v>38.160249999999998</v>
      </c>
      <c r="Q39" s="86">
        <v>54.496099999999998</v>
      </c>
      <c r="S39" s="107">
        <v>86.651938709677438</v>
      </c>
      <c r="T39" s="109">
        <f t="shared" si="12"/>
        <v>1.2680108678021871</v>
      </c>
      <c r="U39" s="109">
        <f t="shared" si="13"/>
        <v>0.62890802919697142</v>
      </c>
      <c r="AD39" s="177" t="str">
        <f t="shared" si="0"/>
        <v>Winter</v>
      </c>
      <c r="AE39">
        <f t="shared" si="1"/>
        <v>2</v>
      </c>
      <c r="AF39" s="175">
        <v>43862</v>
      </c>
      <c r="AG39" s="176">
        <v>400</v>
      </c>
      <c r="AH39" s="176">
        <v>296</v>
      </c>
      <c r="AI39">
        <f t="shared" si="2"/>
        <v>25</v>
      </c>
      <c r="AJ39">
        <f t="shared" si="3"/>
        <v>4</v>
      </c>
    </row>
    <row r="40" spans="2:36" x14ac:dyDescent="0.2">
      <c r="B40" s="88">
        <f t="shared" si="8"/>
        <v>45170</v>
      </c>
      <c r="C40" s="81">
        <v>2.2345776573321285</v>
      </c>
      <c r="D40" s="81">
        <v>2.3375243321219434</v>
      </c>
      <c r="E40" s="89">
        <f t="shared" si="4"/>
        <v>2023</v>
      </c>
      <c r="K40" s="16">
        <f t="shared" si="10"/>
        <v>9</v>
      </c>
      <c r="L40" s="110">
        <f t="shared" si="11"/>
        <v>2023</v>
      </c>
      <c r="M40" s="84">
        <f t="shared" si="7"/>
        <v>45170</v>
      </c>
      <c r="N40" s="85">
        <v>51.4726</v>
      </c>
      <c r="O40" s="85">
        <v>88.077699999999993</v>
      </c>
      <c r="P40" s="85">
        <v>30.978449999999999</v>
      </c>
      <c r="Q40" s="86">
        <v>50.634300000000003</v>
      </c>
      <c r="S40" s="107">
        <v>71.436188888888879</v>
      </c>
      <c r="T40" s="109">
        <f t="shared" si="12"/>
        <v>1.2329563120590763</v>
      </c>
      <c r="U40" s="109">
        <f t="shared" si="13"/>
        <v>0.7088046099261549</v>
      </c>
      <c r="AD40" s="177" t="str">
        <f t="shared" si="0"/>
        <v>Winter</v>
      </c>
      <c r="AE40">
        <f t="shared" si="1"/>
        <v>3</v>
      </c>
      <c r="AF40" s="175">
        <v>43891</v>
      </c>
      <c r="AG40" s="176">
        <v>416</v>
      </c>
      <c r="AH40" s="176">
        <v>328</v>
      </c>
      <c r="AI40">
        <f t="shared" si="2"/>
        <v>26</v>
      </c>
      <c r="AJ40">
        <f t="shared" si="3"/>
        <v>5</v>
      </c>
    </row>
    <row r="41" spans="2:36" x14ac:dyDescent="0.2">
      <c r="B41" s="88">
        <f t="shared" si="8"/>
        <v>45200</v>
      </c>
      <c r="C41" s="81">
        <v>2.2190200943490916</v>
      </c>
      <c r="D41" s="81">
        <v>2.2968243304752312</v>
      </c>
      <c r="E41" s="89">
        <f t="shared" si="4"/>
        <v>2023</v>
      </c>
      <c r="K41" s="16">
        <f t="shared" si="10"/>
        <v>10</v>
      </c>
      <c r="L41" s="110">
        <f t="shared" si="11"/>
        <v>2023</v>
      </c>
      <c r="M41" s="84">
        <f t="shared" si="7"/>
        <v>45200</v>
      </c>
      <c r="N41" s="85">
        <v>30.353999999999999</v>
      </c>
      <c r="O41" s="85">
        <v>31.184550000000002</v>
      </c>
      <c r="P41" s="85">
        <v>25.594650000000001</v>
      </c>
      <c r="Q41" s="86">
        <v>30.921150000000001</v>
      </c>
      <c r="S41" s="107">
        <v>31.06842741935484</v>
      </c>
      <c r="T41" s="109">
        <f t="shared" si="12"/>
        <v>1.0037376394716657</v>
      </c>
      <c r="U41" s="109">
        <f t="shared" si="13"/>
        <v>0.99525957920666785</v>
      </c>
      <c r="AD41" s="177" t="str">
        <f t="shared" si="0"/>
        <v>Winter</v>
      </c>
      <c r="AE41">
        <f t="shared" si="1"/>
        <v>4</v>
      </c>
      <c r="AF41" s="175">
        <v>43922</v>
      </c>
      <c r="AG41" s="176">
        <v>416</v>
      </c>
      <c r="AH41" s="176">
        <v>304</v>
      </c>
      <c r="AI41">
        <f t="shared" si="2"/>
        <v>26</v>
      </c>
      <c r="AJ41">
        <f t="shared" si="3"/>
        <v>4</v>
      </c>
    </row>
    <row r="42" spans="2:36" x14ac:dyDescent="0.2">
      <c r="B42" s="88">
        <f t="shared" si="8"/>
        <v>45231</v>
      </c>
      <c r="C42" s="81">
        <v>2.5050785104888083</v>
      </c>
      <c r="D42" s="81">
        <v>2.9053048894453504</v>
      </c>
      <c r="E42" s="89">
        <f t="shared" si="4"/>
        <v>2023</v>
      </c>
      <c r="K42" s="16">
        <f t="shared" si="10"/>
        <v>11</v>
      </c>
      <c r="L42" s="110">
        <f t="shared" si="11"/>
        <v>2023</v>
      </c>
      <c r="M42" s="84">
        <f t="shared" si="7"/>
        <v>45231</v>
      </c>
      <c r="N42" s="85">
        <v>33.029299999999999</v>
      </c>
      <c r="O42" s="85">
        <v>31.229749999999999</v>
      </c>
      <c r="P42" s="85">
        <v>27.569749999999999</v>
      </c>
      <c r="Q42" s="86">
        <v>31.090900000000001</v>
      </c>
      <c r="S42" s="107">
        <v>31.167931900138697</v>
      </c>
      <c r="T42" s="109">
        <f t="shared" si="12"/>
        <v>1.0019833879276741</v>
      </c>
      <c r="U42" s="109">
        <f t="shared" si="13"/>
        <v>0.99752848856364595</v>
      </c>
      <c r="AD42" s="177" t="str">
        <f t="shared" si="0"/>
        <v>Winter</v>
      </c>
      <c r="AE42">
        <f t="shared" si="1"/>
        <v>5</v>
      </c>
      <c r="AF42" s="175">
        <v>43952</v>
      </c>
      <c r="AG42" s="176">
        <v>400</v>
      </c>
      <c r="AH42" s="176">
        <v>344</v>
      </c>
      <c r="AI42">
        <f t="shared" si="2"/>
        <v>25</v>
      </c>
      <c r="AJ42">
        <f t="shared" si="3"/>
        <v>6</v>
      </c>
    </row>
    <row r="43" spans="2:36" x14ac:dyDescent="0.2">
      <c r="B43" s="90">
        <f t="shared" si="8"/>
        <v>45261</v>
      </c>
      <c r="C43" s="91">
        <v>2.7509883769948811</v>
      </c>
      <c r="D43" s="91">
        <v>3.2444715698346176</v>
      </c>
      <c r="E43" s="92">
        <f t="shared" si="4"/>
        <v>2023</v>
      </c>
      <c r="K43" s="16">
        <f t="shared" si="10"/>
        <v>12</v>
      </c>
      <c r="L43" s="110">
        <f t="shared" si="11"/>
        <v>2023</v>
      </c>
      <c r="M43" s="93">
        <f t="shared" si="7"/>
        <v>45261</v>
      </c>
      <c r="N43" s="94">
        <v>39.782800000000002</v>
      </c>
      <c r="O43" s="94">
        <v>35.052500000000002</v>
      </c>
      <c r="P43" s="94">
        <v>32.270049999999998</v>
      </c>
      <c r="Q43" s="95">
        <v>34.944249999999997</v>
      </c>
      <c r="S43" s="107">
        <v>35.002448924731183</v>
      </c>
      <c r="T43" s="109">
        <f t="shared" si="12"/>
        <v>1.0014299306707495</v>
      </c>
      <c r="U43" s="109">
        <f t="shared" si="13"/>
        <v>0.99833728991773296</v>
      </c>
      <c r="AD43" s="177" t="str">
        <f t="shared" si="0"/>
        <v>Summer</v>
      </c>
      <c r="AE43">
        <f t="shared" si="1"/>
        <v>6</v>
      </c>
      <c r="AF43" s="175">
        <v>43983</v>
      </c>
      <c r="AG43" s="176">
        <v>416</v>
      </c>
      <c r="AH43" s="176">
        <v>304</v>
      </c>
      <c r="AI43">
        <f t="shared" si="2"/>
        <v>26</v>
      </c>
      <c r="AJ43">
        <f t="shared" si="3"/>
        <v>4</v>
      </c>
    </row>
    <row r="44" spans="2:36" x14ac:dyDescent="0.2">
      <c r="B44" s="234">
        <f t="shared" si="8"/>
        <v>45292</v>
      </c>
      <c r="C44" s="81">
        <v>2.9226234266787112</v>
      </c>
      <c r="D44" s="81">
        <v>3.3173276796525863</v>
      </c>
      <c r="E44" s="233">
        <f t="shared" si="4"/>
        <v>2024</v>
      </c>
      <c r="K44" s="16">
        <f t="shared" si="10"/>
        <v>1</v>
      </c>
      <c r="L44" s="110">
        <f t="shared" si="11"/>
        <v>2024</v>
      </c>
      <c r="M44" s="84">
        <f t="shared" si="7"/>
        <v>45292</v>
      </c>
      <c r="N44" s="232">
        <v>37.501800000000003</v>
      </c>
      <c r="O44" s="232">
        <v>38.769150000000003</v>
      </c>
      <c r="P44" s="232">
        <v>28.695250000000001</v>
      </c>
      <c r="Q44" s="231">
        <v>34.494199999999999</v>
      </c>
      <c r="S44" s="107">
        <v>36.884494623655918</v>
      </c>
      <c r="T44" s="109">
        <f t="shared" si="12"/>
        <v>1.0510961420394618</v>
      </c>
      <c r="U44" s="109">
        <f t="shared" si="13"/>
        <v>0.93519513692556056</v>
      </c>
      <c r="AD44" s="177" t="str">
        <f t="shared" si="0"/>
        <v>Summer</v>
      </c>
      <c r="AE44">
        <f t="shared" si="1"/>
        <v>7</v>
      </c>
      <c r="AF44" s="175">
        <v>44013</v>
      </c>
      <c r="AG44" s="176">
        <v>416</v>
      </c>
      <c r="AH44" s="176">
        <v>328</v>
      </c>
      <c r="AI44">
        <f t="shared" si="2"/>
        <v>26</v>
      </c>
      <c r="AJ44">
        <f t="shared" si="3"/>
        <v>5</v>
      </c>
    </row>
    <row r="45" spans="2:36" x14ac:dyDescent="0.2">
      <c r="B45" s="88">
        <f t="shared" si="8"/>
        <v>45323</v>
      </c>
      <c r="C45" s="81">
        <v>2.8634043159690856</v>
      </c>
      <c r="D45" s="81">
        <v>3.2639930718967176</v>
      </c>
      <c r="E45" s="89">
        <f t="shared" si="4"/>
        <v>2024</v>
      </c>
      <c r="K45" s="16">
        <f t="shared" si="10"/>
        <v>2</v>
      </c>
      <c r="L45" s="110">
        <f t="shared" si="11"/>
        <v>2024</v>
      </c>
      <c r="M45" s="84">
        <f t="shared" si="7"/>
        <v>45323</v>
      </c>
      <c r="N45" s="85">
        <v>32.119549999999997</v>
      </c>
      <c r="O45" s="85">
        <v>38.218000000000004</v>
      </c>
      <c r="P45" s="85">
        <v>26.36515</v>
      </c>
      <c r="Q45" s="86">
        <v>33.393000000000001</v>
      </c>
      <c r="S45" s="107">
        <v>36.16598850574713</v>
      </c>
      <c r="T45" s="109">
        <f t="shared" si="12"/>
        <v>1.0567387089095266</v>
      </c>
      <c r="U45" s="109">
        <f t="shared" si="13"/>
        <v>0.92332606904118009</v>
      </c>
      <c r="AD45" s="177" t="str">
        <f t="shared" si="0"/>
        <v>Summer</v>
      </c>
      <c r="AE45">
        <f t="shared" si="1"/>
        <v>8</v>
      </c>
      <c r="AF45" s="175">
        <v>44044</v>
      </c>
      <c r="AG45" s="176">
        <v>416</v>
      </c>
      <c r="AH45" s="176">
        <v>328</v>
      </c>
      <c r="AI45">
        <f t="shared" si="2"/>
        <v>26</v>
      </c>
      <c r="AJ45">
        <f t="shared" si="3"/>
        <v>5</v>
      </c>
    </row>
    <row r="46" spans="2:36" x14ac:dyDescent="0.2">
      <c r="B46" s="88">
        <f t="shared" si="8"/>
        <v>45352</v>
      </c>
      <c r="C46" s="81">
        <v>2.4794838100973604</v>
      </c>
      <c r="D46" s="81">
        <v>2.8517113758265884</v>
      </c>
      <c r="E46" s="89">
        <f t="shared" si="4"/>
        <v>2024</v>
      </c>
      <c r="K46" s="16">
        <f t="shared" si="10"/>
        <v>3</v>
      </c>
      <c r="L46" s="110">
        <f t="shared" si="11"/>
        <v>2024</v>
      </c>
      <c r="M46" s="84">
        <f t="shared" si="7"/>
        <v>45352</v>
      </c>
      <c r="N46" s="85">
        <v>26.035250000000001</v>
      </c>
      <c r="O46" s="85">
        <v>34.290900000000001</v>
      </c>
      <c r="P46" s="85">
        <v>22.228100000000001</v>
      </c>
      <c r="Q46" s="86">
        <v>30.91405</v>
      </c>
      <c r="S46" s="107">
        <v>32.804722409152085</v>
      </c>
      <c r="T46" s="109">
        <f t="shared" si="12"/>
        <v>1.0453037697533845</v>
      </c>
      <c r="U46" s="109">
        <f t="shared" si="13"/>
        <v>0.94236584642994536</v>
      </c>
      <c r="AD46" s="177" t="str">
        <f t="shared" si="0"/>
        <v>Summer</v>
      </c>
      <c r="AE46">
        <f t="shared" si="1"/>
        <v>9</v>
      </c>
      <c r="AF46" s="175">
        <v>44075</v>
      </c>
      <c r="AG46" s="176">
        <v>400</v>
      </c>
      <c r="AH46" s="176">
        <v>320</v>
      </c>
      <c r="AI46">
        <f t="shared" si="2"/>
        <v>25</v>
      </c>
      <c r="AJ46">
        <f t="shared" si="3"/>
        <v>5</v>
      </c>
    </row>
    <row r="47" spans="2:36" x14ac:dyDescent="0.2">
      <c r="B47" s="88">
        <f t="shared" si="8"/>
        <v>45383</v>
      </c>
      <c r="C47" s="81">
        <v>2.1281840008029711</v>
      </c>
      <c r="D47" s="81">
        <v>2.1396684716994412</v>
      </c>
      <c r="E47" s="89">
        <f t="shared" si="4"/>
        <v>2024</v>
      </c>
      <c r="K47" s="16">
        <f t="shared" si="10"/>
        <v>4</v>
      </c>
      <c r="L47" s="110">
        <f t="shared" si="11"/>
        <v>2024</v>
      </c>
      <c r="M47" s="84">
        <f t="shared" si="7"/>
        <v>45383</v>
      </c>
      <c r="N47" s="85">
        <v>22.681650000000001</v>
      </c>
      <c r="O47" s="85">
        <v>24.46285</v>
      </c>
      <c r="P47" s="85">
        <v>17.91395</v>
      </c>
      <c r="Q47" s="86">
        <v>24.088100000000001</v>
      </c>
      <c r="S47" s="107">
        <v>24.304622222222221</v>
      </c>
      <c r="T47" s="109">
        <f t="shared" si="12"/>
        <v>1.0065101928485483</v>
      </c>
      <c r="U47" s="109">
        <f t="shared" si="13"/>
        <v>0.9910913150493551</v>
      </c>
      <c r="AD47" s="177" t="str">
        <f t="shared" si="0"/>
        <v>Winter</v>
      </c>
      <c r="AE47">
        <f t="shared" si="1"/>
        <v>10</v>
      </c>
      <c r="AF47" s="175">
        <v>44105</v>
      </c>
      <c r="AG47" s="176">
        <v>432</v>
      </c>
      <c r="AH47" s="176">
        <v>312</v>
      </c>
      <c r="AI47">
        <f t="shared" si="2"/>
        <v>27</v>
      </c>
      <c r="AJ47">
        <f t="shared" si="3"/>
        <v>4</v>
      </c>
    </row>
    <row r="48" spans="2:36" x14ac:dyDescent="0.2">
      <c r="B48" s="88">
        <f t="shared" si="8"/>
        <v>45413</v>
      </c>
      <c r="C48" s="81">
        <v>2.3705808692160995</v>
      </c>
      <c r="D48" s="81">
        <v>2.5239883345771728</v>
      </c>
      <c r="E48" s="89">
        <f t="shared" si="4"/>
        <v>2024</v>
      </c>
      <c r="K48" s="16">
        <f t="shared" si="10"/>
        <v>5</v>
      </c>
      <c r="L48" s="110">
        <f t="shared" si="11"/>
        <v>2024</v>
      </c>
      <c r="M48" s="84">
        <f t="shared" si="7"/>
        <v>45413</v>
      </c>
      <c r="N48" s="85">
        <v>15.35561</v>
      </c>
      <c r="O48" s="85">
        <v>22.986650000000001</v>
      </c>
      <c r="P48" s="85">
        <v>10.49916</v>
      </c>
      <c r="Q48" s="86">
        <v>24.78341</v>
      </c>
      <c r="S48" s="107">
        <v>23.778770000000002</v>
      </c>
      <c r="T48" s="109">
        <f t="shared" si="12"/>
        <v>0.96668793213442072</v>
      </c>
      <c r="U48" s="109">
        <f t="shared" si="13"/>
        <v>1.042249451927076</v>
      </c>
      <c r="AD48" s="177" t="str">
        <f t="shared" si="0"/>
        <v>Winter</v>
      </c>
      <c r="AE48">
        <f t="shared" si="1"/>
        <v>11</v>
      </c>
      <c r="AF48" s="175">
        <v>44136</v>
      </c>
      <c r="AG48" s="176">
        <v>384</v>
      </c>
      <c r="AH48" s="176">
        <v>336</v>
      </c>
      <c r="AI48">
        <f t="shared" si="2"/>
        <v>24</v>
      </c>
      <c r="AJ48">
        <f t="shared" si="3"/>
        <v>6</v>
      </c>
    </row>
    <row r="49" spans="2:36" x14ac:dyDescent="0.2">
      <c r="B49" s="88">
        <f t="shared" si="8"/>
        <v>45444</v>
      </c>
      <c r="C49" s="81">
        <v>2.4945395162099766</v>
      </c>
      <c r="D49" s="81">
        <v>2.5789799398555546</v>
      </c>
      <c r="E49" s="89">
        <f t="shared" si="4"/>
        <v>2024</v>
      </c>
      <c r="K49" s="16">
        <f t="shared" si="10"/>
        <v>6</v>
      </c>
      <c r="L49" s="110">
        <f t="shared" si="11"/>
        <v>2024</v>
      </c>
      <c r="M49" s="84">
        <f t="shared" si="7"/>
        <v>45444</v>
      </c>
      <c r="N49" s="85">
        <v>20.100149999999999</v>
      </c>
      <c r="O49" s="85">
        <v>41.197560000000003</v>
      </c>
      <c r="P49" s="85">
        <v>12.32076</v>
      </c>
      <c r="Q49" s="86">
        <v>30.34365</v>
      </c>
      <c r="S49" s="107">
        <v>36.373600000000003</v>
      </c>
      <c r="T49" s="109">
        <f t="shared" si="12"/>
        <v>1.1326225614181713</v>
      </c>
      <c r="U49" s="109">
        <f t="shared" si="13"/>
        <v>0.8342217982272857</v>
      </c>
      <c r="AD49" s="177" t="str">
        <f t="shared" si="0"/>
        <v>Winter</v>
      </c>
      <c r="AE49">
        <f t="shared" si="1"/>
        <v>12</v>
      </c>
      <c r="AF49" s="175">
        <v>44166</v>
      </c>
      <c r="AG49" s="176">
        <v>416</v>
      </c>
      <c r="AH49" s="176">
        <v>328</v>
      </c>
      <c r="AI49">
        <f t="shared" si="2"/>
        <v>26</v>
      </c>
      <c r="AJ49">
        <f t="shared" si="3"/>
        <v>5</v>
      </c>
    </row>
    <row r="50" spans="2:36" x14ac:dyDescent="0.2">
      <c r="B50" s="88">
        <f t="shared" si="8"/>
        <v>45474</v>
      </c>
      <c r="C50" s="81">
        <v>2.599226859379705</v>
      </c>
      <c r="D50" s="81">
        <v>2.7006656954150627</v>
      </c>
      <c r="E50" s="89">
        <f t="shared" si="4"/>
        <v>2024</v>
      </c>
      <c r="K50" s="16">
        <f t="shared" si="10"/>
        <v>7</v>
      </c>
      <c r="L50" s="110">
        <f t="shared" si="11"/>
        <v>2024</v>
      </c>
      <c r="M50" s="84">
        <f t="shared" si="7"/>
        <v>45474</v>
      </c>
      <c r="N50" s="85">
        <v>60.177759999999999</v>
      </c>
      <c r="O50" s="85">
        <v>94.314670000000007</v>
      </c>
      <c r="P50" s="85">
        <v>27.61673</v>
      </c>
      <c r="Q50" s="86">
        <v>46.398589999999999</v>
      </c>
      <c r="S50" s="107">
        <v>73.19037666666668</v>
      </c>
      <c r="T50" s="109">
        <f t="shared" si="12"/>
        <v>1.2886211862187893</v>
      </c>
      <c r="U50" s="109">
        <f t="shared" si="13"/>
        <v>0.63394386138104752</v>
      </c>
      <c r="AD50" s="177" t="str">
        <f t="shared" si="0"/>
        <v>Winter</v>
      </c>
      <c r="AE50">
        <f t="shared" si="1"/>
        <v>1</v>
      </c>
      <c r="AF50" s="175">
        <v>44197</v>
      </c>
      <c r="AG50" s="176">
        <v>400</v>
      </c>
      <c r="AH50" s="176">
        <v>344</v>
      </c>
      <c r="AI50">
        <f t="shared" si="2"/>
        <v>25</v>
      </c>
      <c r="AJ50">
        <f t="shared" si="3"/>
        <v>6</v>
      </c>
    </row>
    <row r="51" spans="2:36" x14ac:dyDescent="0.2">
      <c r="B51" s="88">
        <f t="shared" si="8"/>
        <v>45505</v>
      </c>
      <c r="C51" s="81">
        <v>2.6355612967981532</v>
      </c>
      <c r="D51" s="81">
        <v>2.7374303279458077</v>
      </c>
      <c r="E51" s="89">
        <f t="shared" si="4"/>
        <v>2024</v>
      </c>
      <c r="K51" s="16">
        <f t="shared" si="10"/>
        <v>8</v>
      </c>
      <c r="L51" s="110">
        <f t="shared" si="11"/>
        <v>2024</v>
      </c>
      <c r="M51" s="84">
        <f t="shared" si="7"/>
        <v>45505</v>
      </c>
      <c r="N51" s="85">
        <v>73.141620000000003</v>
      </c>
      <c r="O51" s="85">
        <v>99.717560000000006</v>
      </c>
      <c r="P51" s="85">
        <v>35.083590000000001</v>
      </c>
      <c r="Q51" s="86">
        <v>49.276859999999999</v>
      </c>
      <c r="S51" s="107">
        <v>78.565008387096782</v>
      </c>
      <c r="T51" s="109">
        <f t="shared" si="12"/>
        <v>1.2692362929395071</v>
      </c>
      <c r="U51" s="109">
        <f t="shared" si="13"/>
        <v>0.62721128669914383</v>
      </c>
      <c r="AD51" s="177" t="str">
        <f t="shared" si="0"/>
        <v>Winter</v>
      </c>
      <c r="AE51">
        <f t="shared" si="1"/>
        <v>2</v>
      </c>
      <c r="AF51" s="175">
        <v>44228</v>
      </c>
      <c r="AG51" s="176">
        <v>384</v>
      </c>
      <c r="AH51" s="176">
        <v>288</v>
      </c>
      <c r="AI51">
        <f t="shared" si="2"/>
        <v>24</v>
      </c>
      <c r="AJ51">
        <f t="shared" si="3"/>
        <v>4</v>
      </c>
    </row>
    <row r="52" spans="2:36" x14ac:dyDescent="0.2">
      <c r="B52" s="88">
        <f t="shared" si="8"/>
        <v>45536</v>
      </c>
      <c r="C52" s="81">
        <v>2.6252230452674898</v>
      </c>
      <c r="D52" s="81">
        <v>2.667577526137392</v>
      </c>
      <c r="E52" s="89">
        <f t="shared" si="4"/>
        <v>2024</v>
      </c>
      <c r="K52" s="16">
        <f t="shared" si="10"/>
        <v>9</v>
      </c>
      <c r="L52" s="110">
        <f t="shared" si="11"/>
        <v>2024</v>
      </c>
      <c r="M52" s="84">
        <f t="shared" si="7"/>
        <v>45536</v>
      </c>
      <c r="N52" s="85">
        <v>42.88008</v>
      </c>
      <c r="O52" s="85">
        <v>66.690100000000001</v>
      </c>
      <c r="P52" s="85">
        <v>28.451160000000002</v>
      </c>
      <c r="Q52" s="86">
        <v>43.521459999999998</v>
      </c>
      <c r="S52" s="107">
        <v>55.878067999999999</v>
      </c>
      <c r="T52" s="109">
        <f t="shared" si="12"/>
        <v>1.1934933040276197</v>
      </c>
      <c r="U52" s="109">
        <f t="shared" si="13"/>
        <v>0.77886479539700615</v>
      </c>
      <c r="AD52" s="177" t="str">
        <f t="shared" si="0"/>
        <v>Winter</v>
      </c>
      <c r="AE52">
        <f t="shared" si="1"/>
        <v>3</v>
      </c>
      <c r="AF52" s="175">
        <v>44256</v>
      </c>
      <c r="AG52" s="176">
        <v>432</v>
      </c>
      <c r="AH52" s="176">
        <v>312</v>
      </c>
      <c r="AI52">
        <f t="shared" si="2"/>
        <v>27</v>
      </c>
      <c r="AJ52">
        <f t="shared" si="3"/>
        <v>4</v>
      </c>
    </row>
    <row r="53" spans="2:36" x14ac:dyDescent="0.2">
      <c r="B53" s="88">
        <f t="shared" si="8"/>
        <v>45566</v>
      </c>
      <c r="C53" s="81">
        <v>2.6436913780989659</v>
      </c>
      <c r="D53" s="81">
        <v>2.6570141669313747</v>
      </c>
      <c r="E53" s="89">
        <f t="shared" si="4"/>
        <v>2024</v>
      </c>
      <c r="K53" s="16">
        <f t="shared" si="10"/>
        <v>10</v>
      </c>
      <c r="L53" s="110">
        <f t="shared" si="11"/>
        <v>2024</v>
      </c>
      <c r="M53" s="84">
        <f t="shared" si="7"/>
        <v>45566</v>
      </c>
      <c r="N53" s="85">
        <v>33.950650000000003</v>
      </c>
      <c r="O53" s="85">
        <v>34.12088</v>
      </c>
      <c r="P53" s="85">
        <v>27.385909999999999</v>
      </c>
      <c r="Q53" s="86">
        <v>31.609020000000001</v>
      </c>
      <c r="S53" s="107">
        <v>33.067519354838709</v>
      </c>
      <c r="T53" s="109">
        <f t="shared" si="12"/>
        <v>1.0318548432332635</v>
      </c>
      <c r="U53" s="109">
        <f t="shared" si="13"/>
        <v>0.95589329398471223</v>
      </c>
      <c r="AD53" s="177" t="str">
        <f t="shared" si="0"/>
        <v>Winter</v>
      </c>
      <c r="AE53">
        <f t="shared" si="1"/>
        <v>4</v>
      </c>
      <c r="AF53" s="175">
        <v>44287</v>
      </c>
      <c r="AG53" s="176">
        <v>416</v>
      </c>
      <c r="AH53" s="176">
        <v>304</v>
      </c>
      <c r="AI53">
        <f t="shared" si="2"/>
        <v>26</v>
      </c>
      <c r="AJ53">
        <f t="shared" si="3"/>
        <v>4</v>
      </c>
    </row>
    <row r="54" spans="2:36" x14ac:dyDescent="0.2">
      <c r="B54" s="88">
        <f t="shared" si="8"/>
        <v>45597</v>
      </c>
      <c r="C54" s="81">
        <v>2.8869915888788515</v>
      </c>
      <c r="D54" s="81">
        <v>3.2508924352343533</v>
      </c>
      <c r="E54" s="89">
        <f t="shared" si="4"/>
        <v>2024</v>
      </c>
      <c r="K54" s="16">
        <f t="shared" si="10"/>
        <v>11</v>
      </c>
      <c r="L54" s="110">
        <f t="shared" si="11"/>
        <v>2024</v>
      </c>
      <c r="M54" s="84">
        <f t="shared" si="7"/>
        <v>45597</v>
      </c>
      <c r="N54" s="85">
        <v>35.614550000000001</v>
      </c>
      <c r="O54" s="85">
        <v>34.482379999999999</v>
      </c>
      <c r="P54" s="85">
        <v>29.669650000000001</v>
      </c>
      <c r="Q54" s="86">
        <v>32.706209999999999</v>
      </c>
      <c r="S54" s="107">
        <v>33.69160251040222</v>
      </c>
      <c r="T54" s="109">
        <f t="shared" si="12"/>
        <v>1.0234710560102811</v>
      </c>
      <c r="U54" s="109">
        <f t="shared" si="13"/>
        <v>0.97075257818033489</v>
      </c>
      <c r="AD54" s="177" t="str">
        <f t="shared" si="0"/>
        <v>Winter</v>
      </c>
      <c r="AE54">
        <f t="shared" si="1"/>
        <v>5</v>
      </c>
      <c r="AF54" s="175">
        <v>44317</v>
      </c>
      <c r="AG54" s="176">
        <v>400</v>
      </c>
      <c r="AH54" s="176">
        <v>344</v>
      </c>
      <c r="AI54">
        <f t="shared" si="2"/>
        <v>25</v>
      </c>
      <c r="AJ54">
        <f t="shared" si="3"/>
        <v>6</v>
      </c>
    </row>
    <row r="55" spans="2:36" x14ac:dyDescent="0.2">
      <c r="B55" s="90">
        <f t="shared" si="8"/>
        <v>45627</v>
      </c>
      <c r="C55" s="91">
        <v>3.1538790725685035</v>
      </c>
      <c r="D55" s="91">
        <v>3.5311321412292718</v>
      </c>
      <c r="E55" s="92">
        <f t="shared" si="4"/>
        <v>2024</v>
      </c>
      <c r="K55" s="16">
        <f t="shared" si="10"/>
        <v>12</v>
      </c>
      <c r="L55" s="110">
        <f t="shared" si="11"/>
        <v>2024</v>
      </c>
      <c r="M55" s="93">
        <f t="shared" si="7"/>
        <v>45627</v>
      </c>
      <c r="N55" s="94">
        <v>43.406460000000003</v>
      </c>
      <c r="O55" s="94">
        <v>38.56673</v>
      </c>
      <c r="P55" s="94">
        <v>33.705710000000003</v>
      </c>
      <c r="Q55" s="95">
        <v>36.389629999999997</v>
      </c>
      <c r="S55" s="107">
        <v>37.56011387096774</v>
      </c>
      <c r="T55" s="109">
        <f t="shared" si="12"/>
        <v>1.0268001351777138</v>
      </c>
      <c r="U55" s="109">
        <f t="shared" si="13"/>
        <v>0.96883705211893745</v>
      </c>
      <c r="AD55" s="177" t="str">
        <f t="shared" si="0"/>
        <v>Summer</v>
      </c>
      <c r="AE55">
        <f t="shared" si="1"/>
        <v>6</v>
      </c>
      <c r="AF55" s="175">
        <v>44348</v>
      </c>
      <c r="AG55" s="176">
        <v>416</v>
      </c>
      <c r="AH55" s="176">
        <v>304</v>
      </c>
      <c r="AI55">
        <f t="shared" si="2"/>
        <v>26</v>
      </c>
      <c r="AJ55">
        <f t="shared" si="3"/>
        <v>4</v>
      </c>
    </row>
    <row r="56" spans="2:36" x14ac:dyDescent="0.2">
      <c r="B56" s="234">
        <f t="shared" si="8"/>
        <v>45658</v>
      </c>
      <c r="C56" s="81">
        <v>3.1961354210579143</v>
      </c>
      <c r="D56" s="81">
        <v>3.6323125524476874</v>
      </c>
      <c r="E56" s="233">
        <f t="shared" si="4"/>
        <v>2025</v>
      </c>
      <c r="K56" s="16">
        <f t="shared" si="10"/>
        <v>1</v>
      </c>
      <c r="L56" s="110">
        <f t="shared" si="11"/>
        <v>2025</v>
      </c>
      <c r="M56" s="84">
        <f t="shared" si="7"/>
        <v>45658</v>
      </c>
      <c r="N56" s="232">
        <v>40.204549999999998</v>
      </c>
      <c r="O56" s="232">
        <v>39.52375</v>
      </c>
      <c r="P56" s="232">
        <v>30.135429999999999</v>
      </c>
      <c r="Q56" s="231">
        <v>35.48892</v>
      </c>
      <c r="S56" s="107">
        <v>37.744953978494621</v>
      </c>
      <c r="T56" s="109">
        <f t="shared" si="12"/>
        <v>1.0471267238137012</v>
      </c>
      <c r="U56" s="109">
        <f t="shared" si="13"/>
        <v>0.94022952101676938</v>
      </c>
      <c r="AD56" s="177" t="str">
        <f t="shared" si="0"/>
        <v>Summer</v>
      </c>
      <c r="AE56">
        <f t="shared" si="1"/>
        <v>7</v>
      </c>
      <c r="AF56" s="175">
        <v>44378</v>
      </c>
      <c r="AG56" s="176">
        <v>416</v>
      </c>
      <c r="AH56" s="176">
        <v>328</v>
      </c>
      <c r="AI56">
        <f t="shared" si="2"/>
        <v>26</v>
      </c>
      <c r="AJ56">
        <f t="shared" si="3"/>
        <v>5</v>
      </c>
    </row>
    <row r="57" spans="2:36" x14ac:dyDescent="0.2">
      <c r="B57" s="88">
        <f t="shared" si="8"/>
        <v>45689</v>
      </c>
      <c r="C57" s="81">
        <v>3.0893402790324198</v>
      </c>
      <c r="D57" s="81">
        <v>3.4450200512312024</v>
      </c>
      <c r="E57" s="89">
        <f t="shared" si="4"/>
        <v>2025</v>
      </c>
      <c r="K57" s="16">
        <f t="shared" si="10"/>
        <v>2</v>
      </c>
      <c r="L57" s="110">
        <f t="shared" si="11"/>
        <v>2025</v>
      </c>
      <c r="M57" s="84">
        <f t="shared" si="7"/>
        <v>45689</v>
      </c>
      <c r="N57" s="85">
        <v>37.140279999999997</v>
      </c>
      <c r="O57" s="85">
        <v>37.777450000000002</v>
      </c>
      <c r="P57" s="85">
        <v>29.356200000000001</v>
      </c>
      <c r="Q57" s="86">
        <v>34.3504</v>
      </c>
      <c r="S57" s="107">
        <v>36.308714285714288</v>
      </c>
      <c r="T57" s="109">
        <f t="shared" si="12"/>
        <v>1.0404513280951837</v>
      </c>
      <c r="U57" s="109">
        <f t="shared" si="13"/>
        <v>0.94606489587308829</v>
      </c>
      <c r="AD57" s="177" t="str">
        <f t="shared" si="0"/>
        <v>Summer</v>
      </c>
      <c r="AE57">
        <f t="shared" si="1"/>
        <v>8</v>
      </c>
      <c r="AF57" s="175">
        <v>44409</v>
      </c>
      <c r="AG57" s="176">
        <v>416</v>
      </c>
      <c r="AH57" s="176">
        <v>328</v>
      </c>
      <c r="AI57">
        <f t="shared" si="2"/>
        <v>26</v>
      </c>
      <c r="AJ57">
        <f t="shared" si="3"/>
        <v>5</v>
      </c>
    </row>
    <row r="58" spans="2:36" x14ac:dyDescent="0.2">
      <c r="B58" s="88">
        <f t="shared" si="8"/>
        <v>45717</v>
      </c>
      <c r="C58" s="81">
        <v>2.7870217002910769</v>
      </c>
      <c r="D58" s="81">
        <v>3.052052732532859</v>
      </c>
      <c r="E58" s="89">
        <f t="shared" si="4"/>
        <v>2025</v>
      </c>
      <c r="K58" s="16">
        <f t="shared" si="10"/>
        <v>3</v>
      </c>
      <c r="L58" s="110">
        <f t="shared" si="11"/>
        <v>2025</v>
      </c>
      <c r="M58" s="84">
        <f t="shared" si="7"/>
        <v>45717</v>
      </c>
      <c r="N58" s="85">
        <v>27.461310000000001</v>
      </c>
      <c r="O58" s="85">
        <v>32.963500000000003</v>
      </c>
      <c r="P58" s="85">
        <v>23.58042</v>
      </c>
      <c r="Q58" s="86">
        <v>31.815390000000001</v>
      </c>
      <c r="S58" s="107">
        <v>32.458207981157472</v>
      </c>
      <c r="T58" s="109">
        <f t="shared" si="12"/>
        <v>1.0155674650657196</v>
      </c>
      <c r="U58" s="109">
        <f t="shared" si="13"/>
        <v>0.9801955184485035</v>
      </c>
      <c r="AD58" s="177" t="str">
        <f t="shared" si="0"/>
        <v>Summer</v>
      </c>
      <c r="AE58">
        <f t="shared" si="1"/>
        <v>9</v>
      </c>
      <c r="AF58" s="175">
        <v>44440</v>
      </c>
      <c r="AG58" s="176">
        <v>400</v>
      </c>
      <c r="AH58" s="176">
        <v>320</v>
      </c>
      <c r="AI58">
        <f t="shared" si="2"/>
        <v>25</v>
      </c>
      <c r="AJ58">
        <f t="shared" si="3"/>
        <v>5</v>
      </c>
    </row>
    <row r="59" spans="2:36" x14ac:dyDescent="0.2">
      <c r="B59" s="88">
        <f t="shared" si="8"/>
        <v>45748</v>
      </c>
      <c r="C59" s="81">
        <v>2.5472344876041353</v>
      </c>
      <c r="D59" s="81">
        <v>2.5359497854428095</v>
      </c>
      <c r="E59" s="89">
        <f t="shared" si="4"/>
        <v>2025</v>
      </c>
      <c r="K59" s="16">
        <f t="shared" si="10"/>
        <v>4</v>
      </c>
      <c r="L59" s="110">
        <f t="shared" si="11"/>
        <v>2025</v>
      </c>
      <c r="M59" s="84">
        <f t="shared" si="7"/>
        <v>45748</v>
      </c>
      <c r="N59" s="85">
        <v>21.066949999999999</v>
      </c>
      <c r="O59" s="85">
        <v>24.66508</v>
      </c>
      <c r="P59" s="85">
        <v>18.84918</v>
      </c>
      <c r="Q59" s="86">
        <v>26.72259</v>
      </c>
      <c r="S59" s="107">
        <v>25.533806444444448</v>
      </c>
      <c r="T59" s="109">
        <f t="shared" si="12"/>
        <v>0.9659774015153364</v>
      </c>
      <c r="U59" s="109">
        <f t="shared" si="13"/>
        <v>1.0465572400316445</v>
      </c>
      <c r="AD59" s="177" t="str">
        <f t="shared" si="0"/>
        <v>Winter</v>
      </c>
      <c r="AE59">
        <f t="shared" si="1"/>
        <v>10</v>
      </c>
      <c r="AF59" s="175">
        <v>44470</v>
      </c>
      <c r="AG59" s="176">
        <v>416</v>
      </c>
      <c r="AH59" s="176">
        <v>328</v>
      </c>
      <c r="AI59">
        <f t="shared" si="2"/>
        <v>26</v>
      </c>
      <c r="AJ59">
        <f t="shared" si="3"/>
        <v>5</v>
      </c>
    </row>
    <row r="60" spans="2:36" x14ac:dyDescent="0.2">
      <c r="B60" s="88">
        <f t="shared" si="8"/>
        <v>45778</v>
      </c>
      <c r="C60" s="81">
        <v>2.7760812205159087</v>
      </c>
      <c r="D60" s="81">
        <v>2.9911062924079479</v>
      </c>
      <c r="E60" s="89">
        <f t="shared" si="4"/>
        <v>2025</v>
      </c>
      <c r="K60" s="16">
        <f t="shared" si="10"/>
        <v>5</v>
      </c>
      <c r="L60" s="110">
        <f t="shared" si="11"/>
        <v>2025</v>
      </c>
      <c r="M60" s="84">
        <f t="shared" si="7"/>
        <v>45778</v>
      </c>
      <c r="N60" s="85">
        <v>12.18088</v>
      </c>
      <c r="O60" s="85">
        <v>22.180109999999999</v>
      </c>
      <c r="P60" s="85">
        <v>11.27877</v>
      </c>
      <c r="Q60" s="86">
        <v>28.425619999999999</v>
      </c>
      <c r="S60" s="107">
        <v>24.933506881720426</v>
      </c>
      <c r="T60" s="109">
        <f t="shared" si="12"/>
        <v>0.88957041242605817</v>
      </c>
      <c r="U60" s="109">
        <f t="shared" si="13"/>
        <v>1.1400570378986581</v>
      </c>
      <c r="AD60" s="177" t="str">
        <f t="shared" si="0"/>
        <v>Winter</v>
      </c>
      <c r="AE60">
        <f t="shared" si="1"/>
        <v>11</v>
      </c>
      <c r="AF60" s="175">
        <v>44501</v>
      </c>
      <c r="AG60" s="176">
        <v>400</v>
      </c>
      <c r="AH60" s="176">
        <v>320</v>
      </c>
      <c r="AI60">
        <f t="shared" si="2"/>
        <v>25</v>
      </c>
      <c r="AJ60">
        <f t="shared" si="3"/>
        <v>5</v>
      </c>
    </row>
    <row r="61" spans="2:36" x14ac:dyDescent="0.2">
      <c r="B61" s="88">
        <f t="shared" si="8"/>
        <v>45809</v>
      </c>
      <c r="C61" s="81">
        <v>2.9170026297300007</v>
      </c>
      <c r="D61" s="81">
        <v>3.0561952263391401</v>
      </c>
      <c r="E61" s="89">
        <f t="shared" si="4"/>
        <v>2025</v>
      </c>
      <c r="K61" s="16">
        <f t="shared" si="10"/>
        <v>6</v>
      </c>
      <c r="L61" s="110">
        <f t="shared" si="11"/>
        <v>2025</v>
      </c>
      <c r="M61" s="84">
        <f t="shared" si="7"/>
        <v>45809</v>
      </c>
      <c r="N61" s="85">
        <v>21.287700000000001</v>
      </c>
      <c r="O61" s="85">
        <v>33.778469999999999</v>
      </c>
      <c r="P61" s="85">
        <v>16.648679999999999</v>
      </c>
      <c r="Q61" s="86">
        <v>31.002659999999999</v>
      </c>
      <c r="S61" s="107">
        <v>32.544776666666664</v>
      </c>
      <c r="T61" s="109">
        <f t="shared" si="12"/>
        <v>1.0379075679630312</v>
      </c>
      <c r="U61" s="109">
        <f t="shared" si="13"/>
        <v>0.9526155400462113</v>
      </c>
      <c r="AD61" s="177" t="str">
        <f t="shared" si="0"/>
        <v>Winter</v>
      </c>
      <c r="AE61">
        <f t="shared" si="1"/>
        <v>12</v>
      </c>
      <c r="AF61" s="175">
        <v>44531</v>
      </c>
      <c r="AG61" s="176">
        <v>416</v>
      </c>
      <c r="AH61" s="176">
        <v>328</v>
      </c>
      <c r="AI61">
        <f t="shared" si="2"/>
        <v>26</v>
      </c>
      <c r="AJ61">
        <f t="shared" si="3"/>
        <v>5</v>
      </c>
    </row>
    <row r="62" spans="2:36" x14ac:dyDescent="0.2">
      <c r="B62" s="88">
        <f t="shared" si="8"/>
        <v>45839</v>
      </c>
      <c r="C62" s="81">
        <v>2.9628723476864396</v>
      </c>
      <c r="D62" s="81">
        <v>3.0822411561461331</v>
      </c>
      <c r="E62" s="89">
        <f t="shared" si="4"/>
        <v>2025</v>
      </c>
      <c r="K62" s="16">
        <f t="shared" si="10"/>
        <v>7</v>
      </c>
      <c r="L62" s="110">
        <f t="shared" si="11"/>
        <v>2025</v>
      </c>
      <c r="M62" s="84">
        <f t="shared" si="7"/>
        <v>45839</v>
      </c>
      <c r="N62" s="85">
        <v>66.229230000000001</v>
      </c>
      <c r="O62" s="85">
        <v>78.502089999999995</v>
      </c>
      <c r="P62" s="85">
        <v>24.78435</v>
      </c>
      <c r="Q62" s="86">
        <v>39.65549</v>
      </c>
      <c r="S62" s="107">
        <v>61.376169569892475</v>
      </c>
      <c r="T62" s="109">
        <f t="shared" si="12"/>
        <v>1.2790320828119663</v>
      </c>
      <c r="U62" s="109">
        <f t="shared" si="13"/>
        <v>0.64610565106774998</v>
      </c>
      <c r="AD62" s="177" t="str">
        <f t="shared" si="0"/>
        <v>Winter</v>
      </c>
      <c r="AE62">
        <f t="shared" si="1"/>
        <v>1</v>
      </c>
      <c r="AF62" s="175">
        <v>44562</v>
      </c>
      <c r="AG62" s="176">
        <v>400</v>
      </c>
      <c r="AH62" s="176">
        <v>344</v>
      </c>
      <c r="AI62">
        <f t="shared" si="2"/>
        <v>25</v>
      </c>
      <c r="AJ62">
        <f t="shared" si="3"/>
        <v>6</v>
      </c>
    </row>
    <row r="63" spans="2:36" x14ac:dyDescent="0.2">
      <c r="B63" s="88">
        <f t="shared" si="8"/>
        <v>45870</v>
      </c>
      <c r="C63" s="81">
        <v>3.0234966576332427</v>
      </c>
      <c r="D63" s="81">
        <v>3.1277568068426467</v>
      </c>
      <c r="E63" s="89">
        <f t="shared" si="4"/>
        <v>2025</v>
      </c>
      <c r="K63" s="16">
        <f t="shared" si="10"/>
        <v>8</v>
      </c>
      <c r="L63" s="110">
        <f t="shared" si="11"/>
        <v>2025</v>
      </c>
      <c r="M63" s="84">
        <f t="shared" si="7"/>
        <v>45870</v>
      </c>
      <c r="N63" s="85">
        <v>82.827699999999993</v>
      </c>
      <c r="O63" s="85">
        <v>89.559520000000006</v>
      </c>
      <c r="P63" s="85">
        <v>32.006929999999997</v>
      </c>
      <c r="Q63" s="86">
        <v>44.05762</v>
      </c>
      <c r="S63" s="107">
        <v>69.499542580645169</v>
      </c>
      <c r="T63" s="109">
        <f t="shared" si="12"/>
        <v>1.2886346682940804</v>
      </c>
      <c r="U63" s="109">
        <f t="shared" si="13"/>
        <v>0.63392676216360522</v>
      </c>
      <c r="AD63" s="177" t="str">
        <f t="shared" si="0"/>
        <v>Winter</v>
      </c>
      <c r="AE63">
        <f t="shared" si="1"/>
        <v>2</v>
      </c>
      <c r="AF63" s="175">
        <v>44593</v>
      </c>
      <c r="AG63" s="176">
        <v>384</v>
      </c>
      <c r="AH63" s="176">
        <v>288</v>
      </c>
      <c r="AI63">
        <f t="shared" si="2"/>
        <v>24</v>
      </c>
      <c r="AJ63">
        <f t="shared" si="3"/>
        <v>4</v>
      </c>
    </row>
    <row r="64" spans="2:36" x14ac:dyDescent="0.2">
      <c r="B64" s="88">
        <f t="shared" si="8"/>
        <v>45901</v>
      </c>
      <c r="C64" s="81">
        <v>3.0158684332028503</v>
      </c>
      <c r="D64" s="81">
        <v>2.9976307201528409</v>
      </c>
      <c r="E64" s="89">
        <f t="shared" si="4"/>
        <v>2025</v>
      </c>
      <c r="K64" s="16">
        <f t="shared" si="10"/>
        <v>9</v>
      </c>
      <c r="L64" s="110">
        <f t="shared" si="11"/>
        <v>2025</v>
      </c>
      <c r="M64" s="84">
        <f t="shared" si="7"/>
        <v>45901</v>
      </c>
      <c r="N64" s="85">
        <v>34.287559999999999</v>
      </c>
      <c r="O64" s="85">
        <v>45.302509999999998</v>
      </c>
      <c r="P64" s="85">
        <v>25.923870000000001</v>
      </c>
      <c r="Q64" s="86">
        <v>36.408619999999999</v>
      </c>
      <c r="S64" s="107">
        <v>41.349669999999996</v>
      </c>
      <c r="T64" s="109">
        <f t="shared" si="12"/>
        <v>1.0955954424787429</v>
      </c>
      <c r="U64" s="109">
        <f t="shared" si="13"/>
        <v>0.88050569690157143</v>
      </c>
      <c r="AD64" s="177" t="str">
        <f t="shared" si="0"/>
        <v>Winter</v>
      </c>
      <c r="AE64">
        <f t="shared" si="1"/>
        <v>3</v>
      </c>
      <c r="AF64" s="175">
        <v>44621</v>
      </c>
      <c r="AG64" s="176">
        <v>432</v>
      </c>
      <c r="AH64" s="176">
        <v>312</v>
      </c>
      <c r="AI64">
        <f t="shared" si="2"/>
        <v>27</v>
      </c>
      <c r="AJ64">
        <f t="shared" si="3"/>
        <v>4</v>
      </c>
    </row>
    <row r="65" spans="2:36" x14ac:dyDescent="0.2">
      <c r="B65" s="88">
        <f t="shared" si="8"/>
        <v>45931</v>
      </c>
      <c r="C65" s="81">
        <v>3.0683626618488407</v>
      </c>
      <c r="D65" s="81">
        <v>3.0171522222149405</v>
      </c>
      <c r="E65" s="89">
        <f t="shared" si="4"/>
        <v>2025</v>
      </c>
      <c r="K65" s="16">
        <f t="shared" si="10"/>
        <v>10</v>
      </c>
      <c r="L65" s="110">
        <f t="shared" si="11"/>
        <v>2025</v>
      </c>
      <c r="M65" s="84">
        <f t="shared" si="7"/>
        <v>45931</v>
      </c>
      <c r="N65" s="85">
        <v>37.5473</v>
      </c>
      <c r="O65" s="85">
        <v>37.057209999999998</v>
      </c>
      <c r="P65" s="85">
        <v>29.17717</v>
      </c>
      <c r="Q65" s="86">
        <v>32.296889999999998</v>
      </c>
      <c r="S65" s="107">
        <v>35.060946774193546</v>
      </c>
      <c r="T65" s="109">
        <f t="shared" si="12"/>
        <v>1.0569369457893758</v>
      </c>
      <c r="U65" s="109">
        <f t="shared" si="13"/>
        <v>0.92116422890701799</v>
      </c>
      <c r="AD65" s="177" t="str">
        <f t="shared" si="0"/>
        <v>Winter</v>
      </c>
      <c r="AE65">
        <f t="shared" si="1"/>
        <v>4</v>
      </c>
      <c r="AF65" s="175">
        <v>44652</v>
      </c>
      <c r="AG65" s="176">
        <v>416</v>
      </c>
      <c r="AH65" s="176">
        <v>304</v>
      </c>
      <c r="AI65">
        <f t="shared" si="2"/>
        <v>26</v>
      </c>
      <c r="AJ65">
        <f t="shared" si="3"/>
        <v>4</v>
      </c>
    </row>
    <row r="66" spans="2:36" x14ac:dyDescent="0.2">
      <c r="B66" s="88">
        <f t="shared" si="8"/>
        <v>45962</v>
      </c>
      <c r="C66" s="81">
        <v>3.269005038642979</v>
      </c>
      <c r="D66" s="81">
        <v>3.5964281998507777</v>
      </c>
      <c r="E66" s="89">
        <f t="shared" si="4"/>
        <v>2025</v>
      </c>
      <c r="K66" s="16">
        <f t="shared" si="10"/>
        <v>11</v>
      </c>
      <c r="L66" s="110">
        <f t="shared" si="11"/>
        <v>2025</v>
      </c>
      <c r="M66" s="84">
        <f t="shared" si="7"/>
        <v>45962</v>
      </c>
      <c r="N66" s="85">
        <v>38.199800000000003</v>
      </c>
      <c r="O66" s="85">
        <v>37.735010000000003</v>
      </c>
      <c r="P66" s="85">
        <v>31.769559999999998</v>
      </c>
      <c r="Q66" s="86">
        <v>34.321530000000003</v>
      </c>
      <c r="S66" s="107">
        <v>36.139527669902918</v>
      </c>
      <c r="T66" s="109">
        <f t="shared" si="12"/>
        <v>1.0441478467751477</v>
      </c>
      <c r="U66" s="109">
        <f t="shared" si="13"/>
        <v>0.94969503512861497</v>
      </c>
      <c r="AD66" s="177" t="str">
        <f t="shared" ref="AD66:AD129" si="16">IF(AND(AE66&gt;=6,AE66&lt;=9),"Summer","Winter")</f>
        <v>Winter</v>
      </c>
      <c r="AE66">
        <f t="shared" ref="AE66:AE129" si="17">MONTH(AF66)</f>
        <v>5</v>
      </c>
      <c r="AF66" s="175">
        <v>44682</v>
      </c>
      <c r="AG66" s="176">
        <v>400</v>
      </c>
      <c r="AH66" s="176">
        <v>344</v>
      </c>
      <c r="AI66">
        <f t="shared" ref="AI66:AI129" si="18">AG66/16</f>
        <v>25</v>
      </c>
      <c r="AJ66">
        <f t="shared" ref="AJ66:AJ129" si="19">EDATE(AF66,1)-AF66-AI66</f>
        <v>6</v>
      </c>
    </row>
    <row r="67" spans="2:36" x14ac:dyDescent="0.2">
      <c r="B67" s="90">
        <f t="shared" si="8"/>
        <v>45992</v>
      </c>
      <c r="C67" s="91">
        <v>3.5568701395162101</v>
      </c>
      <c r="D67" s="91">
        <v>3.8177927126239251</v>
      </c>
      <c r="E67" s="92">
        <f t="shared" si="4"/>
        <v>2025</v>
      </c>
      <c r="K67" s="16">
        <f t="shared" si="10"/>
        <v>12</v>
      </c>
      <c r="L67" s="110">
        <f t="shared" si="11"/>
        <v>2025</v>
      </c>
      <c r="M67" s="93">
        <f t="shared" si="7"/>
        <v>45992</v>
      </c>
      <c r="N67" s="94">
        <v>47.030110000000001</v>
      </c>
      <c r="O67" s="94">
        <v>42.080950000000001</v>
      </c>
      <c r="P67" s="94">
        <v>35.141370000000002</v>
      </c>
      <c r="Q67" s="95">
        <v>37.83502</v>
      </c>
      <c r="S67" s="107">
        <v>40.20908838709677</v>
      </c>
      <c r="T67" s="109">
        <f t="shared" si="12"/>
        <v>1.0465531970007038</v>
      </c>
      <c r="U67" s="109">
        <f t="shared" si="13"/>
        <v>0.94095692087715632</v>
      </c>
      <c r="AD67" s="177" t="str">
        <f t="shared" si="16"/>
        <v>Summer</v>
      </c>
      <c r="AE67">
        <f t="shared" si="17"/>
        <v>6</v>
      </c>
      <c r="AF67" s="175">
        <v>44713</v>
      </c>
      <c r="AG67" s="176">
        <v>416</v>
      </c>
      <c r="AH67" s="176">
        <v>304</v>
      </c>
      <c r="AI67">
        <f t="shared" si="18"/>
        <v>26</v>
      </c>
      <c r="AJ67">
        <f t="shared" si="19"/>
        <v>4</v>
      </c>
    </row>
    <row r="68" spans="2:36" x14ac:dyDescent="0.2">
      <c r="B68" s="234">
        <f t="shared" si="8"/>
        <v>46023</v>
      </c>
      <c r="C68" s="81">
        <v>3.4696474154371173</v>
      </c>
      <c r="D68" s="81">
        <v>3.8462205763695296</v>
      </c>
      <c r="E68" s="233">
        <f t="shared" si="4"/>
        <v>2026</v>
      </c>
      <c r="K68" s="16">
        <f t="shared" si="10"/>
        <v>1</v>
      </c>
      <c r="L68" s="110">
        <f t="shared" si="11"/>
        <v>2026</v>
      </c>
      <c r="M68" s="84">
        <f t="shared" si="7"/>
        <v>46023</v>
      </c>
      <c r="N68" s="232">
        <v>42.907299999999999</v>
      </c>
      <c r="O68" s="232">
        <v>40.27834</v>
      </c>
      <c r="P68" s="232">
        <v>31.575600000000001</v>
      </c>
      <c r="Q68" s="231">
        <v>36.483640000000001</v>
      </c>
      <c r="S68" s="107">
        <v>38.60540774193548</v>
      </c>
      <c r="T68" s="109">
        <f t="shared" si="12"/>
        <v>1.0433341429586116</v>
      </c>
      <c r="U68" s="109">
        <f t="shared" si="13"/>
        <v>0.94503962356468807</v>
      </c>
      <c r="AD68" s="177" t="str">
        <f t="shared" si="16"/>
        <v>Summer</v>
      </c>
      <c r="AE68">
        <f t="shared" si="17"/>
        <v>7</v>
      </c>
      <c r="AF68" s="175">
        <v>44743</v>
      </c>
      <c r="AG68" s="176">
        <v>400</v>
      </c>
      <c r="AH68" s="176">
        <v>344</v>
      </c>
      <c r="AI68">
        <f t="shared" si="18"/>
        <v>25</v>
      </c>
      <c r="AJ68">
        <f t="shared" si="19"/>
        <v>6</v>
      </c>
    </row>
    <row r="69" spans="2:36" x14ac:dyDescent="0.2">
      <c r="B69" s="88">
        <f t="shared" si="8"/>
        <v>46054</v>
      </c>
      <c r="C69" s="81">
        <v>3.3152762420957544</v>
      </c>
      <c r="D69" s="81">
        <v>3.6260470305656876</v>
      </c>
      <c r="E69" s="89">
        <f t="shared" si="4"/>
        <v>2026</v>
      </c>
      <c r="K69" s="16">
        <f t="shared" si="10"/>
        <v>2</v>
      </c>
      <c r="L69" s="110">
        <f t="shared" si="11"/>
        <v>2026</v>
      </c>
      <c r="M69" s="84">
        <f t="shared" si="7"/>
        <v>46054</v>
      </c>
      <c r="N69" s="85">
        <v>42.161009999999997</v>
      </c>
      <c r="O69" s="85">
        <v>37.3369</v>
      </c>
      <c r="P69" s="85">
        <v>32.347250000000003</v>
      </c>
      <c r="Q69" s="86">
        <v>35.307789999999997</v>
      </c>
      <c r="S69" s="107">
        <v>36.467281428571425</v>
      </c>
      <c r="T69" s="109">
        <f t="shared" si="12"/>
        <v>1.0238465423624159</v>
      </c>
      <c r="U69" s="109">
        <f t="shared" si="13"/>
        <v>0.9682046101834455</v>
      </c>
      <c r="AD69" s="177" t="str">
        <f t="shared" si="16"/>
        <v>Summer</v>
      </c>
      <c r="AE69">
        <f t="shared" si="17"/>
        <v>8</v>
      </c>
      <c r="AF69" s="175">
        <v>44774</v>
      </c>
      <c r="AG69" s="176">
        <v>432</v>
      </c>
      <c r="AH69" s="176">
        <v>312</v>
      </c>
      <c r="AI69">
        <f t="shared" si="18"/>
        <v>27</v>
      </c>
      <c r="AJ69">
        <f t="shared" si="19"/>
        <v>4</v>
      </c>
    </row>
    <row r="70" spans="2:36" x14ac:dyDescent="0.2">
      <c r="B70" s="88">
        <f t="shared" si="8"/>
        <v>46082</v>
      </c>
      <c r="C70" s="81">
        <v>3.0945595904847938</v>
      </c>
      <c r="D70" s="81">
        <v>3.2524458704117083</v>
      </c>
      <c r="E70" s="89">
        <f t="shared" si="4"/>
        <v>2026</v>
      </c>
      <c r="K70" s="16">
        <f t="shared" si="10"/>
        <v>3</v>
      </c>
      <c r="L70" s="110">
        <f t="shared" si="11"/>
        <v>2026</v>
      </c>
      <c r="M70" s="84">
        <f t="shared" si="7"/>
        <v>46082</v>
      </c>
      <c r="N70" s="85">
        <v>28.887370000000001</v>
      </c>
      <c r="O70" s="85">
        <v>31.636109999999999</v>
      </c>
      <c r="P70" s="85">
        <v>24.932729999999999</v>
      </c>
      <c r="Q70" s="86">
        <v>32.716720000000002</v>
      </c>
      <c r="S70" s="107">
        <v>32.111694751009416</v>
      </c>
      <c r="T70" s="109">
        <f t="shared" si="12"/>
        <v>0.9851896714048558</v>
      </c>
      <c r="U70" s="109">
        <f t="shared" si="13"/>
        <v>1.0188412742984101</v>
      </c>
      <c r="AD70" s="177" t="str">
        <f t="shared" si="16"/>
        <v>Summer</v>
      </c>
      <c r="AE70">
        <f t="shared" si="17"/>
        <v>9</v>
      </c>
      <c r="AF70" s="175">
        <v>44805</v>
      </c>
      <c r="AG70" s="176">
        <v>400</v>
      </c>
      <c r="AH70" s="176">
        <v>320</v>
      </c>
      <c r="AI70">
        <f t="shared" si="18"/>
        <v>25</v>
      </c>
      <c r="AJ70">
        <f t="shared" si="19"/>
        <v>5</v>
      </c>
    </row>
    <row r="71" spans="2:36" x14ac:dyDescent="0.2">
      <c r="B71" s="88">
        <f t="shared" si="8"/>
        <v>46113</v>
      </c>
      <c r="C71" s="81">
        <v>2.9662849744052995</v>
      </c>
      <c r="D71" s="81">
        <v>2.9321793180135991</v>
      </c>
      <c r="E71" s="89">
        <f t="shared" si="4"/>
        <v>2026</v>
      </c>
      <c r="K71" s="16">
        <f t="shared" si="10"/>
        <v>4</v>
      </c>
      <c r="L71" s="110">
        <f t="shared" si="11"/>
        <v>2026</v>
      </c>
      <c r="M71" s="84">
        <f t="shared" si="7"/>
        <v>46113</v>
      </c>
      <c r="N71" s="85">
        <v>19.452249999999999</v>
      </c>
      <c r="O71" s="85">
        <v>24.86731</v>
      </c>
      <c r="P71" s="85">
        <v>19.784410000000001</v>
      </c>
      <c r="Q71" s="86">
        <v>29.35707</v>
      </c>
      <c r="S71" s="107">
        <v>26.762986444444447</v>
      </c>
      <c r="T71" s="109">
        <f t="shared" si="12"/>
        <v>0.92916797800650686</v>
      </c>
      <c r="U71" s="109">
        <f t="shared" si="13"/>
        <v>1.0969280300963589</v>
      </c>
      <c r="AD71" s="177" t="str">
        <f t="shared" si="16"/>
        <v>Winter</v>
      </c>
      <c r="AE71">
        <f t="shared" si="17"/>
        <v>10</v>
      </c>
      <c r="AF71" s="175">
        <v>44835</v>
      </c>
      <c r="AG71" s="176">
        <v>416</v>
      </c>
      <c r="AH71" s="176">
        <v>328</v>
      </c>
      <c r="AI71">
        <f t="shared" si="18"/>
        <v>26</v>
      </c>
      <c r="AJ71">
        <f t="shared" si="19"/>
        <v>5</v>
      </c>
    </row>
    <row r="72" spans="2:36" x14ac:dyDescent="0.2">
      <c r="B72" s="88">
        <f t="shared" si="8"/>
        <v>46143</v>
      </c>
      <c r="C72" s="81">
        <v>2.8625009736023284</v>
      </c>
      <c r="D72" s="81">
        <v>2.9588466218915337</v>
      </c>
      <c r="E72" s="89">
        <f t="shared" ref="E72:E135" si="20">YEAR(B72)</f>
        <v>2026</v>
      </c>
      <c r="K72" s="16">
        <f t="shared" si="10"/>
        <v>5</v>
      </c>
      <c r="L72" s="110">
        <f t="shared" si="11"/>
        <v>2026</v>
      </c>
      <c r="M72" s="84">
        <f t="shared" ref="M72:M135" si="21">B72</f>
        <v>46143</v>
      </c>
      <c r="N72" s="85">
        <v>12.299110000000001</v>
      </c>
      <c r="O72" s="85">
        <v>21.599350000000001</v>
      </c>
      <c r="P72" s="85">
        <v>11.618779999999999</v>
      </c>
      <c r="Q72" s="86">
        <v>27.766020000000001</v>
      </c>
      <c r="S72" s="107">
        <v>24.450606021505379</v>
      </c>
      <c r="T72" s="109">
        <f t="shared" si="12"/>
        <v>0.88338710218480587</v>
      </c>
      <c r="U72" s="109">
        <f t="shared" si="13"/>
        <v>1.1355963928083652</v>
      </c>
      <c r="AD72" s="177" t="str">
        <f t="shared" si="16"/>
        <v>Winter</v>
      </c>
      <c r="AE72">
        <f t="shared" si="17"/>
        <v>11</v>
      </c>
      <c r="AF72" s="175">
        <v>44866</v>
      </c>
      <c r="AG72" s="176">
        <v>400</v>
      </c>
      <c r="AH72" s="176">
        <v>320</v>
      </c>
      <c r="AI72">
        <f t="shared" si="18"/>
        <v>25</v>
      </c>
      <c r="AJ72">
        <f t="shared" si="19"/>
        <v>5</v>
      </c>
    </row>
    <row r="73" spans="2:36" x14ac:dyDescent="0.2">
      <c r="B73" s="88">
        <f t="shared" ref="B73:B136" si="22">EDATE(B72,1)</f>
        <v>46174</v>
      </c>
      <c r="C73" s="81">
        <v>2.9923815316671685</v>
      </c>
      <c r="D73" s="81">
        <v>2.9922454782046755</v>
      </c>
      <c r="E73" s="89">
        <f t="shared" si="20"/>
        <v>2026</v>
      </c>
      <c r="K73" s="16">
        <f t="shared" ref="K73:K136" si="23">MONTH(M73)</f>
        <v>6</v>
      </c>
      <c r="L73" s="110">
        <f t="shared" ref="L73:L136" si="24">YEAR(M73)</f>
        <v>2026</v>
      </c>
      <c r="M73" s="84">
        <f t="shared" si="21"/>
        <v>46174</v>
      </c>
      <c r="N73" s="85">
        <v>23.474399999999999</v>
      </c>
      <c r="O73" s="85">
        <v>37.359580000000001</v>
      </c>
      <c r="P73" s="85">
        <v>19.218409999999999</v>
      </c>
      <c r="Q73" s="86">
        <v>33.682899999999997</v>
      </c>
      <c r="S73" s="107">
        <v>35.807203999999999</v>
      </c>
      <c r="T73" s="109">
        <f t="shared" ref="T73:T136" si="25">O73/S73</f>
        <v>1.0433537340698258</v>
      </c>
      <c r="U73" s="109">
        <f t="shared" ref="U73:U136" si="26">Q73/S73</f>
        <v>0.94067383758865952</v>
      </c>
      <c r="AD73" s="177" t="str">
        <f t="shared" si="16"/>
        <v>Winter</v>
      </c>
      <c r="AE73">
        <f t="shared" si="17"/>
        <v>12</v>
      </c>
      <c r="AF73" s="175">
        <v>44896</v>
      </c>
      <c r="AG73" s="176">
        <v>416</v>
      </c>
      <c r="AH73" s="176">
        <v>328</v>
      </c>
      <c r="AI73">
        <f t="shared" si="18"/>
        <v>26</v>
      </c>
      <c r="AJ73">
        <f t="shared" si="19"/>
        <v>5</v>
      </c>
    </row>
    <row r="74" spans="2:36" x14ac:dyDescent="0.2">
      <c r="B74" s="88">
        <f t="shared" si="22"/>
        <v>46204</v>
      </c>
      <c r="C74" s="81">
        <v>3.0155673190805983</v>
      </c>
      <c r="D74" s="81">
        <v>3.0322205434352885</v>
      </c>
      <c r="E74" s="89">
        <f t="shared" si="20"/>
        <v>2026</v>
      </c>
      <c r="K74" s="16">
        <f t="shared" si="23"/>
        <v>7</v>
      </c>
      <c r="L74" s="110">
        <f t="shared" si="24"/>
        <v>2026</v>
      </c>
      <c r="M74" s="84">
        <f t="shared" si="21"/>
        <v>46204</v>
      </c>
      <c r="N74" s="85">
        <v>86.533540000000002</v>
      </c>
      <c r="O74" s="85">
        <v>100.68600000000001</v>
      </c>
      <c r="P74" s="85">
        <v>25.91508</v>
      </c>
      <c r="Q74" s="86">
        <v>42.758890000000001</v>
      </c>
      <c r="S74" s="107">
        <v>75.148241827956994</v>
      </c>
      <c r="T74" s="109">
        <f t="shared" si="25"/>
        <v>1.3398317452390793</v>
      </c>
      <c r="U74" s="109">
        <f t="shared" si="26"/>
        <v>0.56899388408702123</v>
      </c>
      <c r="AD74" s="177" t="str">
        <f t="shared" si="16"/>
        <v>Winter</v>
      </c>
      <c r="AE74">
        <f t="shared" si="17"/>
        <v>1</v>
      </c>
      <c r="AF74" s="175">
        <v>44927</v>
      </c>
      <c r="AG74" s="176">
        <v>400</v>
      </c>
      <c r="AH74" s="176">
        <v>344</v>
      </c>
      <c r="AI74">
        <f t="shared" si="18"/>
        <v>25</v>
      </c>
      <c r="AJ74">
        <f t="shared" si="19"/>
        <v>6</v>
      </c>
    </row>
    <row r="75" spans="2:36" x14ac:dyDescent="0.2">
      <c r="B75" s="88">
        <f t="shared" si="22"/>
        <v>46235</v>
      </c>
      <c r="C75" s="81">
        <v>3.0777975710127472</v>
      </c>
      <c r="D75" s="81">
        <v>3.0789271611011078</v>
      </c>
      <c r="E75" s="89">
        <f t="shared" si="20"/>
        <v>2026</v>
      </c>
      <c r="K75" s="16">
        <f t="shared" si="23"/>
        <v>8</v>
      </c>
      <c r="L75" s="110">
        <f t="shared" si="24"/>
        <v>2026</v>
      </c>
      <c r="M75" s="84">
        <f t="shared" si="21"/>
        <v>46235</v>
      </c>
      <c r="N75" s="85">
        <v>99.046700000000001</v>
      </c>
      <c r="O75" s="85">
        <v>106.7611</v>
      </c>
      <c r="P75" s="85">
        <v>35.016419999999997</v>
      </c>
      <c r="Q75" s="86">
        <v>49.148530000000001</v>
      </c>
      <c r="S75" s="107">
        <v>81.362009999999998</v>
      </c>
      <c r="T75" s="109">
        <f t="shared" si="25"/>
        <v>1.3121738265807348</v>
      </c>
      <c r="U75" s="109">
        <f t="shared" si="26"/>
        <v>0.60407221994638527</v>
      </c>
      <c r="AD75" s="177" t="str">
        <f t="shared" si="16"/>
        <v>Winter</v>
      </c>
      <c r="AE75">
        <f t="shared" si="17"/>
        <v>2</v>
      </c>
      <c r="AF75" s="175">
        <v>44958</v>
      </c>
      <c r="AG75" s="176">
        <v>384</v>
      </c>
      <c r="AH75" s="176">
        <v>288</v>
      </c>
      <c r="AI75">
        <f t="shared" si="18"/>
        <v>24</v>
      </c>
      <c r="AJ75">
        <f t="shared" si="19"/>
        <v>4</v>
      </c>
    </row>
    <row r="76" spans="2:36" x14ac:dyDescent="0.2">
      <c r="B76" s="88">
        <f t="shared" si="22"/>
        <v>46266</v>
      </c>
      <c r="C76" s="81">
        <v>3.0694667469637658</v>
      </c>
      <c r="D76" s="81">
        <v>3.0255925533452381</v>
      </c>
      <c r="E76" s="89">
        <f t="shared" si="20"/>
        <v>2026</v>
      </c>
      <c r="K76" s="16">
        <f t="shared" si="23"/>
        <v>9</v>
      </c>
      <c r="L76" s="110">
        <f t="shared" si="24"/>
        <v>2026</v>
      </c>
      <c r="M76" s="84">
        <f t="shared" si="21"/>
        <v>46266</v>
      </c>
      <c r="N76" s="85">
        <v>36.977829999999997</v>
      </c>
      <c r="O76" s="85">
        <v>48.50273</v>
      </c>
      <c r="P76" s="85">
        <v>27.561579999999999</v>
      </c>
      <c r="Q76" s="86">
        <v>39.228760000000001</v>
      </c>
      <c r="S76" s="107">
        <v>44.380965555555555</v>
      </c>
      <c r="T76" s="109">
        <f t="shared" si="25"/>
        <v>1.092872347251771</v>
      </c>
      <c r="U76" s="109">
        <f t="shared" si="26"/>
        <v>0.88390956593528625</v>
      </c>
      <c r="AD76" s="177" t="str">
        <f t="shared" si="16"/>
        <v>Winter</v>
      </c>
      <c r="AE76">
        <f t="shared" si="17"/>
        <v>3</v>
      </c>
      <c r="AF76" s="175">
        <v>44986</v>
      </c>
      <c r="AG76" s="176">
        <v>432</v>
      </c>
      <c r="AH76" s="176">
        <v>312</v>
      </c>
      <c r="AI76">
        <f t="shared" si="18"/>
        <v>27</v>
      </c>
      <c r="AJ76">
        <f t="shared" si="19"/>
        <v>4</v>
      </c>
    </row>
    <row r="77" spans="2:36" x14ac:dyDescent="0.2">
      <c r="B77" s="88">
        <f t="shared" si="22"/>
        <v>46296</v>
      </c>
      <c r="C77" s="81">
        <v>3.1731503763926527</v>
      </c>
      <c r="D77" s="81">
        <v>3.1123260174142495</v>
      </c>
      <c r="E77" s="89">
        <f t="shared" si="20"/>
        <v>2026</v>
      </c>
      <c r="K77" s="16">
        <f t="shared" si="23"/>
        <v>10</v>
      </c>
      <c r="L77" s="110">
        <f t="shared" si="24"/>
        <v>2026</v>
      </c>
      <c r="M77" s="84">
        <f t="shared" si="21"/>
        <v>46296</v>
      </c>
      <c r="N77" s="85">
        <v>38.613349999999997</v>
      </c>
      <c r="O77" s="85">
        <v>38.871110000000002</v>
      </c>
      <c r="P77" s="85">
        <v>30.894600000000001</v>
      </c>
      <c r="Q77" s="86">
        <v>34.557510000000001</v>
      </c>
      <c r="S77" s="107">
        <v>37.062180967741938</v>
      </c>
      <c r="T77" s="109">
        <f t="shared" si="25"/>
        <v>1.0488079488315194</v>
      </c>
      <c r="U77" s="109">
        <f t="shared" si="26"/>
        <v>0.93241976315635755</v>
      </c>
      <c r="AD77" s="177" t="str">
        <f t="shared" si="16"/>
        <v>Winter</v>
      </c>
      <c r="AE77">
        <f t="shared" si="17"/>
        <v>4</v>
      </c>
      <c r="AF77" s="175">
        <v>45017</v>
      </c>
      <c r="AG77" s="176">
        <v>400</v>
      </c>
      <c r="AH77" s="176">
        <v>320</v>
      </c>
      <c r="AI77">
        <f t="shared" si="18"/>
        <v>25</v>
      </c>
      <c r="AJ77">
        <f t="shared" si="19"/>
        <v>5</v>
      </c>
    </row>
    <row r="78" spans="2:36" x14ac:dyDescent="0.2">
      <c r="B78" s="88">
        <f t="shared" si="22"/>
        <v>46327</v>
      </c>
      <c r="C78" s="81">
        <v>3.2677002107798856</v>
      </c>
      <c r="D78" s="81">
        <v>3.5994315078603316</v>
      </c>
      <c r="E78" s="89">
        <f t="shared" si="20"/>
        <v>2026</v>
      </c>
      <c r="K78" s="16">
        <f t="shared" si="23"/>
        <v>11</v>
      </c>
      <c r="L78" s="110">
        <f t="shared" si="24"/>
        <v>2026</v>
      </c>
      <c r="M78" s="84">
        <f t="shared" si="21"/>
        <v>46327</v>
      </c>
      <c r="N78" s="85">
        <v>39.715119999999999</v>
      </c>
      <c r="O78" s="85">
        <v>40.111780000000003</v>
      </c>
      <c r="P78" s="85">
        <v>32.856090000000002</v>
      </c>
      <c r="Q78" s="86">
        <v>36.173639999999999</v>
      </c>
      <c r="S78" s="107">
        <v>38.271068238557561</v>
      </c>
      <c r="T78" s="109">
        <f t="shared" si="25"/>
        <v>1.0480966914737946</v>
      </c>
      <c r="U78" s="109">
        <f t="shared" si="26"/>
        <v>0.94519546134736754</v>
      </c>
      <c r="AD78" s="177" t="str">
        <f t="shared" si="16"/>
        <v>Winter</v>
      </c>
      <c r="AE78">
        <f t="shared" si="17"/>
        <v>5</v>
      </c>
      <c r="AF78" s="175">
        <v>45047</v>
      </c>
      <c r="AG78" s="176">
        <v>416</v>
      </c>
      <c r="AH78" s="176">
        <v>328</v>
      </c>
      <c r="AI78">
        <f t="shared" si="18"/>
        <v>26</v>
      </c>
      <c r="AJ78">
        <f t="shared" si="19"/>
        <v>5</v>
      </c>
    </row>
    <row r="79" spans="2:36" x14ac:dyDescent="0.2">
      <c r="B79" s="90">
        <f t="shared" si="22"/>
        <v>46357</v>
      </c>
      <c r="C79" s="91">
        <v>3.5250524139315464</v>
      </c>
      <c r="D79" s="91">
        <v>3.8929789752079276</v>
      </c>
      <c r="E79" s="92">
        <f t="shared" si="20"/>
        <v>2026</v>
      </c>
      <c r="K79" s="16">
        <f t="shared" si="23"/>
        <v>12</v>
      </c>
      <c r="L79" s="110">
        <f t="shared" si="24"/>
        <v>2026</v>
      </c>
      <c r="M79" s="93">
        <f t="shared" si="21"/>
        <v>46357</v>
      </c>
      <c r="N79" s="94">
        <v>47.674430000000001</v>
      </c>
      <c r="O79" s="94">
        <v>42.852600000000002</v>
      </c>
      <c r="P79" s="94">
        <v>35.737760000000002</v>
      </c>
      <c r="Q79" s="95">
        <v>39.106009999999998</v>
      </c>
      <c r="S79" s="107">
        <v>41.200877526881719</v>
      </c>
      <c r="T79" s="109">
        <f t="shared" si="25"/>
        <v>1.0400894974152093</v>
      </c>
      <c r="U79" s="109">
        <f t="shared" si="26"/>
        <v>0.94915478376607598</v>
      </c>
      <c r="AD79" s="177" t="str">
        <f t="shared" si="16"/>
        <v>Summer</v>
      </c>
      <c r="AE79">
        <f t="shared" si="17"/>
        <v>6</v>
      </c>
      <c r="AF79" s="175">
        <v>45078</v>
      </c>
      <c r="AG79" s="176">
        <v>416</v>
      </c>
      <c r="AH79" s="176">
        <v>304</v>
      </c>
      <c r="AI79">
        <f t="shared" si="18"/>
        <v>26</v>
      </c>
      <c r="AJ79">
        <f t="shared" si="19"/>
        <v>4</v>
      </c>
    </row>
    <row r="80" spans="2:36" x14ac:dyDescent="0.2">
      <c r="B80" s="234">
        <f t="shared" si="22"/>
        <v>46388</v>
      </c>
      <c r="C80" s="81">
        <v>3.5501452574525745</v>
      </c>
      <c r="D80" s="81">
        <v>3.9626764334986078</v>
      </c>
      <c r="E80" s="233">
        <f t="shared" si="20"/>
        <v>2027</v>
      </c>
      <c r="K80" s="16">
        <f t="shared" si="23"/>
        <v>1</v>
      </c>
      <c r="L80" s="110">
        <f t="shared" si="24"/>
        <v>2027</v>
      </c>
      <c r="M80" s="84">
        <f t="shared" si="21"/>
        <v>46388</v>
      </c>
      <c r="N80" s="232">
        <v>43.83173</v>
      </c>
      <c r="O80" s="232">
        <v>42.175420000000003</v>
      </c>
      <c r="P80" s="232">
        <v>32.414349999999999</v>
      </c>
      <c r="Q80" s="231">
        <v>37.642380000000003</v>
      </c>
      <c r="S80" s="107">
        <v>40.07949827956989</v>
      </c>
      <c r="T80" s="109">
        <f t="shared" si="25"/>
        <v>1.052294110714916</v>
      </c>
      <c r="U80" s="109">
        <f t="shared" si="26"/>
        <v>0.93919289451753984</v>
      </c>
      <c r="AD80" s="177" t="str">
        <f t="shared" si="16"/>
        <v>Summer</v>
      </c>
      <c r="AE80">
        <f t="shared" si="17"/>
        <v>7</v>
      </c>
      <c r="AF80" s="175">
        <v>45108</v>
      </c>
      <c r="AG80" s="176">
        <v>400</v>
      </c>
      <c r="AH80" s="176">
        <v>344</v>
      </c>
      <c r="AI80">
        <f t="shared" si="18"/>
        <v>25</v>
      </c>
      <c r="AJ80">
        <f t="shared" si="19"/>
        <v>6</v>
      </c>
    </row>
    <row r="81" spans="2:36" x14ac:dyDescent="0.2">
      <c r="B81" s="88">
        <f t="shared" si="22"/>
        <v>46419</v>
      </c>
      <c r="C81" s="81">
        <v>3.4582050787915284</v>
      </c>
      <c r="D81" s="81">
        <v>3.8190872419383881</v>
      </c>
      <c r="E81" s="89">
        <f t="shared" si="20"/>
        <v>2027</v>
      </c>
      <c r="K81" s="16">
        <f t="shared" si="23"/>
        <v>2</v>
      </c>
      <c r="L81" s="110">
        <f t="shared" si="24"/>
        <v>2027</v>
      </c>
      <c r="M81" s="84">
        <f t="shared" si="21"/>
        <v>46419</v>
      </c>
      <c r="N81" s="85">
        <v>43.945529999999998</v>
      </c>
      <c r="O81" s="85">
        <v>40.005679999999998</v>
      </c>
      <c r="P81" s="85">
        <v>33.907649999999997</v>
      </c>
      <c r="Q81" s="86">
        <v>37.059910000000002</v>
      </c>
      <c r="S81" s="107">
        <v>38.743207142857145</v>
      </c>
      <c r="T81" s="109">
        <f t="shared" si="25"/>
        <v>1.0325856569511078</v>
      </c>
      <c r="U81" s="109">
        <f t="shared" si="26"/>
        <v>0.95655245739852279</v>
      </c>
      <c r="AD81" s="177" t="str">
        <f t="shared" si="16"/>
        <v>Summer</v>
      </c>
      <c r="AE81">
        <f t="shared" si="17"/>
        <v>8</v>
      </c>
      <c r="AF81" s="175">
        <v>45139</v>
      </c>
      <c r="AG81" s="176">
        <v>432</v>
      </c>
      <c r="AH81" s="176">
        <v>312</v>
      </c>
      <c r="AI81">
        <f t="shared" si="18"/>
        <v>27</v>
      </c>
      <c r="AJ81">
        <f t="shared" si="19"/>
        <v>4</v>
      </c>
    </row>
    <row r="82" spans="2:36" x14ac:dyDescent="0.2">
      <c r="B82" s="88">
        <f t="shared" si="22"/>
        <v>46447</v>
      </c>
      <c r="C82" s="81">
        <v>3.1242695172136905</v>
      </c>
      <c r="D82" s="81">
        <v>3.4497839191084254</v>
      </c>
      <c r="E82" s="89">
        <f t="shared" si="20"/>
        <v>2027</v>
      </c>
      <c r="K82" s="16">
        <f t="shared" si="23"/>
        <v>3</v>
      </c>
      <c r="L82" s="110">
        <f t="shared" si="24"/>
        <v>2027</v>
      </c>
      <c r="M82" s="84">
        <f t="shared" si="21"/>
        <v>46447</v>
      </c>
      <c r="N82" s="85">
        <v>29.77197</v>
      </c>
      <c r="O82" s="85">
        <v>28.793130000000001</v>
      </c>
      <c r="P82" s="85">
        <v>25.639479999999999</v>
      </c>
      <c r="Q82" s="86">
        <v>32.011899999999997</v>
      </c>
      <c r="S82" s="107">
        <v>30.140421345895017</v>
      </c>
      <c r="T82" s="109">
        <f t="shared" si="25"/>
        <v>0.95529951852917572</v>
      </c>
      <c r="U82" s="109">
        <f t="shared" si="26"/>
        <v>1.0620919871234602</v>
      </c>
      <c r="AD82" s="177" t="str">
        <f t="shared" si="16"/>
        <v>Summer</v>
      </c>
      <c r="AE82">
        <f t="shared" si="17"/>
        <v>9</v>
      </c>
      <c r="AF82" s="175">
        <v>45170</v>
      </c>
      <c r="AG82" s="176">
        <v>400</v>
      </c>
      <c r="AH82" s="176">
        <v>320</v>
      </c>
      <c r="AI82">
        <f t="shared" si="18"/>
        <v>25</v>
      </c>
      <c r="AJ82">
        <f t="shared" si="19"/>
        <v>5</v>
      </c>
    </row>
    <row r="83" spans="2:36" x14ac:dyDescent="0.2">
      <c r="B83" s="88">
        <f t="shared" si="22"/>
        <v>46478</v>
      </c>
      <c r="C83" s="81">
        <v>3.06786080497842</v>
      </c>
      <c r="D83" s="81">
        <v>3.135161514521374</v>
      </c>
      <c r="E83" s="89">
        <f t="shared" si="20"/>
        <v>2027</v>
      </c>
      <c r="K83" s="16">
        <f t="shared" si="23"/>
        <v>4</v>
      </c>
      <c r="L83" s="110">
        <f t="shared" si="24"/>
        <v>2027</v>
      </c>
      <c r="M83" s="84">
        <f t="shared" si="21"/>
        <v>46478</v>
      </c>
      <c r="N83" s="85">
        <v>17.616119999999999</v>
      </c>
      <c r="O83" s="85">
        <v>23.556730000000002</v>
      </c>
      <c r="P83" s="85">
        <v>17.2195</v>
      </c>
      <c r="Q83" s="86">
        <v>28.872209999999999</v>
      </c>
      <c r="S83" s="107">
        <v>25.801043777777782</v>
      </c>
      <c r="T83" s="109">
        <f t="shared" si="25"/>
        <v>0.91301461300915321</v>
      </c>
      <c r="U83" s="109">
        <f t="shared" si="26"/>
        <v>1.1190326348295796</v>
      </c>
      <c r="AD83" s="177" t="str">
        <f t="shared" si="16"/>
        <v>Winter</v>
      </c>
      <c r="AE83">
        <f t="shared" si="17"/>
        <v>10</v>
      </c>
      <c r="AF83" s="175">
        <v>45200</v>
      </c>
      <c r="AG83" s="176">
        <v>416</v>
      </c>
      <c r="AH83" s="176">
        <v>328</v>
      </c>
      <c r="AI83">
        <f t="shared" si="18"/>
        <v>26</v>
      </c>
      <c r="AJ83">
        <f t="shared" si="19"/>
        <v>5</v>
      </c>
    </row>
    <row r="84" spans="2:36" x14ac:dyDescent="0.2">
      <c r="B84" s="88">
        <f t="shared" si="22"/>
        <v>46508</v>
      </c>
      <c r="C84" s="81">
        <v>2.8984339255244405</v>
      </c>
      <c r="D84" s="81">
        <v>2.9984074377415184</v>
      </c>
      <c r="E84" s="89">
        <f t="shared" si="20"/>
        <v>2027</v>
      </c>
      <c r="K84" s="16">
        <f t="shared" si="23"/>
        <v>5</v>
      </c>
      <c r="L84" s="110">
        <f t="shared" si="24"/>
        <v>2027</v>
      </c>
      <c r="M84" s="84">
        <f t="shared" si="21"/>
        <v>46508</v>
      </c>
      <c r="N84" s="85">
        <v>11.836919999999999</v>
      </c>
      <c r="O84" s="85">
        <v>21.898050000000001</v>
      </c>
      <c r="P84" s="85">
        <v>11.56002</v>
      </c>
      <c r="Q84" s="86">
        <v>29.43158</v>
      </c>
      <c r="S84" s="107">
        <v>25.381295053763445</v>
      </c>
      <c r="T84" s="109">
        <f t="shared" si="25"/>
        <v>0.86276330477286023</v>
      </c>
      <c r="U84" s="109">
        <f t="shared" si="26"/>
        <v>1.1595775525896972</v>
      </c>
      <c r="AD84" s="177" t="str">
        <f t="shared" si="16"/>
        <v>Winter</v>
      </c>
      <c r="AE84">
        <f t="shared" si="17"/>
        <v>11</v>
      </c>
      <c r="AF84" s="175">
        <v>45231</v>
      </c>
      <c r="AG84" s="176">
        <v>400</v>
      </c>
      <c r="AH84" s="176">
        <v>320</v>
      </c>
      <c r="AI84">
        <f t="shared" si="18"/>
        <v>25</v>
      </c>
      <c r="AJ84">
        <f t="shared" si="19"/>
        <v>5</v>
      </c>
    </row>
    <row r="85" spans="2:36" x14ac:dyDescent="0.2">
      <c r="B85" s="88">
        <f t="shared" si="22"/>
        <v>46539</v>
      </c>
      <c r="C85" s="81">
        <v>3.0166714041955234</v>
      </c>
      <c r="D85" s="81">
        <v>3.0257478968629741</v>
      </c>
      <c r="E85" s="89">
        <f t="shared" si="20"/>
        <v>2027</v>
      </c>
      <c r="K85" s="16">
        <f t="shared" si="23"/>
        <v>6</v>
      </c>
      <c r="L85" s="110">
        <f t="shared" si="24"/>
        <v>2027</v>
      </c>
      <c r="M85" s="84">
        <f t="shared" si="21"/>
        <v>46539</v>
      </c>
      <c r="N85" s="85">
        <v>25.047630000000002</v>
      </c>
      <c r="O85" s="85">
        <v>40.323410000000003</v>
      </c>
      <c r="P85" s="85">
        <v>20.257719999999999</v>
      </c>
      <c r="Q85" s="86">
        <v>35.854799999999997</v>
      </c>
      <c r="S85" s="107">
        <v>38.436663555555555</v>
      </c>
      <c r="T85" s="109">
        <f t="shared" si="25"/>
        <v>1.0490871545527718</v>
      </c>
      <c r="U85" s="109">
        <f t="shared" si="26"/>
        <v>0.93282810429620699</v>
      </c>
      <c r="AD85" s="177" t="str">
        <f t="shared" si="16"/>
        <v>Winter</v>
      </c>
      <c r="AE85">
        <f t="shared" si="17"/>
        <v>12</v>
      </c>
      <c r="AF85" s="175">
        <v>45261</v>
      </c>
      <c r="AG85" s="176">
        <v>400</v>
      </c>
      <c r="AH85" s="176">
        <v>344</v>
      </c>
      <c r="AI85">
        <f t="shared" si="18"/>
        <v>25</v>
      </c>
      <c r="AJ85">
        <f t="shared" si="19"/>
        <v>6</v>
      </c>
    </row>
    <row r="86" spans="2:36" x14ac:dyDescent="0.2">
      <c r="B86" s="88">
        <f t="shared" si="22"/>
        <v>46569</v>
      </c>
      <c r="C86" s="81">
        <v>3.0557158687142425</v>
      </c>
      <c r="D86" s="81">
        <v>3.0599234707647929</v>
      </c>
      <c r="E86" s="89">
        <f t="shared" si="20"/>
        <v>2027</v>
      </c>
      <c r="K86" s="16">
        <f t="shared" si="23"/>
        <v>7</v>
      </c>
      <c r="L86" s="110">
        <f t="shared" si="24"/>
        <v>2027</v>
      </c>
      <c r="M86" s="84">
        <f t="shared" si="21"/>
        <v>46569</v>
      </c>
      <c r="N86" s="85">
        <v>115.2278</v>
      </c>
      <c r="O86" s="85">
        <v>135.79470000000001</v>
      </c>
      <c r="P86" s="85">
        <v>28.210989999999999</v>
      </c>
      <c r="Q86" s="86">
        <v>46.118259999999999</v>
      </c>
      <c r="S86" s="107">
        <v>96.259925376344086</v>
      </c>
      <c r="T86" s="109">
        <f t="shared" si="25"/>
        <v>1.4107085525891299</v>
      </c>
      <c r="U86" s="109">
        <f t="shared" si="26"/>
        <v>0.47910134793573794</v>
      </c>
      <c r="AD86" s="177" t="str">
        <f t="shared" si="16"/>
        <v>Winter</v>
      </c>
      <c r="AE86">
        <f t="shared" si="17"/>
        <v>1</v>
      </c>
      <c r="AF86" s="175">
        <v>45292</v>
      </c>
      <c r="AG86" s="176">
        <v>416</v>
      </c>
      <c r="AH86" s="176">
        <v>328</v>
      </c>
      <c r="AI86">
        <f t="shared" si="18"/>
        <v>26</v>
      </c>
      <c r="AJ86">
        <f t="shared" si="19"/>
        <v>5</v>
      </c>
    </row>
    <row r="87" spans="2:36" x14ac:dyDescent="0.2">
      <c r="B87" s="88">
        <f t="shared" si="22"/>
        <v>46600</v>
      </c>
      <c r="C87" s="81">
        <v>3.1724477767740642</v>
      </c>
      <c r="D87" s="81">
        <v>3.1488835252546798</v>
      </c>
      <c r="E87" s="89">
        <f t="shared" si="20"/>
        <v>2027</v>
      </c>
      <c r="K87" s="16">
        <f t="shared" si="23"/>
        <v>8</v>
      </c>
      <c r="L87" s="110">
        <f t="shared" si="24"/>
        <v>2027</v>
      </c>
      <c r="M87" s="84">
        <f t="shared" si="21"/>
        <v>46600</v>
      </c>
      <c r="N87" s="85">
        <v>147.94399999999999</v>
      </c>
      <c r="O87" s="85">
        <v>157.2071</v>
      </c>
      <c r="P87" s="85">
        <v>38.566180000000003</v>
      </c>
      <c r="Q87" s="86">
        <v>53.503500000000003</v>
      </c>
      <c r="S87" s="107">
        <v>111.48830860215054</v>
      </c>
      <c r="T87" s="109">
        <f t="shared" si="25"/>
        <v>1.4100770024325902</v>
      </c>
      <c r="U87" s="109">
        <f t="shared" si="26"/>
        <v>0.47990233837817819</v>
      </c>
      <c r="AD87" s="177" t="str">
        <f t="shared" si="16"/>
        <v>Winter</v>
      </c>
      <c r="AE87">
        <f t="shared" si="17"/>
        <v>2</v>
      </c>
      <c r="AF87" s="175">
        <v>45323</v>
      </c>
      <c r="AG87" s="176">
        <v>400</v>
      </c>
      <c r="AH87" s="176">
        <v>296</v>
      </c>
      <c r="AI87">
        <f t="shared" si="18"/>
        <v>25</v>
      </c>
      <c r="AJ87">
        <f t="shared" si="19"/>
        <v>4</v>
      </c>
    </row>
    <row r="88" spans="2:36" x14ac:dyDescent="0.2">
      <c r="B88" s="88">
        <f t="shared" si="22"/>
        <v>46631</v>
      </c>
      <c r="C88" s="81">
        <v>3.203261788617886</v>
      </c>
      <c r="D88" s="81">
        <v>3.1214912849606469</v>
      </c>
      <c r="E88" s="89">
        <f t="shared" si="20"/>
        <v>2027</v>
      </c>
      <c r="K88" s="16">
        <f t="shared" si="23"/>
        <v>9</v>
      </c>
      <c r="L88" s="110">
        <f t="shared" si="24"/>
        <v>2027</v>
      </c>
      <c r="M88" s="84">
        <f t="shared" si="21"/>
        <v>46631</v>
      </c>
      <c r="N88" s="85">
        <v>43.104799999999997</v>
      </c>
      <c r="O88" s="85">
        <v>59.83155</v>
      </c>
      <c r="P88" s="85">
        <v>27.53959</v>
      </c>
      <c r="Q88" s="86">
        <v>43.73395</v>
      </c>
      <c r="S88" s="107">
        <v>52.677061111111115</v>
      </c>
      <c r="T88" s="109">
        <f t="shared" si="25"/>
        <v>1.1358179203239529</v>
      </c>
      <c r="U88" s="109">
        <f t="shared" si="26"/>
        <v>0.83022759959505876</v>
      </c>
      <c r="AD88" s="177" t="str">
        <f t="shared" si="16"/>
        <v>Winter</v>
      </c>
      <c r="AE88">
        <f t="shared" si="17"/>
        <v>3</v>
      </c>
      <c r="AF88" s="175">
        <v>45352</v>
      </c>
      <c r="AG88" s="176">
        <v>416</v>
      </c>
      <c r="AH88" s="176">
        <v>328</v>
      </c>
      <c r="AI88">
        <f t="shared" si="18"/>
        <v>26</v>
      </c>
      <c r="AJ88">
        <f t="shared" si="19"/>
        <v>5</v>
      </c>
    </row>
    <row r="89" spans="2:36" x14ac:dyDescent="0.2">
      <c r="B89" s="88">
        <f t="shared" si="22"/>
        <v>46661</v>
      </c>
      <c r="C89" s="81">
        <v>3.2545515607748667</v>
      </c>
      <c r="D89" s="81">
        <v>3.3608238646185389</v>
      </c>
      <c r="E89" s="89">
        <f t="shared" si="20"/>
        <v>2027</v>
      </c>
      <c r="K89" s="16">
        <f t="shared" si="23"/>
        <v>10</v>
      </c>
      <c r="L89" s="110">
        <f t="shared" si="24"/>
        <v>2027</v>
      </c>
      <c r="M89" s="84">
        <f t="shared" si="21"/>
        <v>46661</v>
      </c>
      <c r="N89" s="85">
        <v>44.654249999999998</v>
      </c>
      <c r="O89" s="85">
        <v>41.019370000000002</v>
      </c>
      <c r="P89" s="85">
        <v>32.992080000000001</v>
      </c>
      <c r="Q89" s="86">
        <v>37.058100000000003</v>
      </c>
      <c r="S89" s="107">
        <v>39.273003655913982</v>
      </c>
      <c r="T89" s="109">
        <f t="shared" si="25"/>
        <v>1.0444673485987122</v>
      </c>
      <c r="U89" s="109">
        <f t="shared" si="26"/>
        <v>0.94360238714309685</v>
      </c>
      <c r="AD89" s="177" t="str">
        <f t="shared" si="16"/>
        <v>Winter</v>
      </c>
      <c r="AE89">
        <f t="shared" si="17"/>
        <v>4</v>
      </c>
      <c r="AF89" s="175">
        <v>45383</v>
      </c>
      <c r="AG89" s="176">
        <v>416</v>
      </c>
      <c r="AH89" s="176">
        <v>304</v>
      </c>
      <c r="AI89">
        <f t="shared" si="18"/>
        <v>26</v>
      </c>
      <c r="AJ89">
        <f t="shared" si="19"/>
        <v>4</v>
      </c>
    </row>
    <row r="90" spans="2:36" x14ac:dyDescent="0.2">
      <c r="B90" s="88">
        <f t="shared" si="22"/>
        <v>46692</v>
      </c>
      <c r="C90" s="81">
        <v>3.4099264478570714</v>
      </c>
      <c r="D90" s="81">
        <v>3.9079955152556969</v>
      </c>
      <c r="E90" s="89">
        <f t="shared" si="20"/>
        <v>2027</v>
      </c>
      <c r="K90" s="16">
        <f t="shared" si="23"/>
        <v>11</v>
      </c>
      <c r="L90" s="110">
        <f t="shared" si="24"/>
        <v>2027</v>
      </c>
      <c r="M90" s="84">
        <f t="shared" si="21"/>
        <v>46692</v>
      </c>
      <c r="N90" s="85">
        <v>43.994599999999998</v>
      </c>
      <c r="O90" s="85">
        <v>41.569659999999999</v>
      </c>
      <c r="P90" s="85">
        <v>34.564210000000003</v>
      </c>
      <c r="Q90" s="86">
        <v>37.426650000000002</v>
      </c>
      <c r="S90" s="107">
        <v>39.725129889042996</v>
      </c>
      <c r="T90" s="109">
        <f t="shared" si="25"/>
        <v>1.0464323242267299</v>
      </c>
      <c r="U90" s="109">
        <f t="shared" si="26"/>
        <v>0.94214040594800008</v>
      </c>
      <c r="AD90" s="177" t="str">
        <f t="shared" si="16"/>
        <v>Winter</v>
      </c>
      <c r="AE90">
        <f t="shared" si="17"/>
        <v>5</v>
      </c>
      <c r="AF90" s="175">
        <v>45413</v>
      </c>
      <c r="AG90" s="176">
        <v>416</v>
      </c>
      <c r="AH90" s="176">
        <v>328</v>
      </c>
      <c r="AI90">
        <f t="shared" si="18"/>
        <v>26</v>
      </c>
      <c r="AJ90">
        <f t="shared" si="19"/>
        <v>5</v>
      </c>
    </row>
    <row r="91" spans="2:36" x14ac:dyDescent="0.2">
      <c r="B91" s="90">
        <f t="shared" si="22"/>
        <v>46722</v>
      </c>
      <c r="C91" s="91">
        <v>3.8205457392351696</v>
      </c>
      <c r="D91" s="91">
        <v>4.3046392972071148</v>
      </c>
      <c r="E91" s="92">
        <f t="shared" si="20"/>
        <v>2027</v>
      </c>
      <c r="K91" s="16">
        <f t="shared" si="23"/>
        <v>12</v>
      </c>
      <c r="L91" s="110">
        <f t="shared" si="24"/>
        <v>2027</v>
      </c>
      <c r="M91" s="93">
        <f t="shared" si="21"/>
        <v>46722</v>
      </c>
      <c r="N91" s="94">
        <v>51.540500000000002</v>
      </c>
      <c r="O91" s="94">
        <v>47.276339999999998</v>
      </c>
      <c r="P91" s="94">
        <v>39.013039999999997</v>
      </c>
      <c r="Q91" s="95">
        <v>42.917140000000003</v>
      </c>
      <c r="S91" s="107">
        <v>45.354542150537632</v>
      </c>
      <c r="T91" s="109">
        <f t="shared" si="25"/>
        <v>1.0423727758750969</v>
      </c>
      <c r="U91" s="109">
        <f t="shared" si="26"/>
        <v>0.94625891840231624</v>
      </c>
      <c r="AD91" s="177" t="str">
        <f t="shared" si="16"/>
        <v>Summer</v>
      </c>
      <c r="AE91">
        <f t="shared" si="17"/>
        <v>6</v>
      </c>
      <c r="AF91" s="175">
        <v>45444</v>
      </c>
      <c r="AG91" s="176">
        <v>400</v>
      </c>
      <c r="AH91" s="176">
        <v>320</v>
      </c>
      <c r="AI91">
        <f t="shared" si="18"/>
        <v>25</v>
      </c>
      <c r="AJ91">
        <f t="shared" si="19"/>
        <v>5</v>
      </c>
    </row>
    <row r="92" spans="2:36" x14ac:dyDescent="0.2">
      <c r="B92" s="234">
        <f t="shared" si="22"/>
        <v>46753</v>
      </c>
      <c r="C92" s="81">
        <v>3.8864897320084308</v>
      </c>
      <c r="D92" s="81">
        <v>4.3236429875434297</v>
      </c>
      <c r="E92" s="233">
        <f t="shared" si="20"/>
        <v>2028</v>
      </c>
      <c r="K92" s="16">
        <f t="shared" si="23"/>
        <v>1</v>
      </c>
      <c r="L92" s="110">
        <f t="shared" si="24"/>
        <v>2028</v>
      </c>
      <c r="M92" s="84">
        <f t="shared" si="21"/>
        <v>46753</v>
      </c>
      <c r="N92" s="232">
        <v>48.149810000000002</v>
      </c>
      <c r="O92" s="232">
        <v>47.398739999999997</v>
      </c>
      <c r="P92" s="232">
        <v>35.904980000000002</v>
      </c>
      <c r="Q92" s="231">
        <v>41.945169999999997</v>
      </c>
      <c r="S92" s="107">
        <v>44.877196881720423</v>
      </c>
      <c r="T92" s="109">
        <f t="shared" si="25"/>
        <v>1.056187625196944</v>
      </c>
      <c r="U92" s="109">
        <f t="shared" si="26"/>
        <v>0.93466555209657687</v>
      </c>
      <c r="AD92" s="177" t="str">
        <f t="shared" si="16"/>
        <v>Summer</v>
      </c>
      <c r="AE92">
        <f t="shared" si="17"/>
        <v>7</v>
      </c>
      <c r="AF92" s="175">
        <v>45474</v>
      </c>
      <c r="AG92" s="176">
        <v>416</v>
      </c>
      <c r="AH92" s="176">
        <v>328</v>
      </c>
      <c r="AI92">
        <f t="shared" si="18"/>
        <v>26</v>
      </c>
      <c r="AJ92">
        <f t="shared" si="19"/>
        <v>5</v>
      </c>
    </row>
    <row r="93" spans="2:36" x14ac:dyDescent="0.2">
      <c r="B93" s="88">
        <f t="shared" si="22"/>
        <v>46784</v>
      </c>
      <c r="C93" s="81">
        <v>3.6565389139817324</v>
      </c>
      <c r="D93" s="81">
        <v>4.0295777084700477</v>
      </c>
      <c r="E93" s="89">
        <f t="shared" si="20"/>
        <v>2028</v>
      </c>
      <c r="K93" s="16">
        <f t="shared" si="23"/>
        <v>2</v>
      </c>
      <c r="L93" s="110">
        <f t="shared" si="24"/>
        <v>2028</v>
      </c>
      <c r="M93" s="84">
        <f t="shared" si="21"/>
        <v>46784</v>
      </c>
      <c r="N93" s="85">
        <v>46.945639999999997</v>
      </c>
      <c r="O93" s="85">
        <v>44.238639999999997</v>
      </c>
      <c r="P93" s="85">
        <v>37.236060000000002</v>
      </c>
      <c r="Q93" s="86">
        <v>40.834690000000002</v>
      </c>
      <c r="S93" s="107">
        <v>42.790983103448276</v>
      </c>
      <c r="T93" s="109">
        <f t="shared" si="25"/>
        <v>1.0338308865924388</v>
      </c>
      <c r="U93" s="109">
        <f t="shared" si="26"/>
        <v>0.95428258568589353</v>
      </c>
      <c r="AD93" s="177" t="str">
        <f t="shared" si="16"/>
        <v>Summer</v>
      </c>
      <c r="AE93">
        <f t="shared" si="17"/>
        <v>8</v>
      </c>
      <c r="AF93" s="175">
        <v>45505</v>
      </c>
      <c r="AG93" s="176">
        <v>432</v>
      </c>
      <c r="AH93" s="176">
        <v>312</v>
      </c>
      <c r="AI93">
        <f t="shared" si="18"/>
        <v>27</v>
      </c>
      <c r="AJ93">
        <f t="shared" si="19"/>
        <v>4</v>
      </c>
    </row>
    <row r="94" spans="2:36" x14ac:dyDescent="0.2">
      <c r="B94" s="88">
        <f t="shared" si="22"/>
        <v>46813</v>
      </c>
      <c r="C94" s="81">
        <v>3.4352200341262673</v>
      </c>
      <c r="D94" s="81">
        <v>3.7354088670515093</v>
      </c>
      <c r="E94" s="89">
        <f t="shared" si="20"/>
        <v>2028</v>
      </c>
      <c r="K94" s="16">
        <f t="shared" si="23"/>
        <v>3</v>
      </c>
      <c r="L94" s="110">
        <f t="shared" si="24"/>
        <v>2028</v>
      </c>
      <c r="M94" s="84">
        <f t="shared" si="21"/>
        <v>46813</v>
      </c>
      <c r="N94" s="85">
        <v>31.773199999999999</v>
      </c>
      <c r="O94" s="85">
        <v>31.689070000000001</v>
      </c>
      <c r="P94" s="85">
        <v>28.64912</v>
      </c>
      <c r="Q94" s="86">
        <v>35.325110000000002</v>
      </c>
      <c r="S94" s="107">
        <v>33.211019448183045</v>
      </c>
      <c r="T94" s="109">
        <f t="shared" si="25"/>
        <v>0.95417335952129867</v>
      </c>
      <c r="U94" s="109">
        <f t="shared" si="26"/>
        <v>1.0636562980282924</v>
      </c>
      <c r="AD94" s="177" t="str">
        <f t="shared" si="16"/>
        <v>Summer</v>
      </c>
      <c r="AE94">
        <f t="shared" si="17"/>
        <v>9</v>
      </c>
      <c r="AF94" s="175">
        <v>45536</v>
      </c>
      <c r="AG94" s="176">
        <v>384</v>
      </c>
      <c r="AH94" s="176">
        <v>336</v>
      </c>
      <c r="AI94">
        <f t="shared" si="18"/>
        <v>24</v>
      </c>
      <c r="AJ94">
        <f t="shared" si="19"/>
        <v>6</v>
      </c>
    </row>
    <row r="95" spans="2:36" x14ac:dyDescent="0.2">
      <c r="B95" s="88">
        <f t="shared" si="22"/>
        <v>46844</v>
      </c>
      <c r="C95" s="81">
        <v>3.2237375489310449</v>
      </c>
      <c r="D95" s="81">
        <v>3.3152564327494463</v>
      </c>
      <c r="E95" s="89">
        <f t="shared" si="20"/>
        <v>2028</v>
      </c>
      <c r="K95" s="16">
        <f t="shared" si="23"/>
        <v>4</v>
      </c>
      <c r="L95" s="110">
        <f t="shared" si="24"/>
        <v>2028</v>
      </c>
      <c r="M95" s="84">
        <f t="shared" si="21"/>
        <v>46844</v>
      </c>
      <c r="N95" s="85">
        <v>17.105560000000001</v>
      </c>
      <c r="O95" s="85">
        <v>24.675129999999999</v>
      </c>
      <c r="P95" s="85">
        <v>17.26182</v>
      </c>
      <c r="Q95" s="86">
        <v>30.532630000000001</v>
      </c>
      <c r="S95" s="107">
        <v>27.278463333333335</v>
      </c>
      <c r="T95" s="109">
        <f t="shared" si="25"/>
        <v>0.90456451664738191</v>
      </c>
      <c r="U95" s="109">
        <f t="shared" si="26"/>
        <v>1.1192943541907725</v>
      </c>
      <c r="AD95" s="177" t="str">
        <f t="shared" si="16"/>
        <v>Winter</v>
      </c>
      <c r="AE95">
        <f t="shared" si="17"/>
        <v>10</v>
      </c>
      <c r="AF95" s="175">
        <v>45566</v>
      </c>
      <c r="AG95" s="176">
        <v>432</v>
      </c>
      <c r="AH95" s="176">
        <v>312</v>
      </c>
      <c r="AI95">
        <f t="shared" si="18"/>
        <v>27</v>
      </c>
      <c r="AJ95">
        <f t="shared" si="19"/>
        <v>4</v>
      </c>
    </row>
    <row r="96" spans="2:36" x14ac:dyDescent="0.2">
      <c r="B96" s="88">
        <f t="shared" si="22"/>
        <v>46874</v>
      </c>
      <c r="C96" s="81">
        <v>3.0805075981130181</v>
      </c>
      <c r="D96" s="81">
        <v>3.1401842882614908</v>
      </c>
      <c r="E96" s="89">
        <f t="shared" si="20"/>
        <v>2028</v>
      </c>
      <c r="K96" s="16">
        <f t="shared" si="23"/>
        <v>5</v>
      </c>
      <c r="L96" s="110">
        <f t="shared" si="24"/>
        <v>2028</v>
      </c>
      <c r="M96" s="84">
        <f t="shared" si="21"/>
        <v>46874</v>
      </c>
      <c r="N96" s="85">
        <v>13.00628</v>
      </c>
      <c r="O96" s="85">
        <v>24.042750000000002</v>
      </c>
      <c r="P96" s="85">
        <v>12.46111</v>
      </c>
      <c r="Q96" s="86">
        <v>33.150379999999998</v>
      </c>
      <c r="S96" s="107">
        <v>28.057941720430108</v>
      </c>
      <c r="T96" s="109">
        <f t="shared" si="25"/>
        <v>0.8568964266717225</v>
      </c>
      <c r="U96" s="109">
        <f t="shared" si="26"/>
        <v>1.1814972149529372</v>
      </c>
      <c r="AD96" s="177" t="str">
        <f t="shared" si="16"/>
        <v>Winter</v>
      </c>
      <c r="AE96">
        <f t="shared" si="17"/>
        <v>11</v>
      </c>
      <c r="AF96" s="175">
        <v>45597</v>
      </c>
      <c r="AG96" s="176">
        <v>400</v>
      </c>
      <c r="AH96" s="176">
        <v>320</v>
      </c>
      <c r="AI96">
        <f t="shared" si="18"/>
        <v>25</v>
      </c>
      <c r="AJ96">
        <f t="shared" si="19"/>
        <v>5</v>
      </c>
    </row>
    <row r="97" spans="2:36" x14ac:dyDescent="0.2">
      <c r="B97" s="88">
        <f t="shared" si="22"/>
        <v>46905</v>
      </c>
      <c r="C97" s="81">
        <v>3.2136000401485494</v>
      </c>
      <c r="D97" s="81">
        <v>3.1751883609245657</v>
      </c>
      <c r="E97" s="89">
        <f t="shared" si="20"/>
        <v>2028</v>
      </c>
      <c r="K97" s="16">
        <f t="shared" si="23"/>
        <v>6</v>
      </c>
      <c r="L97" s="110">
        <f t="shared" si="24"/>
        <v>2028</v>
      </c>
      <c r="M97" s="84">
        <f t="shared" si="21"/>
        <v>46905</v>
      </c>
      <c r="N97" s="85">
        <v>27.477930000000001</v>
      </c>
      <c r="O97" s="85">
        <v>43.810429999999997</v>
      </c>
      <c r="P97" s="85">
        <v>21.09506</v>
      </c>
      <c r="Q97" s="86">
        <v>38.32423</v>
      </c>
      <c r="S97" s="107">
        <v>41.494034444444438</v>
      </c>
      <c r="T97" s="109">
        <f t="shared" si="25"/>
        <v>1.055824785094275</v>
      </c>
      <c r="U97" s="109">
        <f t="shared" si="26"/>
        <v>0.92360818881836071</v>
      </c>
      <c r="AD97" s="177" t="str">
        <f t="shared" si="16"/>
        <v>Winter</v>
      </c>
      <c r="AE97">
        <f t="shared" si="17"/>
        <v>12</v>
      </c>
      <c r="AF97" s="175">
        <v>45627</v>
      </c>
      <c r="AG97" s="176">
        <v>400</v>
      </c>
      <c r="AH97" s="176">
        <v>344</v>
      </c>
      <c r="AI97">
        <f t="shared" si="18"/>
        <v>25</v>
      </c>
      <c r="AJ97">
        <f t="shared" si="19"/>
        <v>6</v>
      </c>
    </row>
    <row r="98" spans="2:36" x14ac:dyDescent="0.2">
      <c r="B98" s="88">
        <f t="shared" si="22"/>
        <v>46935</v>
      </c>
      <c r="C98" s="81">
        <v>3.2962056810197731</v>
      </c>
      <c r="D98" s="81">
        <v>3.2171828918857406</v>
      </c>
      <c r="E98" s="89">
        <f t="shared" si="20"/>
        <v>2028</v>
      </c>
      <c r="K98" s="16">
        <f t="shared" si="23"/>
        <v>7</v>
      </c>
      <c r="L98" s="110">
        <f t="shared" si="24"/>
        <v>2028</v>
      </c>
      <c r="M98" s="84">
        <f t="shared" si="21"/>
        <v>46935</v>
      </c>
      <c r="N98" s="85">
        <v>124.2148</v>
      </c>
      <c r="O98" s="85">
        <v>149.41560000000001</v>
      </c>
      <c r="P98" s="85">
        <v>29.963069999999998</v>
      </c>
      <c r="Q98" s="86">
        <v>50.154110000000003</v>
      </c>
      <c r="S98" s="107">
        <v>103.52050247311828</v>
      </c>
      <c r="T98" s="109">
        <f t="shared" si="25"/>
        <v>1.4433430714732045</v>
      </c>
      <c r="U98" s="109">
        <f t="shared" si="26"/>
        <v>0.48448480061255289</v>
      </c>
      <c r="AD98" s="177" t="str">
        <f t="shared" si="16"/>
        <v>Winter</v>
      </c>
      <c r="AE98">
        <f t="shared" si="17"/>
        <v>1</v>
      </c>
      <c r="AF98" s="175">
        <v>45658</v>
      </c>
      <c r="AG98" s="176">
        <v>416</v>
      </c>
      <c r="AH98" s="176">
        <v>328</v>
      </c>
      <c r="AI98">
        <f t="shared" si="18"/>
        <v>26</v>
      </c>
      <c r="AJ98">
        <f t="shared" si="19"/>
        <v>5</v>
      </c>
    </row>
    <row r="99" spans="2:36" x14ac:dyDescent="0.2">
      <c r="B99" s="88">
        <f t="shared" si="22"/>
        <v>46966</v>
      </c>
      <c r="C99" s="81">
        <v>3.3751979524239686</v>
      </c>
      <c r="D99" s="81">
        <v>3.3012237349806686</v>
      </c>
      <c r="E99" s="89">
        <f t="shared" si="20"/>
        <v>2028</v>
      </c>
      <c r="K99" s="16">
        <f t="shared" si="23"/>
        <v>8</v>
      </c>
      <c r="L99" s="110">
        <f t="shared" si="24"/>
        <v>2028</v>
      </c>
      <c r="M99" s="84">
        <f t="shared" si="21"/>
        <v>46966</v>
      </c>
      <c r="N99" s="85">
        <v>143.3938</v>
      </c>
      <c r="O99" s="85">
        <v>154.0874</v>
      </c>
      <c r="P99" s="85">
        <v>38.364899999999999</v>
      </c>
      <c r="Q99" s="86">
        <v>55.47681</v>
      </c>
      <c r="S99" s="107">
        <v>112.73457193548387</v>
      </c>
      <c r="T99" s="109">
        <f t="shared" si="25"/>
        <v>1.366815852090002</v>
      </c>
      <c r="U99" s="109">
        <f t="shared" si="26"/>
        <v>0.49210112787538202</v>
      </c>
      <c r="AD99" s="177" t="str">
        <f t="shared" si="16"/>
        <v>Winter</v>
      </c>
      <c r="AE99">
        <f t="shared" si="17"/>
        <v>2</v>
      </c>
      <c r="AF99" s="175">
        <v>45689</v>
      </c>
      <c r="AG99" s="176">
        <v>384</v>
      </c>
      <c r="AH99" s="176">
        <v>288</v>
      </c>
      <c r="AI99">
        <f t="shared" si="18"/>
        <v>24</v>
      </c>
      <c r="AJ99">
        <f t="shared" si="19"/>
        <v>4</v>
      </c>
    </row>
    <row r="100" spans="2:36" x14ac:dyDescent="0.2">
      <c r="B100" s="88">
        <f t="shared" si="22"/>
        <v>46997</v>
      </c>
      <c r="C100" s="81">
        <v>3.3927629428886883</v>
      </c>
      <c r="D100" s="81">
        <v>3.2802005789137922</v>
      </c>
      <c r="E100" s="89">
        <f t="shared" si="20"/>
        <v>2028</v>
      </c>
      <c r="K100" s="16">
        <f t="shared" si="23"/>
        <v>9</v>
      </c>
      <c r="L100" s="110">
        <f t="shared" si="24"/>
        <v>2028</v>
      </c>
      <c r="M100" s="84">
        <f t="shared" si="21"/>
        <v>46997</v>
      </c>
      <c r="N100" s="85">
        <v>38.075020000000002</v>
      </c>
      <c r="O100" s="85">
        <v>51.947859999999999</v>
      </c>
      <c r="P100" s="85">
        <v>29.350380000000001</v>
      </c>
      <c r="Q100" s="86">
        <v>43.274850000000001</v>
      </c>
      <c r="S100" s="107">
        <v>48.093188888888889</v>
      </c>
      <c r="T100" s="109">
        <f t="shared" si="25"/>
        <v>1.0801500420364445</v>
      </c>
      <c r="U100" s="109">
        <f t="shared" si="26"/>
        <v>0.89981244745444433</v>
      </c>
      <c r="AD100" s="177" t="str">
        <f t="shared" si="16"/>
        <v>Winter</v>
      </c>
      <c r="AE100">
        <f t="shared" si="17"/>
        <v>3</v>
      </c>
      <c r="AF100" s="175">
        <v>45717</v>
      </c>
      <c r="AG100" s="176">
        <v>416</v>
      </c>
      <c r="AH100" s="176">
        <v>328</v>
      </c>
      <c r="AI100">
        <f t="shared" si="18"/>
        <v>26</v>
      </c>
      <c r="AJ100">
        <f t="shared" si="19"/>
        <v>5</v>
      </c>
    </row>
    <row r="101" spans="2:36" x14ac:dyDescent="0.2">
      <c r="B101" s="88">
        <f t="shared" si="22"/>
        <v>47027</v>
      </c>
      <c r="C101" s="81">
        <v>3.44335011542708</v>
      </c>
      <c r="D101" s="81">
        <v>3.5463558059673543</v>
      </c>
      <c r="E101" s="89">
        <f t="shared" si="20"/>
        <v>2028</v>
      </c>
      <c r="K101" s="16">
        <f t="shared" si="23"/>
        <v>10</v>
      </c>
      <c r="L101" s="110">
        <f t="shared" si="24"/>
        <v>2028</v>
      </c>
      <c r="M101" s="84">
        <f t="shared" si="21"/>
        <v>47027</v>
      </c>
      <c r="N101" s="85">
        <v>41.983229999999999</v>
      </c>
      <c r="O101" s="85">
        <v>42.001669999999997</v>
      </c>
      <c r="P101" s="85">
        <v>32.570869999999999</v>
      </c>
      <c r="Q101" s="86">
        <v>36.86206</v>
      </c>
      <c r="S101" s="107">
        <v>39.735820430107523</v>
      </c>
      <c r="T101" s="109">
        <f t="shared" si="25"/>
        <v>1.0570228460207067</v>
      </c>
      <c r="U101" s="109">
        <f t="shared" si="26"/>
        <v>0.92767834163227447</v>
      </c>
      <c r="AD101" s="177" t="str">
        <f t="shared" si="16"/>
        <v>Winter</v>
      </c>
      <c r="AE101">
        <f t="shared" si="17"/>
        <v>4</v>
      </c>
      <c r="AF101" s="175">
        <v>45748</v>
      </c>
      <c r="AG101" s="176">
        <v>416</v>
      </c>
      <c r="AH101" s="176">
        <v>304</v>
      </c>
      <c r="AI101">
        <f t="shared" si="18"/>
        <v>26</v>
      </c>
      <c r="AJ101">
        <f t="shared" si="19"/>
        <v>4</v>
      </c>
    </row>
    <row r="102" spans="2:36" x14ac:dyDescent="0.2">
      <c r="B102" s="88">
        <f t="shared" si="22"/>
        <v>47058</v>
      </c>
      <c r="C102" s="81">
        <v>3.7976610659439927</v>
      </c>
      <c r="D102" s="81">
        <v>4.3096102897746515</v>
      </c>
      <c r="E102" s="89">
        <f t="shared" si="20"/>
        <v>2028</v>
      </c>
      <c r="K102" s="16">
        <f t="shared" si="23"/>
        <v>11</v>
      </c>
      <c r="L102" s="110">
        <f t="shared" si="24"/>
        <v>2028</v>
      </c>
      <c r="M102" s="84">
        <f t="shared" si="21"/>
        <v>47058</v>
      </c>
      <c r="N102" s="85">
        <v>45.46114</v>
      </c>
      <c r="O102" s="85">
        <v>44.696860000000001</v>
      </c>
      <c r="P102" s="85">
        <v>37.104480000000002</v>
      </c>
      <c r="Q102" s="86">
        <v>40.585599999999999</v>
      </c>
      <c r="S102" s="107">
        <v>42.866465464632455</v>
      </c>
      <c r="T102" s="109">
        <f t="shared" si="25"/>
        <v>1.0426999174186109</v>
      </c>
      <c r="U102" s="109">
        <f t="shared" si="26"/>
        <v>0.94679138016372466</v>
      </c>
      <c r="AD102" s="177" t="str">
        <f t="shared" si="16"/>
        <v>Winter</v>
      </c>
      <c r="AE102">
        <f t="shared" si="17"/>
        <v>5</v>
      </c>
      <c r="AF102" s="175">
        <v>45778</v>
      </c>
      <c r="AG102" s="176">
        <v>416</v>
      </c>
      <c r="AH102" s="176">
        <v>328</v>
      </c>
      <c r="AI102">
        <f t="shared" si="18"/>
        <v>26</v>
      </c>
      <c r="AJ102">
        <f t="shared" si="19"/>
        <v>5</v>
      </c>
    </row>
    <row r="103" spans="2:36" x14ac:dyDescent="0.2">
      <c r="B103" s="90">
        <f t="shared" si="22"/>
        <v>47088</v>
      </c>
      <c r="C103" s="91">
        <v>4.1511690454682331</v>
      </c>
      <c r="D103" s="91">
        <v>4.6598063599231425</v>
      </c>
      <c r="E103" s="92">
        <f t="shared" si="20"/>
        <v>2028</v>
      </c>
      <c r="K103" s="16">
        <f t="shared" si="23"/>
        <v>12</v>
      </c>
      <c r="L103" s="110">
        <f t="shared" si="24"/>
        <v>2028</v>
      </c>
      <c r="M103" s="93">
        <f t="shared" si="21"/>
        <v>47088</v>
      </c>
      <c r="N103" s="94">
        <v>54.235190000000003</v>
      </c>
      <c r="O103" s="94">
        <v>50.408180000000002</v>
      </c>
      <c r="P103" s="94">
        <v>41.896529999999998</v>
      </c>
      <c r="Q103" s="95">
        <v>46.316899999999997</v>
      </c>
      <c r="S103" s="107">
        <v>48.516512903225802</v>
      </c>
      <c r="T103" s="109">
        <f t="shared" si="25"/>
        <v>1.0389901702240523</v>
      </c>
      <c r="U103" s="109">
        <f t="shared" si="26"/>
        <v>0.95466259276273013</v>
      </c>
      <c r="AD103" s="177" t="str">
        <f t="shared" si="16"/>
        <v>Summer</v>
      </c>
      <c r="AE103">
        <f t="shared" si="17"/>
        <v>6</v>
      </c>
      <c r="AF103" s="175">
        <v>45809</v>
      </c>
      <c r="AG103" s="176">
        <v>400</v>
      </c>
      <c r="AH103" s="176">
        <v>320</v>
      </c>
      <c r="AI103">
        <f t="shared" si="18"/>
        <v>25</v>
      </c>
      <c r="AJ103">
        <f t="shared" si="19"/>
        <v>5</v>
      </c>
    </row>
    <row r="104" spans="2:36" x14ac:dyDescent="0.2">
      <c r="B104" s="234">
        <f t="shared" si="22"/>
        <v>47119</v>
      </c>
      <c r="C104" s="81">
        <v>4.2228342065642881</v>
      </c>
      <c r="D104" s="81">
        <v>4.6853862591769291</v>
      </c>
      <c r="E104" s="233">
        <f t="shared" si="20"/>
        <v>2029</v>
      </c>
      <c r="K104" s="16">
        <f t="shared" si="23"/>
        <v>1</v>
      </c>
      <c r="L104" s="110">
        <f t="shared" si="24"/>
        <v>2029</v>
      </c>
      <c r="M104" s="84">
        <f t="shared" si="21"/>
        <v>47119</v>
      </c>
      <c r="N104" s="232">
        <v>50.457039999999999</v>
      </c>
      <c r="O104" s="232">
        <v>50.289270000000002</v>
      </c>
      <c r="P104" s="232">
        <v>38.82687</v>
      </c>
      <c r="Q104" s="231">
        <v>46.136189999999999</v>
      </c>
      <c r="S104" s="107">
        <v>48.458342258064519</v>
      </c>
      <c r="T104" s="109">
        <f t="shared" si="25"/>
        <v>1.037783540596269</v>
      </c>
      <c r="U104" s="109">
        <f t="shared" si="26"/>
        <v>0.95207941192668299</v>
      </c>
      <c r="AD104" s="177" t="str">
        <f t="shared" si="16"/>
        <v>Summer</v>
      </c>
      <c r="AE104">
        <f t="shared" si="17"/>
        <v>7</v>
      </c>
      <c r="AF104" s="175">
        <v>45839</v>
      </c>
      <c r="AG104" s="176">
        <v>416</v>
      </c>
      <c r="AH104" s="176">
        <v>328</v>
      </c>
      <c r="AI104">
        <f t="shared" si="18"/>
        <v>26</v>
      </c>
      <c r="AJ104">
        <f t="shared" si="19"/>
        <v>5</v>
      </c>
    </row>
    <row r="105" spans="2:36" x14ac:dyDescent="0.2">
      <c r="B105" s="88">
        <f t="shared" si="22"/>
        <v>47150</v>
      </c>
      <c r="C105" s="81">
        <v>3.8900027301013753</v>
      </c>
      <c r="D105" s="81">
        <v>4.2765739016695594</v>
      </c>
      <c r="E105" s="89">
        <f t="shared" si="20"/>
        <v>2029</v>
      </c>
      <c r="K105" s="16">
        <f t="shared" si="23"/>
        <v>2</v>
      </c>
      <c r="L105" s="110">
        <f t="shared" si="24"/>
        <v>2029</v>
      </c>
      <c r="M105" s="84">
        <f t="shared" si="21"/>
        <v>47150</v>
      </c>
      <c r="N105" s="85">
        <v>50.655799999999999</v>
      </c>
      <c r="O105" s="85">
        <v>45.334789999999998</v>
      </c>
      <c r="P105" s="85">
        <v>39.072760000000002</v>
      </c>
      <c r="Q105" s="86">
        <v>42.853290000000001</v>
      </c>
      <c r="S105" s="107">
        <v>44.27129</v>
      </c>
      <c r="T105" s="109">
        <f t="shared" si="25"/>
        <v>1.0240223404377871</v>
      </c>
      <c r="U105" s="109">
        <f t="shared" si="26"/>
        <v>0.96797021274961725</v>
      </c>
      <c r="AD105" s="177" t="str">
        <f t="shared" si="16"/>
        <v>Summer</v>
      </c>
      <c r="AE105">
        <f t="shared" si="17"/>
        <v>8</v>
      </c>
      <c r="AF105" s="175">
        <v>45870</v>
      </c>
      <c r="AG105" s="176">
        <v>416</v>
      </c>
      <c r="AH105" s="176">
        <v>328</v>
      </c>
      <c r="AI105">
        <f t="shared" si="18"/>
        <v>26</v>
      </c>
      <c r="AJ105">
        <f t="shared" si="19"/>
        <v>5</v>
      </c>
    </row>
    <row r="106" spans="2:36" x14ac:dyDescent="0.2">
      <c r="B106" s="88">
        <f t="shared" si="22"/>
        <v>47178</v>
      </c>
      <c r="C106" s="81">
        <v>3.6758102178058816</v>
      </c>
      <c r="D106" s="81">
        <v>4.0112471733772548</v>
      </c>
      <c r="E106" s="89">
        <f t="shared" si="20"/>
        <v>2029</v>
      </c>
      <c r="K106" s="16">
        <f t="shared" si="23"/>
        <v>3</v>
      </c>
      <c r="L106" s="110">
        <f t="shared" si="24"/>
        <v>2029</v>
      </c>
      <c r="M106" s="84">
        <f t="shared" si="21"/>
        <v>47178</v>
      </c>
      <c r="N106" s="85">
        <v>33.099820000000001</v>
      </c>
      <c r="O106" s="85">
        <v>34.978900000000003</v>
      </c>
      <c r="P106" s="85">
        <v>30.51361</v>
      </c>
      <c r="Q106" s="86">
        <v>38.972729999999999</v>
      </c>
      <c r="S106" s="107">
        <v>36.650610807537014</v>
      </c>
      <c r="T106" s="109">
        <f t="shared" si="25"/>
        <v>0.95438791412466084</v>
      </c>
      <c r="U106" s="109">
        <f t="shared" si="26"/>
        <v>1.0633582671966124</v>
      </c>
      <c r="AD106" s="177" t="str">
        <f t="shared" si="16"/>
        <v>Summer</v>
      </c>
      <c r="AE106">
        <f t="shared" si="17"/>
        <v>9</v>
      </c>
      <c r="AF106" s="175">
        <v>45901</v>
      </c>
      <c r="AG106" s="176">
        <v>400</v>
      </c>
      <c r="AH106" s="176">
        <v>320</v>
      </c>
      <c r="AI106">
        <f t="shared" si="18"/>
        <v>25</v>
      </c>
      <c r="AJ106">
        <f t="shared" si="19"/>
        <v>5</v>
      </c>
    </row>
    <row r="107" spans="2:36" x14ac:dyDescent="0.2">
      <c r="B107" s="88">
        <f t="shared" si="22"/>
        <v>47209</v>
      </c>
      <c r="C107" s="81">
        <v>3.5382010639365653</v>
      </c>
      <c r="D107" s="81">
        <v>3.602538378215042</v>
      </c>
      <c r="E107" s="89">
        <f t="shared" si="20"/>
        <v>2029</v>
      </c>
      <c r="K107" s="16">
        <f t="shared" si="23"/>
        <v>4</v>
      </c>
      <c r="L107" s="110">
        <f t="shared" si="24"/>
        <v>2029</v>
      </c>
      <c r="M107" s="84">
        <f t="shared" si="21"/>
        <v>47209</v>
      </c>
      <c r="N107" s="85">
        <v>20.179200000000002</v>
      </c>
      <c r="O107" s="85">
        <v>26.760290000000001</v>
      </c>
      <c r="P107" s="85">
        <v>22.735959999999999</v>
      </c>
      <c r="Q107" s="86">
        <v>33.92136</v>
      </c>
      <c r="S107" s="107">
        <v>29.94298777777778</v>
      </c>
      <c r="T107" s="109">
        <f t="shared" si="25"/>
        <v>0.89370807611457459</v>
      </c>
      <c r="U107" s="109">
        <f t="shared" si="26"/>
        <v>1.1328649048567816</v>
      </c>
      <c r="AD107" s="177" t="str">
        <f t="shared" si="16"/>
        <v>Winter</v>
      </c>
      <c r="AE107">
        <f t="shared" si="17"/>
        <v>10</v>
      </c>
      <c r="AF107" s="175">
        <v>45931</v>
      </c>
      <c r="AG107" s="176">
        <v>432</v>
      </c>
      <c r="AH107" s="176">
        <v>312</v>
      </c>
      <c r="AI107">
        <f t="shared" si="18"/>
        <v>27</v>
      </c>
      <c r="AJ107">
        <f t="shared" si="19"/>
        <v>4</v>
      </c>
    </row>
    <row r="108" spans="2:36" x14ac:dyDescent="0.2">
      <c r="B108" s="88">
        <f t="shared" si="22"/>
        <v>47239</v>
      </c>
      <c r="C108" s="81">
        <v>3.4363241192411924</v>
      </c>
      <c r="D108" s="81">
        <v>3.44476114536831</v>
      </c>
      <c r="E108" s="89">
        <f t="shared" si="20"/>
        <v>2029</v>
      </c>
      <c r="K108" s="16">
        <f t="shared" si="23"/>
        <v>5</v>
      </c>
      <c r="L108" s="110">
        <f t="shared" si="24"/>
        <v>2029</v>
      </c>
      <c r="M108" s="84">
        <f t="shared" si="21"/>
        <v>47239</v>
      </c>
      <c r="N108" s="85">
        <v>11.405430000000001</v>
      </c>
      <c r="O108" s="85">
        <v>22.272880000000001</v>
      </c>
      <c r="P108" s="85">
        <v>11.747949999999999</v>
      </c>
      <c r="Q108" s="86">
        <v>33.268140000000002</v>
      </c>
      <c r="S108" s="107">
        <v>27.120252688172044</v>
      </c>
      <c r="T108" s="109">
        <f t="shared" si="25"/>
        <v>0.82126373437935818</v>
      </c>
      <c r="U108" s="109">
        <f t="shared" si="26"/>
        <v>1.2266898978603262</v>
      </c>
      <c r="AD108" s="177" t="str">
        <f t="shared" si="16"/>
        <v>Winter</v>
      </c>
      <c r="AE108">
        <f t="shared" si="17"/>
        <v>11</v>
      </c>
      <c r="AF108" s="175">
        <v>45962</v>
      </c>
      <c r="AG108" s="176">
        <v>384</v>
      </c>
      <c r="AH108" s="176">
        <v>336</v>
      </c>
      <c r="AI108">
        <f t="shared" si="18"/>
        <v>24</v>
      </c>
      <c r="AJ108">
        <f t="shared" si="19"/>
        <v>6</v>
      </c>
    </row>
    <row r="109" spans="2:36" x14ac:dyDescent="0.2">
      <c r="B109" s="88">
        <f t="shared" si="22"/>
        <v>47270</v>
      </c>
      <c r="C109" s="81">
        <v>3.5571712536384621</v>
      </c>
      <c r="D109" s="81">
        <v>3.5092804864011389</v>
      </c>
      <c r="E109" s="89">
        <f t="shared" si="20"/>
        <v>2029</v>
      </c>
      <c r="K109" s="16">
        <f t="shared" si="23"/>
        <v>6</v>
      </c>
      <c r="L109" s="110">
        <f t="shared" si="24"/>
        <v>2029</v>
      </c>
      <c r="M109" s="84">
        <f t="shared" si="21"/>
        <v>47270</v>
      </c>
      <c r="N109" s="85">
        <v>22.507650000000002</v>
      </c>
      <c r="O109" s="85">
        <v>38.34919</v>
      </c>
      <c r="P109" s="85">
        <v>19.189979999999998</v>
      </c>
      <c r="Q109" s="86">
        <v>39.155589999999997</v>
      </c>
      <c r="S109" s="107">
        <v>38.689669999999992</v>
      </c>
      <c r="T109" s="109">
        <f t="shared" si="25"/>
        <v>0.99119971816766617</v>
      </c>
      <c r="U109" s="109">
        <f t="shared" si="26"/>
        <v>1.0120424909284573</v>
      </c>
      <c r="AD109" s="177" t="str">
        <f t="shared" si="16"/>
        <v>Winter</v>
      </c>
      <c r="AE109">
        <f t="shared" si="17"/>
        <v>12</v>
      </c>
      <c r="AF109" s="175">
        <v>45992</v>
      </c>
      <c r="AG109" s="176">
        <v>416</v>
      </c>
      <c r="AH109" s="176">
        <v>328</v>
      </c>
      <c r="AI109">
        <f t="shared" si="18"/>
        <v>26</v>
      </c>
      <c r="AJ109">
        <f t="shared" si="19"/>
        <v>5</v>
      </c>
    </row>
    <row r="110" spans="2:36" x14ac:dyDescent="0.2">
      <c r="B110" s="88">
        <f t="shared" si="22"/>
        <v>47300</v>
      </c>
      <c r="C110" s="81">
        <v>3.7410516109605538</v>
      </c>
      <c r="D110" s="81">
        <v>3.5953407952266287</v>
      </c>
      <c r="E110" s="89">
        <f t="shared" si="20"/>
        <v>2029</v>
      </c>
      <c r="K110" s="16">
        <f t="shared" si="23"/>
        <v>7</v>
      </c>
      <c r="L110" s="110">
        <f t="shared" si="24"/>
        <v>2029</v>
      </c>
      <c r="M110" s="84">
        <f t="shared" si="21"/>
        <v>47300</v>
      </c>
      <c r="N110" s="85">
        <v>120.43559999999999</v>
      </c>
      <c r="O110" s="85">
        <v>149.8553</v>
      </c>
      <c r="P110" s="85">
        <v>31.962869999999999</v>
      </c>
      <c r="Q110" s="86">
        <v>54.943040000000003</v>
      </c>
      <c r="S110" s="107">
        <v>105.97113677419354</v>
      </c>
      <c r="T110" s="109">
        <f t="shared" si="25"/>
        <v>1.4141143009470225</v>
      </c>
      <c r="U110" s="109">
        <f t="shared" si="26"/>
        <v>0.51847174308485788</v>
      </c>
      <c r="AD110" s="177" t="str">
        <f t="shared" si="16"/>
        <v>Winter</v>
      </c>
      <c r="AE110">
        <f t="shared" si="17"/>
        <v>1</v>
      </c>
      <c r="AF110" s="175">
        <v>46023</v>
      </c>
      <c r="AG110" s="176">
        <v>416</v>
      </c>
      <c r="AH110" s="176">
        <v>328</v>
      </c>
      <c r="AI110">
        <f t="shared" si="18"/>
        <v>26</v>
      </c>
      <c r="AJ110">
        <f t="shared" si="19"/>
        <v>5</v>
      </c>
    </row>
    <row r="111" spans="2:36" x14ac:dyDescent="0.2">
      <c r="B111" s="88">
        <f t="shared" si="22"/>
        <v>47331</v>
      </c>
      <c r="C111" s="81">
        <v>3.835802188095955</v>
      </c>
      <c r="D111" s="81">
        <v>3.6670577192478708</v>
      </c>
      <c r="E111" s="89">
        <f t="shared" si="20"/>
        <v>2029</v>
      </c>
      <c r="K111" s="16">
        <f t="shared" si="23"/>
        <v>8</v>
      </c>
      <c r="L111" s="110">
        <f t="shared" si="24"/>
        <v>2029</v>
      </c>
      <c r="M111" s="84">
        <f t="shared" si="21"/>
        <v>47331</v>
      </c>
      <c r="N111" s="85">
        <v>199.4443</v>
      </c>
      <c r="O111" s="85">
        <v>215.0299</v>
      </c>
      <c r="P111" s="85">
        <v>47.770580000000002</v>
      </c>
      <c r="Q111" s="86">
        <v>66.788550000000001</v>
      </c>
      <c r="S111" s="107">
        <v>152.86417258064517</v>
      </c>
      <c r="T111" s="109">
        <f t="shared" si="25"/>
        <v>1.4066729722856324</v>
      </c>
      <c r="U111" s="109">
        <f t="shared" si="26"/>
        <v>0.4369143460660474</v>
      </c>
      <c r="AD111" s="177" t="str">
        <f t="shared" si="16"/>
        <v>Winter</v>
      </c>
      <c r="AE111">
        <f t="shared" si="17"/>
        <v>2</v>
      </c>
      <c r="AF111" s="175">
        <v>46054</v>
      </c>
      <c r="AG111" s="176">
        <v>384</v>
      </c>
      <c r="AH111" s="176">
        <v>288</v>
      </c>
      <c r="AI111">
        <f t="shared" si="18"/>
        <v>24</v>
      </c>
      <c r="AJ111">
        <f t="shared" si="19"/>
        <v>4</v>
      </c>
    </row>
    <row r="112" spans="2:36" x14ac:dyDescent="0.2">
      <c r="B112" s="88">
        <f t="shared" si="22"/>
        <v>47362</v>
      </c>
      <c r="C112" s="81">
        <v>3.8395159289370673</v>
      </c>
      <c r="D112" s="81">
        <v>3.6670577192478708</v>
      </c>
      <c r="E112" s="89">
        <f t="shared" si="20"/>
        <v>2029</v>
      </c>
      <c r="K112" s="16">
        <f t="shared" si="23"/>
        <v>9</v>
      </c>
      <c r="L112" s="110">
        <f t="shared" si="24"/>
        <v>2029</v>
      </c>
      <c r="M112" s="84">
        <f t="shared" si="21"/>
        <v>47362</v>
      </c>
      <c r="N112" s="85">
        <v>48.881390000000003</v>
      </c>
      <c r="O112" s="85">
        <v>66.912620000000004</v>
      </c>
      <c r="P112" s="85">
        <v>31.872879999999999</v>
      </c>
      <c r="Q112" s="86">
        <v>48.655290000000001</v>
      </c>
      <c r="S112" s="107">
        <v>58.392532666666668</v>
      </c>
      <c r="T112" s="109">
        <f t="shared" si="25"/>
        <v>1.145910563290176</v>
      </c>
      <c r="U112" s="109">
        <f t="shared" si="26"/>
        <v>0.83324507052551322</v>
      </c>
      <c r="AD112" s="177" t="str">
        <f t="shared" si="16"/>
        <v>Winter</v>
      </c>
      <c r="AE112">
        <f t="shared" si="17"/>
        <v>3</v>
      </c>
      <c r="AF112" s="175">
        <v>46082</v>
      </c>
      <c r="AG112" s="176">
        <v>416</v>
      </c>
      <c r="AH112" s="176">
        <v>328</v>
      </c>
      <c r="AI112">
        <f t="shared" si="18"/>
        <v>26</v>
      </c>
      <c r="AJ112">
        <f t="shared" si="19"/>
        <v>5</v>
      </c>
    </row>
    <row r="113" spans="2:36" x14ac:dyDescent="0.2">
      <c r="B113" s="88">
        <f t="shared" si="22"/>
        <v>47392</v>
      </c>
      <c r="C113" s="81">
        <v>3.8755492522332631</v>
      </c>
      <c r="D113" s="81">
        <v>3.9610712171486737</v>
      </c>
      <c r="E113" s="89">
        <f t="shared" si="20"/>
        <v>2029</v>
      </c>
      <c r="K113" s="16">
        <f t="shared" si="23"/>
        <v>10</v>
      </c>
      <c r="L113" s="110">
        <f t="shared" si="24"/>
        <v>2029</v>
      </c>
      <c r="M113" s="84">
        <f t="shared" si="21"/>
        <v>47392</v>
      </c>
      <c r="N113" s="85">
        <v>44.868980000000001</v>
      </c>
      <c r="O113" s="85">
        <v>46.599119999999999</v>
      </c>
      <c r="P113" s="85">
        <v>34.839579999999998</v>
      </c>
      <c r="Q113" s="86">
        <v>40.707270000000001</v>
      </c>
      <c r="S113" s="107">
        <v>44.128344193548386</v>
      </c>
      <c r="T113" s="109">
        <f t="shared" si="25"/>
        <v>1.0559906756440873</v>
      </c>
      <c r="U113" s="109">
        <f t="shared" si="26"/>
        <v>0.92247444910818677</v>
      </c>
      <c r="AD113" s="177" t="str">
        <f t="shared" si="16"/>
        <v>Winter</v>
      </c>
      <c r="AE113">
        <f t="shared" si="17"/>
        <v>4</v>
      </c>
      <c r="AF113" s="175">
        <v>46113</v>
      </c>
      <c r="AG113" s="176">
        <v>416</v>
      </c>
      <c r="AH113" s="176">
        <v>304</v>
      </c>
      <c r="AI113">
        <f t="shared" si="18"/>
        <v>26</v>
      </c>
      <c r="AJ113">
        <f t="shared" si="19"/>
        <v>4</v>
      </c>
    </row>
    <row r="114" spans="2:36" x14ac:dyDescent="0.2">
      <c r="B114" s="88">
        <f t="shared" si="22"/>
        <v>47423</v>
      </c>
      <c r="C114" s="81">
        <v>4.1602024691358022</v>
      </c>
      <c r="D114" s="81">
        <v>4.5777849825587769</v>
      </c>
      <c r="E114" s="89">
        <f t="shared" si="20"/>
        <v>2029</v>
      </c>
      <c r="K114" s="16">
        <f t="shared" si="23"/>
        <v>11</v>
      </c>
      <c r="L114" s="110">
        <f t="shared" si="24"/>
        <v>2029</v>
      </c>
      <c r="M114" s="84">
        <f t="shared" si="21"/>
        <v>47423</v>
      </c>
      <c r="N114" s="85">
        <v>45.221960000000003</v>
      </c>
      <c r="O114" s="85">
        <v>48.299050000000001</v>
      </c>
      <c r="P114" s="85">
        <v>38.230930000000001</v>
      </c>
      <c r="Q114" s="86">
        <v>44.160580000000003</v>
      </c>
      <c r="S114" s="107">
        <v>46.456541165048549</v>
      </c>
      <c r="T114" s="109">
        <f t="shared" si="25"/>
        <v>1.0396609129466929</v>
      </c>
      <c r="U114" s="109">
        <f t="shared" si="26"/>
        <v>0.95057830162405832</v>
      </c>
      <c r="AD114" s="177" t="str">
        <f t="shared" si="16"/>
        <v>Winter</v>
      </c>
      <c r="AE114">
        <f t="shared" si="17"/>
        <v>5</v>
      </c>
      <c r="AF114" s="175">
        <v>46143</v>
      </c>
      <c r="AG114" s="176">
        <v>400</v>
      </c>
      <c r="AH114" s="176">
        <v>344</v>
      </c>
      <c r="AI114">
        <f t="shared" si="18"/>
        <v>25</v>
      </c>
      <c r="AJ114">
        <f t="shared" si="19"/>
        <v>6</v>
      </c>
    </row>
    <row r="115" spans="2:36" x14ac:dyDescent="0.2">
      <c r="B115" s="90">
        <f t="shared" si="22"/>
        <v>47453</v>
      </c>
      <c r="C115" s="91">
        <v>4.370279755093847</v>
      </c>
      <c r="D115" s="91">
        <v>4.8072791394267513</v>
      </c>
      <c r="E115" s="92">
        <f t="shared" si="20"/>
        <v>2029</v>
      </c>
      <c r="K115" s="16">
        <f t="shared" si="23"/>
        <v>12</v>
      </c>
      <c r="L115" s="110">
        <f t="shared" si="24"/>
        <v>2029</v>
      </c>
      <c r="M115" s="93">
        <f t="shared" si="21"/>
        <v>47453</v>
      </c>
      <c r="N115" s="94">
        <v>53.346559999999997</v>
      </c>
      <c r="O115" s="94">
        <v>51.322090000000003</v>
      </c>
      <c r="P115" s="94">
        <v>41.59986</v>
      </c>
      <c r="Q115" s="95">
        <v>47.752249999999997</v>
      </c>
      <c r="S115" s="107">
        <v>49.671518817204294</v>
      </c>
      <c r="T115" s="109">
        <f t="shared" si="25"/>
        <v>1.033229730479351</v>
      </c>
      <c r="U115" s="109">
        <f t="shared" si="26"/>
        <v>0.96136077851238289</v>
      </c>
      <c r="AD115" s="177" t="str">
        <f t="shared" si="16"/>
        <v>Summer</v>
      </c>
      <c r="AE115">
        <f t="shared" si="17"/>
        <v>6</v>
      </c>
      <c r="AF115" s="175">
        <v>46174</v>
      </c>
      <c r="AG115" s="176">
        <v>416</v>
      </c>
      <c r="AH115" s="176">
        <v>304</v>
      </c>
      <c r="AI115">
        <f t="shared" si="18"/>
        <v>26</v>
      </c>
      <c r="AJ115">
        <f t="shared" si="19"/>
        <v>4</v>
      </c>
    </row>
    <row r="116" spans="2:36" x14ac:dyDescent="0.2">
      <c r="B116" s="234">
        <f t="shared" si="22"/>
        <v>47484</v>
      </c>
      <c r="C116" s="81">
        <v>4.3405698283649503</v>
      </c>
      <c r="D116" s="81">
        <v>4.7708769751040556</v>
      </c>
      <c r="E116" s="233">
        <f t="shared" si="20"/>
        <v>2030</v>
      </c>
      <c r="K116" s="16">
        <f t="shared" si="23"/>
        <v>1</v>
      </c>
      <c r="L116" s="110">
        <f t="shared" si="24"/>
        <v>2030</v>
      </c>
      <c r="M116" s="84">
        <f t="shared" si="21"/>
        <v>47484</v>
      </c>
      <c r="N116" s="232">
        <v>52.367240000000002</v>
      </c>
      <c r="O116" s="232">
        <v>50.395319999999998</v>
      </c>
      <c r="P116" s="232">
        <v>37.779850000000003</v>
      </c>
      <c r="Q116" s="231">
        <v>46.319180000000003</v>
      </c>
      <c r="S116" s="107">
        <v>48.598312043010758</v>
      </c>
      <c r="T116" s="109">
        <f t="shared" si="25"/>
        <v>1.0369767566288894</v>
      </c>
      <c r="U116" s="109">
        <f t="shared" si="26"/>
        <v>0.95310265012921302</v>
      </c>
      <c r="AD116" s="177" t="str">
        <f t="shared" si="16"/>
        <v>Summer</v>
      </c>
      <c r="AE116">
        <f t="shared" si="17"/>
        <v>7</v>
      </c>
      <c r="AF116" s="175">
        <v>46204</v>
      </c>
      <c r="AG116" s="176">
        <v>416</v>
      </c>
      <c r="AH116" s="176">
        <v>328</v>
      </c>
      <c r="AI116">
        <f t="shared" si="18"/>
        <v>26</v>
      </c>
      <c r="AJ116">
        <f t="shared" si="19"/>
        <v>5</v>
      </c>
    </row>
    <row r="117" spans="2:36" x14ac:dyDescent="0.2">
      <c r="B117" s="88">
        <f t="shared" si="22"/>
        <v>47515</v>
      </c>
      <c r="C117" s="81">
        <v>4.0996785305630832</v>
      </c>
      <c r="D117" s="81">
        <v>4.440771999916028</v>
      </c>
      <c r="E117" s="89">
        <f t="shared" si="20"/>
        <v>2030</v>
      </c>
      <c r="K117" s="16">
        <f t="shared" si="23"/>
        <v>2</v>
      </c>
      <c r="L117" s="110">
        <f t="shared" si="24"/>
        <v>2030</v>
      </c>
      <c r="M117" s="84">
        <f t="shared" si="21"/>
        <v>47515</v>
      </c>
      <c r="N117" s="85">
        <v>53.073590000000003</v>
      </c>
      <c r="O117" s="85">
        <v>46.823639999999997</v>
      </c>
      <c r="P117" s="85">
        <v>41.644170000000003</v>
      </c>
      <c r="Q117" s="86">
        <v>44.856850000000001</v>
      </c>
      <c r="S117" s="107">
        <v>45.980729999999994</v>
      </c>
      <c r="T117" s="109">
        <f t="shared" si="25"/>
        <v>1.0183318098690475</v>
      </c>
      <c r="U117" s="109">
        <f t="shared" si="26"/>
        <v>0.97555758684127036</v>
      </c>
      <c r="AD117" s="177" t="str">
        <f t="shared" si="16"/>
        <v>Summer</v>
      </c>
      <c r="AE117">
        <f t="shared" si="17"/>
        <v>8</v>
      </c>
      <c r="AF117" s="175">
        <v>46235</v>
      </c>
      <c r="AG117" s="176">
        <v>416</v>
      </c>
      <c r="AH117" s="176">
        <v>328</v>
      </c>
      <c r="AI117">
        <f t="shared" si="18"/>
        <v>26</v>
      </c>
      <c r="AJ117">
        <f t="shared" si="19"/>
        <v>5</v>
      </c>
    </row>
    <row r="118" spans="2:36" x14ac:dyDescent="0.2">
      <c r="B118" s="88">
        <f t="shared" si="22"/>
        <v>47543</v>
      </c>
      <c r="C118" s="81">
        <v>3.9501251831777577</v>
      </c>
      <c r="D118" s="81">
        <v>4.2353560882970633</v>
      </c>
      <c r="E118" s="89">
        <f t="shared" si="20"/>
        <v>2030</v>
      </c>
      <c r="K118" s="16">
        <f t="shared" si="23"/>
        <v>3</v>
      </c>
      <c r="L118" s="110">
        <f t="shared" si="24"/>
        <v>2030</v>
      </c>
      <c r="M118" s="84">
        <f t="shared" si="21"/>
        <v>47543</v>
      </c>
      <c r="N118" s="85">
        <v>33.177889999999998</v>
      </c>
      <c r="O118" s="85">
        <v>33.14011</v>
      </c>
      <c r="P118" s="85">
        <v>31.175329999999999</v>
      </c>
      <c r="Q118" s="86">
        <v>38.307699999999997</v>
      </c>
      <c r="S118" s="107">
        <v>35.414406002691791</v>
      </c>
      <c r="T118" s="109">
        <f t="shared" si="25"/>
        <v>0.9357804842888251</v>
      </c>
      <c r="U118" s="109">
        <f t="shared" si="26"/>
        <v>1.0816982218221673</v>
      </c>
      <c r="AD118" s="177" t="str">
        <f t="shared" si="16"/>
        <v>Summer</v>
      </c>
      <c r="AE118">
        <f t="shared" si="17"/>
        <v>9</v>
      </c>
      <c r="AF118" s="175">
        <v>46266</v>
      </c>
      <c r="AG118" s="176">
        <v>400</v>
      </c>
      <c r="AH118" s="176">
        <v>320</v>
      </c>
      <c r="AI118">
        <f t="shared" si="18"/>
        <v>25</v>
      </c>
      <c r="AJ118">
        <f t="shared" si="19"/>
        <v>5</v>
      </c>
    </row>
    <row r="119" spans="2:36" x14ac:dyDescent="0.2">
      <c r="B119" s="88">
        <f t="shared" si="22"/>
        <v>47574</v>
      </c>
      <c r="C119" s="81">
        <v>3.7910365552544412</v>
      </c>
      <c r="D119" s="81">
        <v>3.8172231197255617</v>
      </c>
      <c r="E119" s="89">
        <f t="shared" si="20"/>
        <v>2030</v>
      </c>
      <c r="K119" s="16">
        <f t="shared" si="23"/>
        <v>4</v>
      </c>
      <c r="L119" s="110">
        <f t="shared" si="24"/>
        <v>2030</v>
      </c>
      <c r="M119" s="84">
        <f t="shared" si="21"/>
        <v>47574</v>
      </c>
      <c r="N119" s="85">
        <v>17.431889999999999</v>
      </c>
      <c r="O119" s="85">
        <v>24.56427</v>
      </c>
      <c r="P119" s="85">
        <v>18.681450000000002</v>
      </c>
      <c r="Q119" s="86">
        <v>34.482550000000003</v>
      </c>
      <c r="S119" s="107">
        <v>28.751988222222224</v>
      </c>
      <c r="T119" s="109">
        <f t="shared" si="25"/>
        <v>0.85435030823414282</v>
      </c>
      <c r="U119" s="109">
        <f t="shared" si="26"/>
        <v>1.1993101045216994</v>
      </c>
      <c r="AD119" s="177" t="str">
        <f t="shared" si="16"/>
        <v>Winter</v>
      </c>
      <c r="AE119">
        <f t="shared" si="17"/>
        <v>10</v>
      </c>
      <c r="AF119" s="175">
        <v>46296</v>
      </c>
      <c r="AG119" s="176">
        <v>432</v>
      </c>
      <c r="AH119" s="176">
        <v>312</v>
      </c>
      <c r="AI119">
        <f t="shared" si="18"/>
        <v>27</v>
      </c>
      <c r="AJ119">
        <f t="shared" si="19"/>
        <v>4</v>
      </c>
    </row>
    <row r="120" spans="2:36" x14ac:dyDescent="0.2">
      <c r="B120" s="88">
        <f t="shared" si="22"/>
        <v>47604</v>
      </c>
      <c r="C120" s="81">
        <v>3.6756094750577137</v>
      </c>
      <c r="D120" s="81">
        <v>3.6997834203174911</v>
      </c>
      <c r="E120" s="89">
        <f t="shared" si="20"/>
        <v>2030</v>
      </c>
      <c r="K120" s="16">
        <f t="shared" si="23"/>
        <v>5</v>
      </c>
      <c r="L120" s="110">
        <f t="shared" si="24"/>
        <v>2030</v>
      </c>
      <c r="M120" s="84">
        <f t="shared" si="21"/>
        <v>47604</v>
      </c>
      <c r="N120" s="85">
        <v>11.37814</v>
      </c>
      <c r="O120" s="85">
        <v>23.180330000000001</v>
      </c>
      <c r="P120" s="85">
        <v>11.47541</v>
      </c>
      <c r="Q120" s="86">
        <v>34.859450000000002</v>
      </c>
      <c r="S120" s="107">
        <v>28.329189354838714</v>
      </c>
      <c r="T120" s="109">
        <f t="shared" si="25"/>
        <v>0.81824896962823712</v>
      </c>
      <c r="U120" s="109">
        <f t="shared" si="26"/>
        <v>1.2305135019349185</v>
      </c>
      <c r="AD120" s="177" t="str">
        <f t="shared" si="16"/>
        <v>Winter</v>
      </c>
      <c r="AE120">
        <f t="shared" si="17"/>
        <v>11</v>
      </c>
      <c r="AF120" s="175">
        <v>46327</v>
      </c>
      <c r="AG120" s="176">
        <v>384</v>
      </c>
      <c r="AH120" s="176">
        <v>336</v>
      </c>
      <c r="AI120">
        <f t="shared" si="18"/>
        <v>24</v>
      </c>
      <c r="AJ120">
        <f t="shared" si="19"/>
        <v>6</v>
      </c>
    </row>
    <row r="121" spans="2:36" x14ac:dyDescent="0.2">
      <c r="B121" s="88">
        <f t="shared" si="22"/>
        <v>47635</v>
      </c>
      <c r="C121" s="81">
        <v>3.740850868212386</v>
      </c>
      <c r="D121" s="81">
        <v>3.6778282031442018</v>
      </c>
      <c r="E121" s="89">
        <f t="shared" si="20"/>
        <v>2030</v>
      </c>
      <c r="K121" s="16">
        <f t="shared" si="23"/>
        <v>6</v>
      </c>
      <c r="L121" s="110">
        <f t="shared" si="24"/>
        <v>2030</v>
      </c>
      <c r="M121" s="84">
        <f t="shared" si="21"/>
        <v>47635</v>
      </c>
      <c r="N121" s="85">
        <v>22.38824</v>
      </c>
      <c r="O121" s="85">
        <v>38.901420000000002</v>
      </c>
      <c r="P121" s="85">
        <v>19.122579999999999</v>
      </c>
      <c r="Q121" s="86">
        <v>41.978200000000001</v>
      </c>
      <c r="S121" s="107">
        <v>40.268877777777782</v>
      </c>
      <c r="T121" s="109">
        <f t="shared" si="25"/>
        <v>0.96604182055124455</v>
      </c>
      <c r="U121" s="109">
        <f t="shared" si="26"/>
        <v>1.0424477243109442</v>
      </c>
      <c r="AD121" s="177" t="str">
        <f t="shared" si="16"/>
        <v>Winter</v>
      </c>
      <c r="AE121">
        <f t="shared" si="17"/>
        <v>12</v>
      </c>
      <c r="AF121" s="175">
        <v>46357</v>
      </c>
      <c r="AG121" s="176">
        <v>416</v>
      </c>
      <c r="AH121" s="176">
        <v>328</v>
      </c>
      <c r="AI121">
        <f t="shared" si="18"/>
        <v>26</v>
      </c>
      <c r="AJ121">
        <f t="shared" si="19"/>
        <v>5</v>
      </c>
    </row>
    <row r="122" spans="2:36" x14ac:dyDescent="0.2">
      <c r="B122" s="88">
        <f t="shared" si="22"/>
        <v>47665</v>
      </c>
      <c r="C122" s="81">
        <v>3.8454378400080298</v>
      </c>
      <c r="D122" s="81">
        <v>3.7217904186633604</v>
      </c>
      <c r="E122" s="89">
        <f t="shared" si="20"/>
        <v>2030</v>
      </c>
      <c r="K122" s="16">
        <f t="shared" si="23"/>
        <v>7</v>
      </c>
      <c r="L122" s="110">
        <f t="shared" si="24"/>
        <v>2030</v>
      </c>
      <c r="M122" s="84">
        <f t="shared" si="21"/>
        <v>47665</v>
      </c>
      <c r="N122" s="85">
        <v>132.38059999999999</v>
      </c>
      <c r="O122" s="85">
        <v>159.97200000000001</v>
      </c>
      <c r="P122" s="85">
        <v>31.781960000000002</v>
      </c>
      <c r="Q122" s="86">
        <v>57.68544</v>
      </c>
      <c r="S122" s="107">
        <v>114.87792516129032</v>
      </c>
      <c r="T122" s="109">
        <f t="shared" si="25"/>
        <v>1.3925390781161562</v>
      </c>
      <c r="U122" s="109">
        <f t="shared" si="26"/>
        <v>0.50214555946243611</v>
      </c>
      <c r="AD122" s="177" t="str">
        <f t="shared" si="16"/>
        <v>Winter</v>
      </c>
      <c r="AE122">
        <f t="shared" si="17"/>
        <v>1</v>
      </c>
      <c r="AF122" s="175">
        <v>46388</v>
      </c>
      <c r="AG122" s="176">
        <v>400</v>
      </c>
      <c r="AH122" s="176">
        <v>344</v>
      </c>
      <c r="AI122">
        <f t="shared" si="18"/>
        <v>25</v>
      </c>
      <c r="AJ122">
        <f t="shared" si="19"/>
        <v>6</v>
      </c>
    </row>
    <row r="123" spans="2:36" x14ac:dyDescent="0.2">
      <c r="B123" s="88">
        <f t="shared" si="22"/>
        <v>47696</v>
      </c>
      <c r="C123" s="81">
        <v>3.9709020576131686</v>
      </c>
      <c r="D123" s="81">
        <v>3.8392301180714301</v>
      </c>
      <c r="E123" s="89">
        <f t="shared" si="20"/>
        <v>2030</v>
      </c>
      <c r="K123" s="16">
        <f t="shared" si="23"/>
        <v>8</v>
      </c>
      <c r="L123" s="110">
        <f t="shared" si="24"/>
        <v>2030</v>
      </c>
      <c r="M123" s="84">
        <f t="shared" si="21"/>
        <v>47696</v>
      </c>
      <c r="N123" s="85">
        <v>178.0163</v>
      </c>
      <c r="O123" s="85">
        <v>192.8126</v>
      </c>
      <c r="P123" s="85">
        <v>50.119430000000001</v>
      </c>
      <c r="Q123" s="86">
        <v>70.071110000000004</v>
      </c>
      <c r="S123" s="107">
        <v>141.34036225806452</v>
      </c>
      <c r="T123" s="109">
        <f t="shared" si="25"/>
        <v>1.3641722500184028</v>
      </c>
      <c r="U123" s="109">
        <f t="shared" si="26"/>
        <v>0.49576149997451935</v>
      </c>
      <c r="AD123" s="177" t="str">
        <f t="shared" si="16"/>
        <v>Winter</v>
      </c>
      <c r="AE123">
        <f t="shared" si="17"/>
        <v>2</v>
      </c>
      <c r="AF123" s="175">
        <v>46419</v>
      </c>
      <c r="AG123" s="176">
        <v>384</v>
      </c>
      <c r="AH123" s="176">
        <v>288</v>
      </c>
      <c r="AI123">
        <f t="shared" si="18"/>
        <v>24</v>
      </c>
      <c r="AJ123">
        <f t="shared" si="19"/>
        <v>4</v>
      </c>
    </row>
    <row r="124" spans="2:36" x14ac:dyDescent="0.2">
      <c r="B124" s="88">
        <f t="shared" si="22"/>
        <v>47727</v>
      </c>
      <c r="C124" s="81">
        <v>3.9742143129579444</v>
      </c>
      <c r="D124" s="81">
        <v>3.7951643402071147</v>
      </c>
      <c r="E124" s="89">
        <f t="shared" si="20"/>
        <v>2030</v>
      </c>
      <c r="K124" s="16">
        <f t="shared" si="23"/>
        <v>9</v>
      </c>
      <c r="L124" s="110">
        <f t="shared" si="24"/>
        <v>2030</v>
      </c>
      <c r="M124" s="84">
        <f t="shared" si="21"/>
        <v>47727</v>
      </c>
      <c r="N124" s="85">
        <v>49.928100000000001</v>
      </c>
      <c r="O124" s="85">
        <v>72.664730000000006</v>
      </c>
      <c r="P124" s="85">
        <v>33.001710000000003</v>
      </c>
      <c r="Q124" s="86">
        <v>53.22475</v>
      </c>
      <c r="S124" s="107">
        <v>63.592739333333334</v>
      </c>
      <c r="T124" s="109">
        <f t="shared" si="25"/>
        <v>1.1426576486839815</v>
      </c>
      <c r="U124" s="109">
        <f t="shared" si="26"/>
        <v>0.83696268721830702</v>
      </c>
      <c r="AD124" s="177" t="str">
        <f t="shared" si="16"/>
        <v>Winter</v>
      </c>
      <c r="AE124">
        <f t="shared" si="17"/>
        <v>3</v>
      </c>
      <c r="AF124" s="175">
        <v>46447</v>
      </c>
      <c r="AG124" s="176">
        <v>432</v>
      </c>
      <c r="AH124" s="176">
        <v>312</v>
      </c>
      <c r="AI124">
        <f t="shared" si="18"/>
        <v>27</v>
      </c>
      <c r="AJ124">
        <f t="shared" si="19"/>
        <v>4</v>
      </c>
    </row>
    <row r="125" spans="2:36" x14ac:dyDescent="0.2">
      <c r="B125" s="88">
        <f t="shared" si="22"/>
        <v>47757</v>
      </c>
      <c r="C125" s="81">
        <v>4.0235970290073269</v>
      </c>
      <c r="D125" s="81">
        <v>4.1399751684074397</v>
      </c>
      <c r="E125" s="89">
        <f t="shared" si="20"/>
        <v>2030</v>
      </c>
      <c r="K125" s="16">
        <f t="shared" si="23"/>
        <v>10</v>
      </c>
      <c r="L125" s="110">
        <f t="shared" si="24"/>
        <v>2030</v>
      </c>
      <c r="M125" s="84">
        <f t="shared" si="21"/>
        <v>47757</v>
      </c>
      <c r="N125" s="85">
        <v>52.394889999999997</v>
      </c>
      <c r="O125" s="85">
        <v>50.04927</v>
      </c>
      <c r="P125" s="85">
        <v>37.860010000000003</v>
      </c>
      <c r="Q125" s="86">
        <v>45.292319999999997</v>
      </c>
      <c r="S125" s="107">
        <v>48.05442</v>
      </c>
      <c r="T125" s="109">
        <f t="shared" si="25"/>
        <v>1.0415123104180635</v>
      </c>
      <c r="U125" s="109">
        <f t="shared" si="26"/>
        <v>0.94252141634421971</v>
      </c>
      <c r="AD125" s="177" t="str">
        <f t="shared" si="16"/>
        <v>Winter</v>
      </c>
      <c r="AE125">
        <f t="shared" si="17"/>
        <v>4</v>
      </c>
      <c r="AF125" s="175">
        <v>46478</v>
      </c>
      <c r="AG125" s="176">
        <v>416</v>
      </c>
      <c r="AH125" s="176">
        <v>304</v>
      </c>
      <c r="AI125">
        <f t="shared" si="18"/>
        <v>26</v>
      </c>
      <c r="AJ125">
        <f t="shared" si="19"/>
        <v>4</v>
      </c>
    </row>
    <row r="126" spans="2:36" x14ac:dyDescent="0.2">
      <c r="B126" s="88">
        <f t="shared" si="22"/>
        <v>47788</v>
      </c>
      <c r="C126" s="81">
        <v>4.1348085114925226</v>
      </c>
      <c r="D126" s="81">
        <v>4.5434540651392208</v>
      </c>
      <c r="E126" s="89">
        <f t="shared" si="20"/>
        <v>2030</v>
      </c>
      <c r="K126" s="16">
        <f t="shared" si="23"/>
        <v>11</v>
      </c>
      <c r="L126" s="110">
        <f t="shared" si="24"/>
        <v>2030</v>
      </c>
      <c r="M126" s="84">
        <f t="shared" si="21"/>
        <v>47788</v>
      </c>
      <c r="N126" s="85">
        <v>44.416179999999997</v>
      </c>
      <c r="O126" s="85">
        <v>46.581679999999999</v>
      </c>
      <c r="P126" s="85">
        <v>37.423569999999998</v>
      </c>
      <c r="Q126" s="86">
        <v>43.295999999999999</v>
      </c>
      <c r="S126" s="107">
        <v>45.11884604715673</v>
      </c>
      <c r="T126" s="109">
        <f t="shared" si="25"/>
        <v>1.0324217944606642</v>
      </c>
      <c r="U126" s="109">
        <f t="shared" si="26"/>
        <v>0.95959901001786363</v>
      </c>
      <c r="AD126" s="177" t="str">
        <f t="shared" si="16"/>
        <v>Winter</v>
      </c>
      <c r="AE126">
        <f t="shared" si="17"/>
        <v>5</v>
      </c>
      <c r="AF126" s="175">
        <v>46508</v>
      </c>
      <c r="AG126" s="176">
        <v>400</v>
      </c>
      <c r="AH126" s="176">
        <v>344</v>
      </c>
      <c r="AI126">
        <f t="shared" si="18"/>
        <v>25</v>
      </c>
      <c r="AJ126">
        <f t="shared" si="19"/>
        <v>6</v>
      </c>
    </row>
    <row r="127" spans="2:36" x14ac:dyDescent="0.2">
      <c r="B127" s="90">
        <f t="shared" si="22"/>
        <v>47818</v>
      </c>
      <c r="C127" s="91">
        <v>4.4359226337448554</v>
      </c>
      <c r="D127" s="91">
        <v>4.9542858883771528</v>
      </c>
      <c r="E127" s="92">
        <f t="shared" si="20"/>
        <v>2030</v>
      </c>
      <c r="K127" s="16">
        <f t="shared" si="23"/>
        <v>12</v>
      </c>
      <c r="L127" s="110">
        <f t="shared" si="24"/>
        <v>2030</v>
      </c>
      <c r="M127" s="93">
        <f t="shared" si="21"/>
        <v>47818</v>
      </c>
      <c r="N127" s="94">
        <v>58.711419999999997</v>
      </c>
      <c r="O127" s="94">
        <v>53.67512</v>
      </c>
      <c r="P127" s="94">
        <v>43.337600000000002</v>
      </c>
      <c r="Q127" s="95">
        <v>49.221469999999997</v>
      </c>
      <c r="S127" s="107">
        <v>51.615905483870968</v>
      </c>
      <c r="T127" s="109">
        <f t="shared" si="25"/>
        <v>1.0398949606100101</v>
      </c>
      <c r="U127" s="109">
        <f t="shared" si="26"/>
        <v>0.95361051091859295</v>
      </c>
      <c r="AD127" s="177" t="str">
        <f t="shared" si="16"/>
        <v>Summer</v>
      </c>
      <c r="AE127">
        <f t="shared" si="17"/>
        <v>6</v>
      </c>
      <c r="AF127" s="175">
        <v>46539</v>
      </c>
      <c r="AG127" s="176">
        <v>416</v>
      </c>
      <c r="AH127" s="176">
        <v>304</v>
      </c>
      <c r="AI127">
        <f t="shared" si="18"/>
        <v>26</v>
      </c>
      <c r="AJ127">
        <f t="shared" si="19"/>
        <v>4</v>
      </c>
    </row>
    <row r="128" spans="2:36" x14ac:dyDescent="0.2">
      <c r="B128" s="234">
        <f t="shared" si="22"/>
        <v>47849</v>
      </c>
      <c r="C128" s="81">
        <v>4.5487400582153965</v>
      </c>
      <c r="D128" s="81">
        <v>5.0605408545082637</v>
      </c>
      <c r="E128" s="233">
        <f t="shared" si="20"/>
        <v>2031</v>
      </c>
      <c r="K128" s="16">
        <f t="shared" si="23"/>
        <v>1</v>
      </c>
      <c r="L128" s="110">
        <f t="shared" si="24"/>
        <v>2031</v>
      </c>
      <c r="M128" s="84">
        <f t="shared" si="21"/>
        <v>47849</v>
      </c>
      <c r="N128" s="232">
        <v>54.277949999999997</v>
      </c>
      <c r="O128" s="232">
        <v>52.930410000000002</v>
      </c>
      <c r="P128" s="232">
        <v>38.703029999999998</v>
      </c>
      <c r="Q128" s="231">
        <v>47.889339999999997</v>
      </c>
      <c r="S128" s="107">
        <v>50.708002795698924</v>
      </c>
      <c r="T128" s="109">
        <f t="shared" si="25"/>
        <v>1.0438275436178208</v>
      </c>
      <c r="U128" s="109">
        <f t="shared" si="26"/>
        <v>0.94441384711886134</v>
      </c>
      <c r="AD128" s="177" t="str">
        <f t="shared" si="16"/>
        <v>Summer</v>
      </c>
      <c r="AE128">
        <f t="shared" si="17"/>
        <v>7</v>
      </c>
      <c r="AF128" s="175">
        <v>46569</v>
      </c>
      <c r="AG128" s="176">
        <v>416</v>
      </c>
      <c r="AH128" s="176">
        <v>328</v>
      </c>
      <c r="AI128">
        <f t="shared" si="18"/>
        <v>26</v>
      </c>
      <c r="AJ128">
        <f t="shared" si="19"/>
        <v>5</v>
      </c>
    </row>
    <row r="129" spans="2:36" x14ac:dyDescent="0.2">
      <c r="B129" s="88">
        <f t="shared" si="22"/>
        <v>47880</v>
      </c>
      <c r="C129" s="81">
        <v>4.3604433604336048</v>
      </c>
      <c r="D129" s="81">
        <v>4.7377888058263844</v>
      </c>
      <c r="E129" s="89">
        <f t="shared" si="20"/>
        <v>2031</v>
      </c>
      <c r="K129" s="16">
        <f t="shared" si="23"/>
        <v>2</v>
      </c>
      <c r="L129" s="110">
        <f t="shared" si="24"/>
        <v>2031</v>
      </c>
      <c r="M129" s="84">
        <f t="shared" si="21"/>
        <v>47880</v>
      </c>
      <c r="N129" s="85">
        <v>54.203479999999999</v>
      </c>
      <c r="O129" s="85">
        <v>50.564709999999998</v>
      </c>
      <c r="P129" s="85">
        <v>41.759309999999999</v>
      </c>
      <c r="Q129" s="86">
        <v>48.217730000000003</v>
      </c>
      <c r="S129" s="107">
        <v>49.558861428571433</v>
      </c>
      <c r="T129" s="109">
        <f t="shared" si="25"/>
        <v>1.0202960387392734</v>
      </c>
      <c r="U129" s="109">
        <f t="shared" si="26"/>
        <v>0.97293861501430201</v>
      </c>
      <c r="AD129" s="177" t="str">
        <f t="shared" si="16"/>
        <v>Summer</v>
      </c>
      <c r="AE129">
        <f t="shared" si="17"/>
        <v>8</v>
      </c>
      <c r="AF129" s="175">
        <v>46600</v>
      </c>
      <c r="AG129" s="176">
        <v>416</v>
      </c>
      <c r="AH129" s="176">
        <v>328</v>
      </c>
      <c r="AI129">
        <f t="shared" si="18"/>
        <v>26</v>
      </c>
      <c r="AJ129">
        <f t="shared" si="19"/>
        <v>5</v>
      </c>
    </row>
    <row r="130" spans="2:36" x14ac:dyDescent="0.2">
      <c r="B130" s="88">
        <f t="shared" si="22"/>
        <v>47908</v>
      </c>
      <c r="C130" s="81">
        <v>4.0168721469436921</v>
      </c>
      <c r="D130" s="81">
        <v>4.2950079991075114</v>
      </c>
      <c r="E130" s="89">
        <f t="shared" si="20"/>
        <v>2031</v>
      </c>
      <c r="K130" s="16">
        <f t="shared" si="23"/>
        <v>3</v>
      </c>
      <c r="L130" s="110">
        <f t="shared" si="24"/>
        <v>2031</v>
      </c>
      <c r="M130" s="84">
        <f t="shared" si="21"/>
        <v>47908</v>
      </c>
      <c r="N130" s="85">
        <v>32.005159999999997</v>
      </c>
      <c r="O130" s="85">
        <v>34.480910000000002</v>
      </c>
      <c r="P130" s="85">
        <v>30.482119999999998</v>
      </c>
      <c r="Q130" s="86">
        <v>40.143479999999997</v>
      </c>
      <c r="S130" s="107">
        <v>36.973050497981156</v>
      </c>
      <c r="T130" s="109">
        <f t="shared" si="25"/>
        <v>0.93259575651954296</v>
      </c>
      <c r="U130" s="109">
        <f t="shared" si="26"/>
        <v>1.0857497409414989</v>
      </c>
      <c r="AD130" s="177" t="str">
        <f t="shared" ref="AD130:AD193" si="27">IF(AND(AE130&gt;=6,AE130&lt;=9),"Summer","Winter")</f>
        <v>Summer</v>
      </c>
      <c r="AE130">
        <f t="shared" ref="AE130:AE193" si="28">MONTH(AF130)</f>
        <v>9</v>
      </c>
      <c r="AF130" s="175">
        <v>46631</v>
      </c>
      <c r="AG130" s="176">
        <v>400</v>
      </c>
      <c r="AH130" s="176">
        <v>320</v>
      </c>
      <c r="AI130">
        <f t="shared" ref="AI130:AI193" si="29">AG130/16</f>
        <v>25</v>
      </c>
      <c r="AJ130">
        <f t="shared" ref="AJ130:AJ193" si="30">EDATE(AF130,1)-AF130-AI130</f>
        <v>5</v>
      </c>
    </row>
    <row r="131" spans="2:36" x14ac:dyDescent="0.2">
      <c r="B131" s="88">
        <f t="shared" si="22"/>
        <v>47939</v>
      </c>
      <c r="C131" s="81">
        <v>3.9080695774365148</v>
      </c>
      <c r="D131" s="81">
        <v>4.0098490817176344</v>
      </c>
      <c r="E131" s="89">
        <f t="shared" si="20"/>
        <v>2031</v>
      </c>
      <c r="K131" s="16">
        <f t="shared" si="23"/>
        <v>4</v>
      </c>
      <c r="L131" s="110">
        <f t="shared" si="24"/>
        <v>2031</v>
      </c>
      <c r="M131" s="84">
        <f t="shared" si="21"/>
        <v>47939</v>
      </c>
      <c r="N131" s="85">
        <v>17.042629999999999</v>
      </c>
      <c r="O131" s="85">
        <v>26.273610000000001</v>
      </c>
      <c r="P131" s="85">
        <v>17.78904</v>
      </c>
      <c r="Q131" s="86">
        <v>36.726959999999998</v>
      </c>
      <c r="S131" s="107">
        <v>30.687246666666667</v>
      </c>
      <c r="T131" s="109">
        <f t="shared" si="25"/>
        <v>0.85617358524833442</v>
      </c>
      <c r="U131" s="109">
        <f t="shared" si="26"/>
        <v>1.1968150938707003</v>
      </c>
      <c r="AD131" s="177" t="str">
        <f t="shared" si="27"/>
        <v>Winter</v>
      </c>
      <c r="AE131">
        <f t="shared" si="28"/>
        <v>10</v>
      </c>
      <c r="AF131" s="175">
        <v>46661</v>
      </c>
      <c r="AG131" s="176">
        <v>416</v>
      </c>
      <c r="AH131" s="176">
        <v>328</v>
      </c>
      <c r="AI131">
        <f t="shared" si="29"/>
        <v>26</v>
      </c>
      <c r="AJ131">
        <f t="shared" si="30"/>
        <v>5</v>
      </c>
    </row>
    <row r="132" spans="2:36" x14ac:dyDescent="0.2">
      <c r="B132" s="88">
        <f t="shared" si="22"/>
        <v>47969</v>
      </c>
      <c r="C132" s="81">
        <v>3.7639362842517312</v>
      </c>
      <c r="D132" s="81">
        <v>3.7472149743994105</v>
      </c>
      <c r="E132" s="89">
        <f t="shared" si="20"/>
        <v>2031</v>
      </c>
      <c r="K132" s="16">
        <f t="shared" si="23"/>
        <v>5</v>
      </c>
      <c r="L132" s="110">
        <f t="shared" si="24"/>
        <v>2031</v>
      </c>
      <c r="M132" s="84">
        <f t="shared" si="21"/>
        <v>47969</v>
      </c>
      <c r="N132" s="85">
        <v>10.61398</v>
      </c>
      <c r="O132" s="85">
        <v>24.295120000000001</v>
      </c>
      <c r="P132" s="85">
        <v>10.90207</v>
      </c>
      <c r="Q132" s="86">
        <v>37.772869999999998</v>
      </c>
      <c r="S132" s="107">
        <v>30.23692376344086</v>
      </c>
      <c r="T132" s="109">
        <f t="shared" si="25"/>
        <v>0.80349179004032711</v>
      </c>
      <c r="U132" s="109">
        <f t="shared" si="26"/>
        <v>1.2492299248269021</v>
      </c>
      <c r="AD132" s="177" t="str">
        <f t="shared" si="27"/>
        <v>Winter</v>
      </c>
      <c r="AE132">
        <f t="shared" si="28"/>
        <v>11</v>
      </c>
      <c r="AF132" s="175">
        <v>46692</v>
      </c>
      <c r="AG132" s="176">
        <v>400</v>
      </c>
      <c r="AH132" s="176">
        <v>320</v>
      </c>
      <c r="AI132">
        <f t="shared" si="29"/>
        <v>25</v>
      </c>
      <c r="AJ132">
        <f t="shared" si="30"/>
        <v>5</v>
      </c>
    </row>
    <row r="133" spans="2:36" x14ac:dyDescent="0.2">
      <c r="B133" s="88">
        <f t="shared" si="22"/>
        <v>48000</v>
      </c>
      <c r="C133" s="81">
        <v>3.8727388537589076</v>
      </c>
      <c r="D133" s="81">
        <v>3.8372624335134464</v>
      </c>
      <c r="E133" s="89">
        <f t="shared" si="20"/>
        <v>2031</v>
      </c>
      <c r="K133" s="16">
        <f t="shared" si="23"/>
        <v>6</v>
      </c>
      <c r="L133" s="110">
        <f t="shared" si="24"/>
        <v>2031</v>
      </c>
      <c r="M133" s="84">
        <f t="shared" si="21"/>
        <v>48000</v>
      </c>
      <c r="N133" s="85">
        <v>23.14838</v>
      </c>
      <c r="O133" s="85">
        <v>39.86909</v>
      </c>
      <c r="P133" s="85">
        <v>17.601019999999998</v>
      </c>
      <c r="Q133" s="86">
        <v>44.552329999999998</v>
      </c>
      <c r="S133" s="107">
        <v>41.950529999999993</v>
      </c>
      <c r="T133" s="109">
        <f t="shared" si="25"/>
        <v>0.95038346357006709</v>
      </c>
      <c r="U133" s="109">
        <f t="shared" si="26"/>
        <v>1.0620206705374164</v>
      </c>
      <c r="AD133" s="177" t="str">
        <f t="shared" si="27"/>
        <v>Winter</v>
      </c>
      <c r="AE133">
        <f t="shared" si="28"/>
        <v>12</v>
      </c>
      <c r="AF133" s="175">
        <v>46722</v>
      </c>
      <c r="AG133" s="176">
        <v>416</v>
      </c>
      <c r="AH133" s="176">
        <v>328</v>
      </c>
      <c r="AI133">
        <f t="shared" si="29"/>
        <v>26</v>
      </c>
      <c r="AJ133">
        <f t="shared" si="30"/>
        <v>5</v>
      </c>
    </row>
    <row r="134" spans="2:36" x14ac:dyDescent="0.2">
      <c r="B134" s="88">
        <f t="shared" si="22"/>
        <v>48030</v>
      </c>
      <c r="C134" s="81">
        <v>3.9816417946401685</v>
      </c>
      <c r="D134" s="81">
        <v>3.8747520024602906</v>
      </c>
      <c r="E134" s="89">
        <f t="shared" si="20"/>
        <v>2031</v>
      </c>
      <c r="K134" s="16">
        <f t="shared" si="23"/>
        <v>7</v>
      </c>
      <c r="L134" s="110">
        <f t="shared" si="24"/>
        <v>2031</v>
      </c>
      <c r="M134" s="84">
        <f t="shared" si="21"/>
        <v>48030</v>
      </c>
      <c r="N134" s="85">
        <v>121.8158</v>
      </c>
      <c r="O134" s="85">
        <v>156.0317</v>
      </c>
      <c r="P134" s="85">
        <v>30.276070000000001</v>
      </c>
      <c r="Q134" s="86">
        <v>59.53304</v>
      </c>
      <c r="S134" s="107">
        <v>113.48927999999999</v>
      </c>
      <c r="T134" s="109">
        <f t="shared" si="25"/>
        <v>1.3748584888370075</v>
      </c>
      <c r="U134" s="109">
        <f t="shared" si="26"/>
        <v>0.52456972147501513</v>
      </c>
      <c r="AD134" s="177" t="str">
        <f t="shared" si="27"/>
        <v>Winter</v>
      </c>
      <c r="AE134">
        <f t="shared" si="28"/>
        <v>1</v>
      </c>
      <c r="AF134" s="175">
        <v>46753</v>
      </c>
      <c r="AG134" s="176">
        <v>400</v>
      </c>
      <c r="AH134" s="176">
        <v>344</v>
      </c>
      <c r="AI134">
        <f t="shared" si="29"/>
        <v>25</v>
      </c>
      <c r="AJ134">
        <f t="shared" si="30"/>
        <v>6</v>
      </c>
    </row>
    <row r="135" spans="2:36" x14ac:dyDescent="0.2">
      <c r="B135" s="88">
        <f t="shared" si="22"/>
        <v>48061</v>
      </c>
      <c r="C135" s="81">
        <v>4.110016782093747</v>
      </c>
      <c r="D135" s="81">
        <v>3.9497829215265576</v>
      </c>
      <c r="E135" s="89">
        <f t="shared" si="20"/>
        <v>2031</v>
      </c>
      <c r="K135" s="16">
        <f t="shared" si="23"/>
        <v>8</v>
      </c>
      <c r="L135" s="110">
        <f t="shared" si="24"/>
        <v>2031</v>
      </c>
      <c r="M135" s="84">
        <f t="shared" si="21"/>
        <v>48061</v>
      </c>
      <c r="N135" s="85">
        <v>150.77080000000001</v>
      </c>
      <c r="O135" s="85">
        <v>168.1952</v>
      </c>
      <c r="P135" s="85">
        <v>44.746540000000003</v>
      </c>
      <c r="Q135" s="86">
        <v>72.117379999999997</v>
      </c>
      <c r="S135" s="107">
        <v>125.83831161290323</v>
      </c>
      <c r="T135" s="109">
        <f t="shared" si="25"/>
        <v>1.3365977168971614</v>
      </c>
      <c r="U135" s="109">
        <f t="shared" si="26"/>
        <v>0.57309557856945381</v>
      </c>
      <c r="AD135" s="177" t="str">
        <f t="shared" si="27"/>
        <v>Winter</v>
      </c>
      <c r="AE135">
        <f t="shared" si="28"/>
        <v>2</v>
      </c>
      <c r="AF135" s="175">
        <v>46784</v>
      </c>
      <c r="AG135" s="176">
        <v>400</v>
      </c>
      <c r="AH135" s="176">
        <v>296</v>
      </c>
      <c r="AI135">
        <f t="shared" si="29"/>
        <v>25</v>
      </c>
      <c r="AJ135">
        <f t="shared" si="30"/>
        <v>4</v>
      </c>
    </row>
    <row r="136" spans="2:36" x14ac:dyDescent="0.2">
      <c r="B136" s="88">
        <f t="shared" si="22"/>
        <v>48092</v>
      </c>
      <c r="C136" s="81">
        <v>4.011150978620897</v>
      </c>
      <c r="D136" s="81">
        <v>3.8372106523408678</v>
      </c>
      <c r="E136" s="89">
        <f t="shared" ref="E136:E199" si="31">YEAR(B136)</f>
        <v>2031</v>
      </c>
      <c r="K136" s="16">
        <f t="shared" si="23"/>
        <v>9</v>
      </c>
      <c r="L136" s="110">
        <f t="shared" si="24"/>
        <v>2031</v>
      </c>
      <c r="M136" s="84">
        <f t="shared" ref="M136:M199" si="32">B136</f>
        <v>48092</v>
      </c>
      <c r="N136" s="85">
        <v>45.60333</v>
      </c>
      <c r="O136" s="85">
        <v>67.708939999999998</v>
      </c>
      <c r="P136" s="85">
        <v>32.755629999999996</v>
      </c>
      <c r="Q136" s="86">
        <v>55.523589999999999</v>
      </c>
      <c r="S136" s="107">
        <v>62.293228888888891</v>
      </c>
      <c r="T136" s="109">
        <f t="shared" si="25"/>
        <v>1.0869390013603404</v>
      </c>
      <c r="U136" s="109">
        <f t="shared" si="26"/>
        <v>0.89132624829957441</v>
      </c>
      <c r="AD136" s="177" t="str">
        <f t="shared" si="27"/>
        <v>Winter</v>
      </c>
      <c r="AE136">
        <f t="shared" si="28"/>
        <v>3</v>
      </c>
      <c r="AF136" s="175">
        <v>46813</v>
      </c>
      <c r="AG136" s="176">
        <v>432</v>
      </c>
      <c r="AH136" s="176">
        <v>312</v>
      </c>
      <c r="AI136">
        <f t="shared" si="29"/>
        <v>27</v>
      </c>
      <c r="AJ136">
        <f t="shared" si="30"/>
        <v>4</v>
      </c>
    </row>
    <row r="137" spans="2:36" x14ac:dyDescent="0.2">
      <c r="B137" s="88">
        <f t="shared" ref="B137:B200" si="33">EDATE(B136,1)</f>
        <v>48122</v>
      </c>
      <c r="C137" s="81">
        <v>4.1326003412626715</v>
      </c>
      <c r="D137" s="81">
        <v>4.2349936200890133</v>
      </c>
      <c r="E137" s="89">
        <f t="shared" si="31"/>
        <v>2031</v>
      </c>
      <c r="K137" s="16">
        <f t="shared" ref="K137:K200" si="34">MONTH(M137)</f>
        <v>10</v>
      </c>
      <c r="L137" s="110">
        <f t="shared" ref="L137:L200" si="35">YEAR(M137)</f>
        <v>2031</v>
      </c>
      <c r="M137" s="84">
        <f t="shared" si="32"/>
        <v>48122</v>
      </c>
      <c r="N137" s="85">
        <v>47.656230000000001</v>
      </c>
      <c r="O137" s="85">
        <v>50.419499999999999</v>
      </c>
      <c r="P137" s="85">
        <v>36.173810000000003</v>
      </c>
      <c r="Q137" s="86">
        <v>46.501390000000001</v>
      </c>
      <c r="S137" s="107">
        <v>48.776421612903228</v>
      </c>
      <c r="T137" s="109">
        <f t="shared" ref="T137:T200" si="36">O137/S137</f>
        <v>1.0336859148901181</v>
      </c>
      <c r="U137" s="109">
        <f t="shared" ref="U137:U200" si="37">Q137/S137</f>
        <v>0.95335796399829797</v>
      </c>
      <c r="AD137" s="177" t="str">
        <f t="shared" si="27"/>
        <v>Winter</v>
      </c>
      <c r="AE137">
        <f t="shared" si="28"/>
        <v>4</v>
      </c>
      <c r="AF137" s="175">
        <v>46844</v>
      </c>
      <c r="AG137" s="176">
        <v>400</v>
      </c>
      <c r="AH137" s="176">
        <v>320</v>
      </c>
      <c r="AI137">
        <f t="shared" si="29"/>
        <v>25</v>
      </c>
      <c r="AJ137">
        <f t="shared" si="30"/>
        <v>5</v>
      </c>
    </row>
    <row r="138" spans="2:36" x14ac:dyDescent="0.2">
      <c r="B138" s="88">
        <f t="shared" si="33"/>
        <v>48153</v>
      </c>
      <c r="C138" s="81">
        <v>4.1786708019672787</v>
      </c>
      <c r="D138" s="81">
        <v>4.655197835563655</v>
      </c>
      <c r="E138" s="89">
        <f t="shared" si="31"/>
        <v>2031</v>
      </c>
      <c r="K138" s="16">
        <f t="shared" si="34"/>
        <v>11</v>
      </c>
      <c r="L138" s="110">
        <f t="shared" si="35"/>
        <v>2031</v>
      </c>
      <c r="M138" s="84">
        <f t="shared" si="32"/>
        <v>48153</v>
      </c>
      <c r="N138" s="85">
        <v>46.35857</v>
      </c>
      <c r="O138" s="85">
        <v>51.511510000000001</v>
      </c>
      <c r="P138" s="85">
        <v>38.866709999999998</v>
      </c>
      <c r="Q138" s="86">
        <v>47.498139999999999</v>
      </c>
      <c r="S138" s="107">
        <v>49.635635256588074</v>
      </c>
      <c r="T138" s="109">
        <f t="shared" si="36"/>
        <v>1.0377929028955653</v>
      </c>
      <c r="U138" s="109">
        <f t="shared" si="37"/>
        <v>0.95693627681929649</v>
      </c>
      <c r="AD138" s="177" t="str">
        <f t="shared" si="27"/>
        <v>Winter</v>
      </c>
      <c r="AE138">
        <f t="shared" si="28"/>
        <v>5</v>
      </c>
      <c r="AF138" s="175">
        <v>46874</v>
      </c>
      <c r="AG138" s="176">
        <v>416</v>
      </c>
      <c r="AH138" s="176">
        <v>328</v>
      </c>
      <c r="AI138">
        <f t="shared" si="29"/>
        <v>26</v>
      </c>
      <c r="AJ138">
        <f t="shared" si="30"/>
        <v>5</v>
      </c>
    </row>
    <row r="139" spans="2:36" x14ac:dyDescent="0.2">
      <c r="B139" s="90">
        <f t="shared" si="33"/>
        <v>48183</v>
      </c>
      <c r="C139" s="91">
        <v>4.5312754391247614</v>
      </c>
      <c r="D139" s="91">
        <v>5.0679973433595684</v>
      </c>
      <c r="E139" s="92">
        <f t="shared" si="31"/>
        <v>2031</v>
      </c>
      <c r="K139" s="16">
        <f t="shared" si="34"/>
        <v>12</v>
      </c>
      <c r="L139" s="110">
        <f t="shared" si="35"/>
        <v>2031</v>
      </c>
      <c r="M139" s="93">
        <f t="shared" si="32"/>
        <v>48183</v>
      </c>
      <c r="N139" s="94">
        <v>60.987720000000003</v>
      </c>
      <c r="O139" s="94">
        <v>57.809959999999997</v>
      </c>
      <c r="P139" s="94">
        <v>44.482439999999997</v>
      </c>
      <c r="Q139" s="95">
        <v>53.237499999999997</v>
      </c>
      <c r="S139" s="107">
        <v>55.794144301075264</v>
      </c>
      <c r="T139" s="109">
        <f t="shared" si="36"/>
        <v>1.0361295208337102</v>
      </c>
      <c r="U139" s="109">
        <f t="shared" si="37"/>
        <v>0.95417719308895299</v>
      </c>
      <c r="AD139" s="177" t="str">
        <f t="shared" si="27"/>
        <v>Summer</v>
      </c>
      <c r="AE139">
        <f t="shared" si="28"/>
        <v>6</v>
      </c>
      <c r="AF139" s="175">
        <v>46905</v>
      </c>
      <c r="AG139" s="176">
        <v>416</v>
      </c>
      <c r="AH139" s="176">
        <v>304</v>
      </c>
      <c r="AI139">
        <f t="shared" si="29"/>
        <v>26</v>
      </c>
      <c r="AJ139">
        <f t="shared" si="30"/>
        <v>4</v>
      </c>
    </row>
    <row r="140" spans="2:36" x14ac:dyDescent="0.2">
      <c r="B140" s="234">
        <f t="shared" si="33"/>
        <v>48214</v>
      </c>
      <c r="C140" s="81">
        <v>4.659750797952424</v>
      </c>
      <c r="D140" s="81">
        <v>5.1689706298876716</v>
      </c>
      <c r="E140" s="233">
        <f t="shared" si="31"/>
        <v>2032</v>
      </c>
      <c r="K140" s="16">
        <f t="shared" si="34"/>
        <v>1</v>
      </c>
      <c r="L140" s="110">
        <f t="shared" si="35"/>
        <v>2032</v>
      </c>
      <c r="M140" s="84">
        <f t="shared" si="32"/>
        <v>48214</v>
      </c>
      <c r="N140" s="232">
        <v>55.838970000000003</v>
      </c>
      <c r="O140" s="232">
        <v>57.792409999999997</v>
      </c>
      <c r="P140" s="232">
        <v>39.645029999999998</v>
      </c>
      <c r="Q140" s="231">
        <v>52.036499999999997</v>
      </c>
      <c r="S140" s="107">
        <v>55.254858279569888</v>
      </c>
      <c r="T140" s="109">
        <f t="shared" si="36"/>
        <v>1.0459244996628352</v>
      </c>
      <c r="U140" s="109">
        <f t="shared" si="37"/>
        <v>0.9417542931105507</v>
      </c>
      <c r="AD140" s="177" t="str">
        <f t="shared" si="27"/>
        <v>Summer</v>
      </c>
      <c r="AE140">
        <f t="shared" si="28"/>
        <v>7</v>
      </c>
      <c r="AF140" s="175">
        <v>46935</v>
      </c>
      <c r="AG140" s="176">
        <v>400</v>
      </c>
      <c r="AH140" s="176">
        <v>344</v>
      </c>
      <c r="AI140">
        <f t="shared" si="29"/>
        <v>25</v>
      </c>
      <c r="AJ140">
        <f t="shared" si="30"/>
        <v>6</v>
      </c>
    </row>
    <row r="141" spans="2:36" x14ac:dyDescent="0.2">
      <c r="B141" s="88">
        <f t="shared" si="33"/>
        <v>48245</v>
      </c>
      <c r="C141" s="81">
        <v>4.1546820435611762</v>
      </c>
      <c r="D141" s="81">
        <v>4.5701731501897349</v>
      </c>
      <c r="E141" s="89">
        <f t="shared" si="31"/>
        <v>2032</v>
      </c>
      <c r="K141" s="16">
        <f t="shared" si="34"/>
        <v>2</v>
      </c>
      <c r="L141" s="110">
        <f t="shared" si="35"/>
        <v>2032</v>
      </c>
      <c r="M141" s="84">
        <f t="shared" si="32"/>
        <v>48245</v>
      </c>
      <c r="N141" s="85">
        <v>52.614220000000003</v>
      </c>
      <c r="O141" s="85">
        <v>49.73339</v>
      </c>
      <c r="P141" s="85">
        <v>40.137889999999999</v>
      </c>
      <c r="Q141" s="86">
        <v>47.229480000000002</v>
      </c>
      <c r="S141" s="107">
        <v>48.610947586206898</v>
      </c>
      <c r="T141" s="109">
        <f t="shared" si="36"/>
        <v>1.0230903216153637</v>
      </c>
      <c r="U141" s="109">
        <f t="shared" si="37"/>
        <v>0.97158114262724471</v>
      </c>
      <c r="AD141" s="177" t="str">
        <f t="shared" si="27"/>
        <v>Summer</v>
      </c>
      <c r="AE141">
        <f t="shared" si="28"/>
        <v>8</v>
      </c>
      <c r="AF141" s="175">
        <v>46966</v>
      </c>
      <c r="AG141" s="176">
        <v>432</v>
      </c>
      <c r="AH141" s="176">
        <v>312</v>
      </c>
      <c r="AI141">
        <f t="shared" si="29"/>
        <v>27</v>
      </c>
      <c r="AJ141">
        <f t="shared" si="30"/>
        <v>4</v>
      </c>
    </row>
    <row r="142" spans="2:36" x14ac:dyDescent="0.2">
      <c r="B142" s="88">
        <f t="shared" si="33"/>
        <v>48274</v>
      </c>
      <c r="C142" s="81">
        <v>3.9208167419451971</v>
      </c>
      <c r="D142" s="81">
        <v>4.1632766960677712</v>
      </c>
      <c r="E142" s="89">
        <f t="shared" si="31"/>
        <v>2032</v>
      </c>
      <c r="K142" s="16">
        <f t="shared" si="34"/>
        <v>3</v>
      </c>
      <c r="L142" s="110">
        <f t="shared" si="35"/>
        <v>2032</v>
      </c>
      <c r="M142" s="84">
        <f t="shared" si="32"/>
        <v>48274</v>
      </c>
      <c r="N142" s="85">
        <v>31.0625</v>
      </c>
      <c r="O142" s="85">
        <v>36.901730000000001</v>
      </c>
      <c r="P142" s="85">
        <v>29.462299999999999</v>
      </c>
      <c r="Q142" s="86">
        <v>44.715859999999999</v>
      </c>
      <c r="S142" s="107">
        <v>40.172516581426649</v>
      </c>
      <c r="T142" s="109">
        <f t="shared" si="36"/>
        <v>0.91858148655444549</v>
      </c>
      <c r="U142" s="109">
        <f t="shared" si="37"/>
        <v>1.1130958128890018</v>
      </c>
      <c r="AD142" s="177" t="str">
        <f t="shared" si="27"/>
        <v>Summer</v>
      </c>
      <c r="AE142">
        <f t="shared" si="28"/>
        <v>9</v>
      </c>
      <c r="AF142" s="175">
        <v>46997</v>
      </c>
      <c r="AG142" s="176">
        <v>400</v>
      </c>
      <c r="AH142" s="176">
        <v>320</v>
      </c>
      <c r="AI142">
        <f t="shared" si="29"/>
        <v>25</v>
      </c>
      <c r="AJ142">
        <f t="shared" si="30"/>
        <v>5</v>
      </c>
    </row>
    <row r="143" spans="2:36" x14ac:dyDescent="0.2">
      <c r="B143" s="88">
        <f t="shared" si="33"/>
        <v>48305</v>
      </c>
      <c r="C143" s="81">
        <v>3.9392850747766732</v>
      </c>
      <c r="D143" s="81">
        <v>3.9636602757775998</v>
      </c>
      <c r="E143" s="89">
        <f t="shared" si="31"/>
        <v>2032</v>
      </c>
      <c r="K143" s="16">
        <f t="shared" si="34"/>
        <v>4</v>
      </c>
      <c r="L143" s="110">
        <f t="shared" si="35"/>
        <v>2032</v>
      </c>
      <c r="M143" s="84">
        <f t="shared" si="32"/>
        <v>48305</v>
      </c>
      <c r="N143" s="85">
        <v>18.397580000000001</v>
      </c>
      <c r="O143" s="85">
        <v>26.807030000000001</v>
      </c>
      <c r="P143" s="85">
        <v>22.91018</v>
      </c>
      <c r="Q143" s="86">
        <v>38.619810000000001</v>
      </c>
      <c r="S143" s="107">
        <v>31.794648222222222</v>
      </c>
      <c r="T143" s="109">
        <f t="shared" si="36"/>
        <v>0.84313025930143093</v>
      </c>
      <c r="U143" s="109">
        <f t="shared" si="37"/>
        <v>1.2146638556927789</v>
      </c>
      <c r="AD143" s="177" t="str">
        <f t="shared" si="27"/>
        <v>Winter</v>
      </c>
      <c r="AE143">
        <f t="shared" si="28"/>
        <v>10</v>
      </c>
      <c r="AF143" s="175">
        <v>47027</v>
      </c>
      <c r="AG143" s="176">
        <v>416</v>
      </c>
      <c r="AH143" s="176">
        <v>328</v>
      </c>
      <c r="AI143">
        <f t="shared" si="29"/>
        <v>26</v>
      </c>
      <c r="AJ143">
        <f t="shared" si="30"/>
        <v>5</v>
      </c>
    </row>
    <row r="144" spans="2:36" x14ac:dyDescent="0.2">
      <c r="B144" s="88">
        <f t="shared" si="33"/>
        <v>48335</v>
      </c>
      <c r="C144" s="81">
        <v>3.8096052594600018</v>
      </c>
      <c r="D144" s="81">
        <v>3.8408353344213637</v>
      </c>
      <c r="E144" s="89">
        <f t="shared" si="31"/>
        <v>2032</v>
      </c>
      <c r="K144" s="16">
        <f t="shared" si="34"/>
        <v>5</v>
      </c>
      <c r="L144" s="110">
        <f t="shared" si="35"/>
        <v>2032</v>
      </c>
      <c r="M144" s="84">
        <f t="shared" si="32"/>
        <v>48335</v>
      </c>
      <c r="N144" s="85">
        <v>9.4333270000000002</v>
      </c>
      <c r="O144" s="85">
        <v>22.32489</v>
      </c>
      <c r="P144" s="85">
        <v>9.7991480000000006</v>
      </c>
      <c r="Q144" s="86">
        <v>35.536929999999998</v>
      </c>
      <c r="S144" s="107">
        <v>28.433682688172045</v>
      </c>
      <c r="T144" s="109">
        <f t="shared" si="36"/>
        <v>0.785156472513031</v>
      </c>
      <c r="U144" s="109">
        <f t="shared" si="37"/>
        <v>1.2498180552174056</v>
      </c>
      <c r="AD144" s="177" t="str">
        <f t="shared" si="27"/>
        <v>Winter</v>
      </c>
      <c r="AE144">
        <f t="shared" si="28"/>
        <v>11</v>
      </c>
      <c r="AF144" s="175">
        <v>47058</v>
      </c>
      <c r="AG144" s="176">
        <v>400</v>
      </c>
      <c r="AH144" s="176">
        <v>320</v>
      </c>
      <c r="AI144">
        <f t="shared" si="29"/>
        <v>25</v>
      </c>
      <c r="AJ144">
        <f t="shared" si="30"/>
        <v>5</v>
      </c>
    </row>
    <row r="145" spans="2:36" x14ac:dyDescent="0.2">
      <c r="B145" s="88">
        <f t="shared" si="33"/>
        <v>48366</v>
      </c>
      <c r="C145" s="81">
        <v>3.9045565793435713</v>
      </c>
      <c r="D145" s="81">
        <v>3.840783553248786</v>
      </c>
      <c r="E145" s="89">
        <f t="shared" si="31"/>
        <v>2032</v>
      </c>
      <c r="K145" s="16">
        <f t="shared" si="34"/>
        <v>6</v>
      </c>
      <c r="L145" s="110">
        <f t="shared" si="35"/>
        <v>2032</v>
      </c>
      <c r="M145" s="84">
        <f t="shared" si="32"/>
        <v>48366</v>
      </c>
      <c r="N145" s="85">
        <v>23.275980000000001</v>
      </c>
      <c r="O145" s="85">
        <v>40.2438</v>
      </c>
      <c r="P145" s="85">
        <v>17.416149999999998</v>
      </c>
      <c r="Q145" s="86">
        <v>47.234119999999997</v>
      </c>
      <c r="S145" s="107">
        <v>43.195268444444444</v>
      </c>
      <c r="T145" s="109">
        <f t="shared" si="36"/>
        <v>0.93167148739356787</v>
      </c>
      <c r="U145" s="109">
        <f t="shared" si="37"/>
        <v>1.093502175145644</v>
      </c>
      <c r="AD145" s="177" t="str">
        <f t="shared" si="27"/>
        <v>Winter</v>
      </c>
      <c r="AE145">
        <f t="shared" si="28"/>
        <v>12</v>
      </c>
      <c r="AF145" s="175">
        <v>47088</v>
      </c>
      <c r="AG145" s="176">
        <v>400</v>
      </c>
      <c r="AH145" s="176">
        <v>344</v>
      </c>
      <c r="AI145">
        <f t="shared" si="29"/>
        <v>25</v>
      </c>
      <c r="AJ145">
        <f t="shared" si="30"/>
        <v>6</v>
      </c>
    </row>
    <row r="146" spans="2:36" x14ac:dyDescent="0.2">
      <c r="B146" s="88">
        <f t="shared" si="33"/>
        <v>48396</v>
      </c>
      <c r="C146" s="81">
        <v>4.0772957141423261</v>
      </c>
      <c r="D146" s="81">
        <v>3.9175750321827221</v>
      </c>
      <c r="E146" s="89">
        <f t="shared" si="31"/>
        <v>2032</v>
      </c>
      <c r="K146" s="16">
        <f t="shared" si="34"/>
        <v>7</v>
      </c>
      <c r="L146" s="110">
        <f t="shared" si="35"/>
        <v>2032</v>
      </c>
      <c r="M146" s="84">
        <f t="shared" si="32"/>
        <v>48396</v>
      </c>
      <c r="N146" s="85">
        <v>101.5729</v>
      </c>
      <c r="O146" s="85">
        <v>141.7989</v>
      </c>
      <c r="P146" s="85">
        <v>29.619540000000001</v>
      </c>
      <c r="Q146" s="86">
        <v>60.614989999999999</v>
      </c>
      <c r="S146" s="107">
        <v>106.00814397849462</v>
      </c>
      <c r="T146" s="109">
        <f t="shared" si="36"/>
        <v>1.3376227021649025</v>
      </c>
      <c r="U146" s="109">
        <f t="shared" si="37"/>
        <v>0.5717955972542702</v>
      </c>
      <c r="AD146" s="177" t="str">
        <f t="shared" si="27"/>
        <v>Winter</v>
      </c>
      <c r="AE146">
        <f t="shared" si="28"/>
        <v>1</v>
      </c>
      <c r="AF146" s="175">
        <v>47119</v>
      </c>
      <c r="AG146" s="176">
        <v>416</v>
      </c>
      <c r="AH146" s="176">
        <v>328</v>
      </c>
      <c r="AI146">
        <f t="shared" si="29"/>
        <v>26</v>
      </c>
      <c r="AJ146">
        <f t="shared" si="30"/>
        <v>5</v>
      </c>
    </row>
    <row r="147" spans="2:36" x14ac:dyDescent="0.2">
      <c r="B147" s="88">
        <f t="shared" si="33"/>
        <v>48427</v>
      </c>
      <c r="C147" s="81">
        <v>4.2236371775569603</v>
      </c>
      <c r="D147" s="81">
        <v>3.9943147299440795</v>
      </c>
      <c r="E147" s="89">
        <f t="shared" si="31"/>
        <v>2032</v>
      </c>
      <c r="K147" s="16">
        <f t="shared" si="34"/>
        <v>8</v>
      </c>
      <c r="L147" s="110">
        <f t="shared" si="35"/>
        <v>2032</v>
      </c>
      <c r="M147" s="84">
        <f t="shared" si="32"/>
        <v>48427</v>
      </c>
      <c r="N147" s="85">
        <v>133.6112</v>
      </c>
      <c r="O147" s="85">
        <v>160.178</v>
      </c>
      <c r="P147" s="85">
        <v>41.877540000000003</v>
      </c>
      <c r="Q147" s="86">
        <v>72.168170000000003</v>
      </c>
      <c r="S147" s="107">
        <v>121.37796741935483</v>
      </c>
      <c r="T147" s="109">
        <f t="shared" si="36"/>
        <v>1.3196628960393857</v>
      </c>
      <c r="U147" s="109">
        <f t="shared" si="37"/>
        <v>0.59457388795004751</v>
      </c>
      <c r="AD147" s="177" t="str">
        <f t="shared" si="27"/>
        <v>Winter</v>
      </c>
      <c r="AE147">
        <f t="shared" si="28"/>
        <v>2</v>
      </c>
      <c r="AF147" s="175">
        <v>47150</v>
      </c>
      <c r="AG147" s="176">
        <v>384</v>
      </c>
      <c r="AH147" s="176">
        <v>288</v>
      </c>
      <c r="AI147">
        <f t="shared" si="29"/>
        <v>24</v>
      </c>
      <c r="AJ147">
        <f t="shared" si="30"/>
        <v>4</v>
      </c>
    </row>
    <row r="148" spans="2:36" x14ac:dyDescent="0.2">
      <c r="B148" s="88">
        <f t="shared" si="33"/>
        <v>48458</v>
      </c>
      <c r="C148" s="81">
        <v>4.1370166817223728</v>
      </c>
      <c r="D148" s="81">
        <v>3.92529042689692</v>
      </c>
      <c r="E148" s="89">
        <f t="shared" si="31"/>
        <v>2032</v>
      </c>
      <c r="K148" s="16">
        <f t="shared" si="34"/>
        <v>9</v>
      </c>
      <c r="L148" s="110">
        <f t="shared" si="35"/>
        <v>2032</v>
      </c>
      <c r="M148" s="84">
        <f t="shared" si="32"/>
        <v>48458</v>
      </c>
      <c r="N148" s="85">
        <v>46.930349999999997</v>
      </c>
      <c r="O148" s="85">
        <v>70.173699999999997</v>
      </c>
      <c r="P148" s="85">
        <v>33.002980000000001</v>
      </c>
      <c r="Q148" s="86">
        <v>57.261650000000003</v>
      </c>
      <c r="S148" s="107">
        <v>64.435011111111109</v>
      </c>
      <c r="T148" s="109">
        <f t="shared" si="36"/>
        <v>1.0890616574736542</v>
      </c>
      <c r="U148" s="109">
        <f t="shared" si="37"/>
        <v>0.8886729281579322</v>
      </c>
      <c r="AD148" s="177" t="str">
        <f t="shared" si="27"/>
        <v>Winter</v>
      </c>
      <c r="AE148">
        <f t="shared" si="28"/>
        <v>3</v>
      </c>
      <c r="AF148" s="175">
        <v>47178</v>
      </c>
      <c r="AG148" s="176">
        <v>432</v>
      </c>
      <c r="AH148" s="176">
        <v>312</v>
      </c>
      <c r="AI148">
        <f t="shared" si="29"/>
        <v>27</v>
      </c>
      <c r="AJ148">
        <f t="shared" si="30"/>
        <v>4</v>
      </c>
    </row>
    <row r="149" spans="2:36" x14ac:dyDescent="0.2">
      <c r="B149" s="88">
        <f t="shared" si="33"/>
        <v>48488</v>
      </c>
      <c r="C149" s="81">
        <v>4.2296594600020079</v>
      </c>
      <c r="D149" s="81">
        <v>4.2784380238823863</v>
      </c>
      <c r="E149" s="89">
        <f t="shared" si="31"/>
        <v>2032</v>
      </c>
      <c r="K149" s="16">
        <f t="shared" si="34"/>
        <v>10</v>
      </c>
      <c r="L149" s="110">
        <f t="shared" si="35"/>
        <v>2032</v>
      </c>
      <c r="M149" s="84">
        <f t="shared" si="32"/>
        <v>48488</v>
      </c>
      <c r="N149" s="85">
        <v>48.447929999999999</v>
      </c>
      <c r="O149" s="85">
        <v>53.088340000000002</v>
      </c>
      <c r="P149" s="85">
        <v>37.416899999999998</v>
      </c>
      <c r="Q149" s="86">
        <v>49.361629999999998</v>
      </c>
      <c r="S149" s="107">
        <v>51.445381827956993</v>
      </c>
      <c r="T149" s="109">
        <f t="shared" si="36"/>
        <v>1.0319359700261799</v>
      </c>
      <c r="U149" s="109">
        <f t="shared" si="37"/>
        <v>0.95949584289362544</v>
      </c>
      <c r="AD149" s="177" t="str">
        <f t="shared" si="27"/>
        <v>Winter</v>
      </c>
      <c r="AE149">
        <f t="shared" si="28"/>
        <v>4</v>
      </c>
      <c r="AF149" s="175">
        <v>47209</v>
      </c>
      <c r="AG149" s="176">
        <v>400</v>
      </c>
      <c r="AH149" s="176">
        <v>320</v>
      </c>
      <c r="AI149">
        <f t="shared" si="29"/>
        <v>25</v>
      </c>
      <c r="AJ149">
        <f t="shared" si="30"/>
        <v>5</v>
      </c>
    </row>
    <row r="150" spans="2:36" x14ac:dyDescent="0.2">
      <c r="B150" s="88">
        <f t="shared" si="33"/>
        <v>48519</v>
      </c>
      <c r="C150" s="81">
        <v>4.4305025795443136</v>
      </c>
      <c r="D150" s="81">
        <v>4.9002781253777625</v>
      </c>
      <c r="E150" s="89">
        <f t="shared" si="31"/>
        <v>2032</v>
      </c>
      <c r="K150" s="16">
        <f t="shared" si="34"/>
        <v>11</v>
      </c>
      <c r="L150" s="110">
        <f t="shared" si="35"/>
        <v>2032</v>
      </c>
      <c r="M150" s="84">
        <f t="shared" si="32"/>
        <v>48519</v>
      </c>
      <c r="N150" s="85">
        <v>49.456949999999999</v>
      </c>
      <c r="O150" s="85">
        <v>54.587029999999999</v>
      </c>
      <c r="P150" s="85">
        <v>40.030180000000001</v>
      </c>
      <c r="Q150" s="86">
        <v>51.539209999999997</v>
      </c>
      <c r="S150" s="107">
        <v>53.230094882108183</v>
      </c>
      <c r="T150" s="109">
        <f t="shared" si="36"/>
        <v>1.0254918786242464</v>
      </c>
      <c r="U150" s="109">
        <f t="shared" si="37"/>
        <v>0.96823441915981756</v>
      </c>
      <c r="AD150" s="177" t="str">
        <f t="shared" si="27"/>
        <v>Winter</v>
      </c>
      <c r="AE150">
        <f t="shared" si="28"/>
        <v>5</v>
      </c>
      <c r="AF150" s="175">
        <v>47239</v>
      </c>
      <c r="AG150" s="176">
        <v>416</v>
      </c>
      <c r="AH150" s="176">
        <v>328</v>
      </c>
      <c r="AI150">
        <f t="shared" si="29"/>
        <v>26</v>
      </c>
      <c r="AJ150">
        <f t="shared" si="30"/>
        <v>5</v>
      </c>
    </row>
    <row r="151" spans="2:36" x14ac:dyDescent="0.2">
      <c r="B151" s="90">
        <f t="shared" si="33"/>
        <v>48549</v>
      </c>
      <c r="C151" s="91">
        <v>4.8368059018367964</v>
      </c>
      <c r="D151" s="91">
        <v>5.3839142772610842</v>
      </c>
      <c r="E151" s="92">
        <f t="shared" si="31"/>
        <v>2032</v>
      </c>
      <c r="K151" s="16">
        <f t="shared" si="34"/>
        <v>12</v>
      </c>
      <c r="L151" s="110">
        <f t="shared" si="35"/>
        <v>2032</v>
      </c>
      <c r="M151" s="93">
        <f t="shared" si="32"/>
        <v>48549</v>
      </c>
      <c r="N151" s="94">
        <v>63.729190000000003</v>
      </c>
      <c r="O151" s="94">
        <v>59.738880000000002</v>
      </c>
      <c r="P151" s="94">
        <v>46.977890000000002</v>
      </c>
      <c r="Q151" s="95">
        <v>56.55688</v>
      </c>
      <c r="S151" s="107">
        <v>58.336062795698929</v>
      </c>
      <c r="T151" s="109">
        <f t="shared" si="36"/>
        <v>1.0240471697449645</v>
      </c>
      <c r="U151" s="109">
        <f t="shared" si="37"/>
        <v>0.96950115056736208</v>
      </c>
      <c r="AD151" s="177" t="str">
        <f t="shared" si="27"/>
        <v>Summer</v>
      </c>
      <c r="AE151">
        <f t="shared" si="28"/>
        <v>6</v>
      </c>
      <c r="AF151" s="175">
        <v>47270</v>
      </c>
      <c r="AG151" s="176">
        <v>416</v>
      </c>
      <c r="AH151" s="176">
        <v>304</v>
      </c>
      <c r="AI151">
        <f t="shared" si="29"/>
        <v>26</v>
      </c>
      <c r="AJ151">
        <f t="shared" si="30"/>
        <v>4</v>
      </c>
    </row>
    <row r="152" spans="2:36" x14ac:dyDescent="0.2">
      <c r="B152" s="234">
        <f t="shared" si="33"/>
        <v>48580</v>
      </c>
      <c r="C152" s="81">
        <v>4.9561474656228039</v>
      </c>
      <c r="D152" s="81">
        <v>5.4918780220872856</v>
      </c>
      <c r="E152" s="233">
        <f t="shared" si="31"/>
        <v>2033</v>
      </c>
      <c r="K152" s="16">
        <f t="shared" si="34"/>
        <v>1</v>
      </c>
      <c r="L152" s="110">
        <f t="shared" si="35"/>
        <v>2033</v>
      </c>
      <c r="M152" s="84">
        <f t="shared" si="32"/>
        <v>48580</v>
      </c>
      <c r="N152" s="232">
        <v>56.224249999999998</v>
      </c>
      <c r="O152" s="232">
        <v>59.992440000000002</v>
      </c>
      <c r="P152" s="232">
        <v>41.514279999999999</v>
      </c>
      <c r="Q152" s="231">
        <v>54.423360000000002</v>
      </c>
      <c r="S152" s="107">
        <v>57.417489032258061</v>
      </c>
      <c r="T152" s="109">
        <f t="shared" si="36"/>
        <v>1.0448461089319891</v>
      </c>
      <c r="U152" s="109">
        <f t="shared" si="37"/>
        <v>0.94785336170698953</v>
      </c>
      <c r="AD152" s="177" t="str">
        <f t="shared" si="27"/>
        <v>Summer</v>
      </c>
      <c r="AE152">
        <f t="shared" si="28"/>
        <v>7</v>
      </c>
      <c r="AF152" s="175">
        <v>47300</v>
      </c>
      <c r="AG152" s="176">
        <v>400</v>
      </c>
      <c r="AH152" s="176">
        <v>344</v>
      </c>
      <c r="AI152">
        <f t="shared" si="29"/>
        <v>25</v>
      </c>
      <c r="AJ152">
        <f t="shared" si="30"/>
        <v>6</v>
      </c>
    </row>
    <row r="153" spans="2:36" x14ac:dyDescent="0.2">
      <c r="B153" s="88">
        <f t="shared" si="33"/>
        <v>48611</v>
      </c>
      <c r="C153" s="81">
        <v>4.5915986349493121</v>
      </c>
      <c r="D153" s="81">
        <v>5.0049278751589394</v>
      </c>
      <c r="E153" s="89">
        <f t="shared" si="31"/>
        <v>2033</v>
      </c>
      <c r="K153" s="16">
        <f t="shared" si="34"/>
        <v>2</v>
      </c>
      <c r="L153" s="110">
        <f t="shared" si="35"/>
        <v>2033</v>
      </c>
      <c r="M153" s="84">
        <f t="shared" si="32"/>
        <v>48611</v>
      </c>
      <c r="N153" s="85">
        <v>54.959809999999997</v>
      </c>
      <c r="O153" s="85">
        <v>52.42436</v>
      </c>
      <c r="P153" s="85">
        <v>43.77469</v>
      </c>
      <c r="Q153" s="86">
        <v>50.798580000000001</v>
      </c>
      <c r="S153" s="107">
        <v>51.727597142857142</v>
      </c>
      <c r="T153" s="109">
        <f t="shared" si="36"/>
        <v>1.013469847733669</v>
      </c>
      <c r="U153" s="109">
        <f t="shared" si="37"/>
        <v>0.98204020302177475</v>
      </c>
      <c r="AD153" s="177" t="str">
        <f t="shared" si="27"/>
        <v>Summer</v>
      </c>
      <c r="AE153">
        <f t="shared" si="28"/>
        <v>8</v>
      </c>
      <c r="AF153" s="175">
        <v>47331</v>
      </c>
      <c r="AG153" s="176">
        <v>432</v>
      </c>
      <c r="AH153" s="176">
        <v>312</v>
      </c>
      <c r="AI153">
        <f t="shared" si="29"/>
        <v>27</v>
      </c>
      <c r="AJ153">
        <f t="shared" si="30"/>
        <v>4</v>
      </c>
    </row>
    <row r="154" spans="2:36" x14ac:dyDescent="0.2">
      <c r="B154" s="88">
        <f t="shared" si="33"/>
        <v>48639</v>
      </c>
      <c r="C154" s="81">
        <v>4.3203951821740443</v>
      </c>
      <c r="D154" s="81">
        <v>4.5494088999857514</v>
      </c>
      <c r="E154" s="89">
        <f t="shared" si="31"/>
        <v>2033</v>
      </c>
      <c r="K154" s="16">
        <f t="shared" si="34"/>
        <v>3</v>
      </c>
      <c r="L154" s="110">
        <f t="shared" si="35"/>
        <v>2033</v>
      </c>
      <c r="M154" s="84">
        <f t="shared" si="32"/>
        <v>48639</v>
      </c>
      <c r="N154" s="85">
        <v>32.438180000000003</v>
      </c>
      <c r="O154" s="85">
        <v>36.752609999999997</v>
      </c>
      <c r="P154" s="85">
        <v>30.939920000000001</v>
      </c>
      <c r="Q154" s="86">
        <v>43.687019999999997</v>
      </c>
      <c r="S154" s="107">
        <v>39.655169232839839</v>
      </c>
      <c r="T154" s="109">
        <f t="shared" si="36"/>
        <v>0.92680502217006977</v>
      </c>
      <c r="U154" s="109">
        <f t="shared" si="37"/>
        <v>1.1016727666319286</v>
      </c>
      <c r="AD154" s="177" t="str">
        <f t="shared" si="27"/>
        <v>Summer</v>
      </c>
      <c r="AE154">
        <f t="shared" si="28"/>
        <v>9</v>
      </c>
      <c r="AF154" s="175">
        <v>47362</v>
      </c>
      <c r="AG154" s="176">
        <v>384</v>
      </c>
      <c r="AH154" s="176">
        <v>336</v>
      </c>
      <c r="AI154">
        <f t="shared" si="29"/>
        <v>24</v>
      </c>
      <c r="AJ154">
        <f t="shared" si="30"/>
        <v>6</v>
      </c>
    </row>
    <row r="155" spans="2:36" x14ac:dyDescent="0.2">
      <c r="B155" s="88">
        <f t="shared" si="33"/>
        <v>48670</v>
      </c>
      <c r="C155" s="81">
        <v>4.0915484492622705</v>
      </c>
      <c r="D155" s="81">
        <v>4.0703294912893391</v>
      </c>
      <c r="E155" s="89">
        <f t="shared" si="31"/>
        <v>2033</v>
      </c>
      <c r="K155" s="16">
        <f t="shared" si="34"/>
        <v>4</v>
      </c>
      <c r="L155" s="110">
        <f t="shared" si="35"/>
        <v>2033</v>
      </c>
      <c r="M155" s="84">
        <f t="shared" si="32"/>
        <v>48670</v>
      </c>
      <c r="N155" s="85">
        <v>14.344580000000001</v>
      </c>
      <c r="O155" s="85">
        <v>24.79842</v>
      </c>
      <c r="P155" s="85">
        <v>16.24146</v>
      </c>
      <c r="Q155" s="86">
        <v>35.59478</v>
      </c>
      <c r="S155" s="107">
        <v>29.356883111111113</v>
      </c>
      <c r="T155" s="109">
        <f t="shared" si="36"/>
        <v>0.84472251042939206</v>
      </c>
      <c r="U155" s="109">
        <f t="shared" si="37"/>
        <v>1.2124849857282003</v>
      </c>
      <c r="AD155" s="177" t="str">
        <f t="shared" si="27"/>
        <v>Winter</v>
      </c>
      <c r="AE155">
        <f t="shared" si="28"/>
        <v>10</v>
      </c>
      <c r="AF155" s="175">
        <v>47392</v>
      </c>
      <c r="AG155" s="176">
        <v>432</v>
      </c>
      <c r="AH155" s="176">
        <v>312</v>
      </c>
      <c r="AI155">
        <f t="shared" si="29"/>
        <v>27</v>
      </c>
      <c r="AJ155">
        <f t="shared" si="30"/>
        <v>4</v>
      </c>
    </row>
    <row r="156" spans="2:36" x14ac:dyDescent="0.2">
      <c r="B156" s="88">
        <f t="shared" si="33"/>
        <v>48700</v>
      </c>
      <c r="C156" s="81">
        <v>3.9618686339455986</v>
      </c>
      <c r="D156" s="81">
        <v>3.9524755425006406</v>
      </c>
      <c r="E156" s="89">
        <f t="shared" si="31"/>
        <v>2033</v>
      </c>
      <c r="K156" s="16">
        <f t="shared" si="34"/>
        <v>5</v>
      </c>
      <c r="L156" s="110">
        <f t="shared" si="35"/>
        <v>2033</v>
      </c>
      <c r="M156" s="84">
        <f t="shared" si="32"/>
        <v>48700</v>
      </c>
      <c r="N156" s="85">
        <v>9.1016539999999999</v>
      </c>
      <c r="O156" s="85">
        <v>23.050280000000001</v>
      </c>
      <c r="P156" s="85">
        <v>9.714658</v>
      </c>
      <c r="Q156" s="86">
        <v>36.494799999999998</v>
      </c>
      <c r="S156" s="107">
        <v>29.266563440860217</v>
      </c>
      <c r="T156" s="109">
        <f t="shared" si="36"/>
        <v>0.78759776652897295</v>
      </c>
      <c r="U156" s="109">
        <f t="shared" si="37"/>
        <v>1.24697934124538</v>
      </c>
      <c r="AD156" s="177" t="str">
        <f t="shared" si="27"/>
        <v>Winter</v>
      </c>
      <c r="AE156">
        <f t="shared" si="28"/>
        <v>11</v>
      </c>
      <c r="AF156" s="175">
        <v>47423</v>
      </c>
      <c r="AG156" s="176">
        <v>400</v>
      </c>
      <c r="AH156" s="176">
        <v>320</v>
      </c>
      <c r="AI156">
        <f t="shared" si="29"/>
        <v>25</v>
      </c>
      <c r="AJ156">
        <f t="shared" si="30"/>
        <v>5</v>
      </c>
    </row>
    <row r="157" spans="2:36" x14ac:dyDescent="0.2">
      <c r="B157" s="88">
        <f t="shared" si="33"/>
        <v>48731</v>
      </c>
      <c r="C157" s="81">
        <v>4.0727790023085415</v>
      </c>
      <c r="D157" s="81">
        <v>3.8974839372222583</v>
      </c>
      <c r="E157" s="89">
        <f t="shared" si="31"/>
        <v>2033</v>
      </c>
      <c r="K157" s="16">
        <f t="shared" si="34"/>
        <v>6</v>
      </c>
      <c r="L157" s="110">
        <f t="shared" si="35"/>
        <v>2033</v>
      </c>
      <c r="M157" s="84">
        <f t="shared" si="32"/>
        <v>48731</v>
      </c>
      <c r="N157" s="85">
        <v>23.067499999999999</v>
      </c>
      <c r="O157" s="85">
        <v>40.251919999999998</v>
      </c>
      <c r="P157" s="85">
        <v>16.3062</v>
      </c>
      <c r="Q157" s="86">
        <v>47.81438</v>
      </c>
      <c r="S157" s="107">
        <v>43.444958666666665</v>
      </c>
      <c r="T157" s="109">
        <f t="shared" si="36"/>
        <v>0.92650381621569966</v>
      </c>
      <c r="U157" s="109">
        <f t="shared" si="37"/>
        <v>1.1005737251785164</v>
      </c>
      <c r="AD157" s="177" t="str">
        <f t="shared" si="27"/>
        <v>Winter</v>
      </c>
      <c r="AE157">
        <f t="shared" si="28"/>
        <v>12</v>
      </c>
      <c r="AF157" s="175">
        <v>47453</v>
      </c>
      <c r="AG157" s="176">
        <v>400</v>
      </c>
      <c r="AH157" s="176">
        <v>344</v>
      </c>
      <c r="AI157">
        <f t="shared" si="29"/>
        <v>25</v>
      </c>
      <c r="AJ157">
        <f t="shared" si="30"/>
        <v>6</v>
      </c>
    </row>
    <row r="158" spans="2:36" x14ac:dyDescent="0.2">
      <c r="B158" s="88">
        <f t="shared" si="33"/>
        <v>48761</v>
      </c>
      <c r="C158" s="81">
        <v>4.2664957542908759</v>
      </c>
      <c r="D158" s="81">
        <v>4.0388983195341801</v>
      </c>
      <c r="E158" s="89">
        <f t="shared" si="31"/>
        <v>2033</v>
      </c>
      <c r="K158" s="16">
        <f t="shared" si="34"/>
        <v>7</v>
      </c>
      <c r="L158" s="110">
        <f t="shared" si="35"/>
        <v>2033</v>
      </c>
      <c r="M158" s="84">
        <f t="shared" si="32"/>
        <v>48761</v>
      </c>
      <c r="N158" s="85">
        <v>90.796019999999999</v>
      </c>
      <c r="O158" s="85">
        <v>145.99469999999999</v>
      </c>
      <c r="P158" s="85">
        <v>28.733219999999999</v>
      </c>
      <c r="Q158" s="86">
        <v>60.482939999999999</v>
      </c>
      <c r="S158" s="107">
        <v>106.45700451612903</v>
      </c>
      <c r="T158" s="109">
        <f t="shared" si="36"/>
        <v>1.3713959045116726</v>
      </c>
      <c r="U158" s="109">
        <f t="shared" si="37"/>
        <v>0.56814429707945036</v>
      </c>
      <c r="AD158" s="177" t="str">
        <f t="shared" si="27"/>
        <v>Winter</v>
      </c>
      <c r="AE158">
        <f t="shared" si="28"/>
        <v>1</v>
      </c>
      <c r="AF158" s="175">
        <v>47484</v>
      </c>
      <c r="AG158" s="176">
        <v>416</v>
      </c>
      <c r="AH158" s="176">
        <v>328</v>
      </c>
      <c r="AI158">
        <f t="shared" si="29"/>
        <v>26</v>
      </c>
      <c r="AJ158">
        <f t="shared" si="30"/>
        <v>5</v>
      </c>
    </row>
    <row r="159" spans="2:36" x14ac:dyDescent="0.2">
      <c r="B159" s="88">
        <f t="shared" si="33"/>
        <v>48792</v>
      </c>
      <c r="C159" s="81">
        <v>4.4009933955635852</v>
      </c>
      <c r="D159" s="81">
        <v>4.1173985771632085</v>
      </c>
      <c r="E159" s="89">
        <f t="shared" si="31"/>
        <v>2033</v>
      </c>
      <c r="K159" s="16">
        <f t="shared" si="34"/>
        <v>8</v>
      </c>
      <c r="L159" s="110">
        <f t="shared" si="35"/>
        <v>2033</v>
      </c>
      <c r="M159" s="84">
        <f t="shared" si="32"/>
        <v>48792</v>
      </c>
      <c r="N159" s="85">
        <v>123.7852</v>
      </c>
      <c r="O159" s="85">
        <v>159.11240000000001</v>
      </c>
      <c r="P159" s="85">
        <v>41.383299999999998</v>
      </c>
      <c r="Q159" s="86">
        <v>73.270970000000005</v>
      </c>
      <c r="S159" s="107">
        <v>123.11438096774195</v>
      </c>
      <c r="T159" s="109">
        <f t="shared" si="36"/>
        <v>1.2923949156003973</v>
      </c>
      <c r="U159" s="109">
        <f t="shared" si="37"/>
        <v>0.59514550147637291</v>
      </c>
      <c r="AD159" s="177" t="str">
        <f t="shared" si="27"/>
        <v>Winter</v>
      </c>
      <c r="AE159">
        <f t="shared" si="28"/>
        <v>2</v>
      </c>
      <c r="AF159" s="175">
        <v>47515</v>
      </c>
      <c r="AG159" s="176">
        <v>384</v>
      </c>
      <c r="AH159" s="176">
        <v>288</v>
      </c>
      <c r="AI159">
        <f t="shared" si="29"/>
        <v>24</v>
      </c>
      <c r="AJ159">
        <f t="shared" si="30"/>
        <v>4</v>
      </c>
    </row>
    <row r="160" spans="2:36" x14ac:dyDescent="0.2">
      <c r="B160" s="88">
        <f t="shared" si="33"/>
        <v>48823</v>
      </c>
      <c r="C160" s="81">
        <v>4.2968079092642775</v>
      </c>
      <c r="D160" s="81">
        <v>3.9917256713151539</v>
      </c>
      <c r="E160" s="89">
        <f t="shared" si="31"/>
        <v>2033</v>
      </c>
      <c r="K160" s="16">
        <f t="shared" si="34"/>
        <v>9</v>
      </c>
      <c r="L160" s="110">
        <f t="shared" si="35"/>
        <v>2033</v>
      </c>
      <c r="M160" s="84">
        <f t="shared" si="32"/>
        <v>48823</v>
      </c>
      <c r="N160" s="85">
        <v>41.647919999999999</v>
      </c>
      <c r="O160" s="85">
        <v>70.467690000000005</v>
      </c>
      <c r="P160" s="85">
        <v>33.320700000000002</v>
      </c>
      <c r="Q160" s="86">
        <v>61.84769</v>
      </c>
      <c r="S160" s="107">
        <v>66.636578888888891</v>
      </c>
      <c r="T160" s="109">
        <f t="shared" si="36"/>
        <v>1.0574926140415939</v>
      </c>
      <c r="U160" s="109">
        <f t="shared" si="37"/>
        <v>0.92813423244800763</v>
      </c>
      <c r="AD160" s="177" t="str">
        <f t="shared" si="27"/>
        <v>Winter</v>
      </c>
      <c r="AE160">
        <f t="shared" si="28"/>
        <v>3</v>
      </c>
      <c r="AF160" s="175">
        <v>47543</v>
      </c>
      <c r="AG160" s="176">
        <v>416</v>
      </c>
      <c r="AH160" s="176">
        <v>328</v>
      </c>
      <c r="AI160">
        <f t="shared" si="29"/>
        <v>26</v>
      </c>
      <c r="AJ160">
        <f t="shared" si="30"/>
        <v>5</v>
      </c>
    </row>
    <row r="161" spans="2:36" x14ac:dyDescent="0.2">
      <c r="B161" s="88">
        <f t="shared" si="33"/>
        <v>48853</v>
      </c>
      <c r="C161" s="81">
        <v>4.3898521730402491</v>
      </c>
      <c r="D161" s="81">
        <v>4.3451839553360916</v>
      </c>
      <c r="E161" s="89">
        <f t="shared" si="31"/>
        <v>2033</v>
      </c>
      <c r="K161" s="16">
        <f t="shared" si="34"/>
        <v>10</v>
      </c>
      <c r="L161" s="110">
        <f t="shared" si="35"/>
        <v>2033</v>
      </c>
      <c r="M161" s="84">
        <f t="shared" si="32"/>
        <v>48853</v>
      </c>
      <c r="N161" s="85">
        <v>55.035800000000002</v>
      </c>
      <c r="O161" s="85">
        <v>57.072740000000003</v>
      </c>
      <c r="P161" s="85">
        <v>41.145189999999999</v>
      </c>
      <c r="Q161" s="86">
        <v>53.715229999999998</v>
      </c>
      <c r="S161" s="107">
        <v>55.592547419354837</v>
      </c>
      <c r="T161" s="109">
        <f t="shared" si="36"/>
        <v>1.0266257376097472</v>
      </c>
      <c r="U161" s="109">
        <f t="shared" si="37"/>
        <v>0.96623077181202821</v>
      </c>
      <c r="AD161" s="177" t="str">
        <f t="shared" si="27"/>
        <v>Winter</v>
      </c>
      <c r="AE161">
        <f t="shared" si="28"/>
        <v>4</v>
      </c>
      <c r="AF161" s="175">
        <v>47574</v>
      </c>
      <c r="AG161" s="176">
        <v>416</v>
      </c>
      <c r="AH161" s="176">
        <v>304</v>
      </c>
      <c r="AI161">
        <f t="shared" si="29"/>
        <v>26</v>
      </c>
      <c r="AJ161">
        <f t="shared" si="30"/>
        <v>4</v>
      </c>
    </row>
    <row r="162" spans="2:36" x14ac:dyDescent="0.2">
      <c r="B162" s="88">
        <f t="shared" si="33"/>
        <v>48884</v>
      </c>
      <c r="C162" s="81">
        <v>4.8134193716751978</v>
      </c>
      <c r="D162" s="81">
        <v>5.1305489998344136</v>
      </c>
      <c r="E162" s="89">
        <f t="shared" si="31"/>
        <v>2033</v>
      </c>
      <c r="K162" s="16">
        <f t="shared" si="34"/>
        <v>11</v>
      </c>
      <c r="L162" s="110">
        <f t="shared" si="35"/>
        <v>2033</v>
      </c>
      <c r="M162" s="84">
        <f t="shared" si="32"/>
        <v>48884</v>
      </c>
      <c r="N162" s="85">
        <v>53.23903</v>
      </c>
      <c r="O162" s="85">
        <v>56.068689999999997</v>
      </c>
      <c r="P162" s="85">
        <v>43.244909999999997</v>
      </c>
      <c r="Q162" s="86">
        <v>53.066049999999997</v>
      </c>
      <c r="S162" s="107">
        <v>54.731869694868237</v>
      </c>
      <c r="T162" s="109">
        <f t="shared" si="36"/>
        <v>1.0244248974607404</v>
      </c>
      <c r="U162" s="109">
        <f t="shared" si="37"/>
        <v>0.96956399070312715</v>
      </c>
      <c r="AD162" s="177" t="str">
        <f t="shared" si="27"/>
        <v>Winter</v>
      </c>
      <c r="AE162">
        <f t="shared" si="28"/>
        <v>5</v>
      </c>
      <c r="AF162" s="175">
        <v>47604</v>
      </c>
      <c r="AG162" s="176">
        <v>416</v>
      </c>
      <c r="AH162" s="176">
        <v>328</v>
      </c>
      <c r="AI162">
        <f t="shared" si="29"/>
        <v>26</v>
      </c>
      <c r="AJ162">
        <f t="shared" si="30"/>
        <v>5</v>
      </c>
    </row>
    <row r="163" spans="2:36" x14ac:dyDescent="0.2">
      <c r="B163" s="90">
        <f t="shared" si="33"/>
        <v>48914</v>
      </c>
      <c r="C163" s="91">
        <v>5.1386226237077182</v>
      </c>
      <c r="D163" s="91">
        <v>5.6882322285050106</v>
      </c>
      <c r="E163" s="92">
        <f t="shared" si="31"/>
        <v>2033</v>
      </c>
      <c r="K163" s="16">
        <f t="shared" si="34"/>
        <v>12</v>
      </c>
      <c r="L163" s="110">
        <f t="shared" si="35"/>
        <v>2033</v>
      </c>
      <c r="M163" s="93">
        <f t="shared" si="32"/>
        <v>48914</v>
      </c>
      <c r="N163" s="94">
        <v>64.318560000000005</v>
      </c>
      <c r="O163" s="94">
        <v>60.302950000000003</v>
      </c>
      <c r="P163" s="94">
        <v>48.357120000000002</v>
      </c>
      <c r="Q163" s="95">
        <v>57.407699999999998</v>
      </c>
      <c r="S163" s="107">
        <v>59.026549462365587</v>
      </c>
      <c r="T163" s="109">
        <f t="shared" si="36"/>
        <v>1.0216241767350509</v>
      </c>
      <c r="U163" s="109">
        <f t="shared" si="37"/>
        <v>0.97257421487261864</v>
      </c>
      <c r="AD163" s="177" t="str">
        <f t="shared" si="27"/>
        <v>Summer</v>
      </c>
      <c r="AE163">
        <f t="shared" si="28"/>
        <v>6</v>
      </c>
      <c r="AF163" s="175">
        <v>47635</v>
      </c>
      <c r="AG163" s="176">
        <v>400</v>
      </c>
      <c r="AH163" s="176">
        <v>320</v>
      </c>
      <c r="AI163">
        <f t="shared" si="29"/>
        <v>25</v>
      </c>
      <c r="AJ163">
        <f t="shared" si="30"/>
        <v>5</v>
      </c>
    </row>
    <row r="164" spans="2:36" x14ac:dyDescent="0.2">
      <c r="B164" s="234">
        <f t="shared" si="33"/>
        <v>48945</v>
      </c>
      <c r="C164" s="81">
        <v>5.2689046672688953</v>
      </c>
      <c r="D164" s="81">
        <v>5.8003384671374931</v>
      </c>
      <c r="E164" s="233">
        <f t="shared" si="31"/>
        <v>2034</v>
      </c>
      <c r="K164" s="16">
        <f t="shared" si="34"/>
        <v>1</v>
      </c>
      <c r="L164" s="110">
        <f t="shared" si="35"/>
        <v>2034</v>
      </c>
      <c r="M164" s="84">
        <f t="shared" si="32"/>
        <v>48945</v>
      </c>
      <c r="N164" s="232">
        <v>58.547730000000001</v>
      </c>
      <c r="O164" s="232">
        <v>62.303220000000003</v>
      </c>
      <c r="P164" s="232">
        <v>42.520449999999997</v>
      </c>
      <c r="Q164" s="231">
        <v>56.166119999999999</v>
      </c>
      <c r="S164" s="107">
        <v>59.465636129032262</v>
      </c>
      <c r="T164" s="109">
        <f t="shared" si="36"/>
        <v>1.0477180444990208</v>
      </c>
      <c r="U164" s="109">
        <f t="shared" si="37"/>
        <v>0.94451390174532457</v>
      </c>
      <c r="AD164" s="177" t="str">
        <f t="shared" si="27"/>
        <v>Summer</v>
      </c>
      <c r="AE164">
        <f t="shared" si="28"/>
        <v>7</v>
      </c>
      <c r="AF164" s="175">
        <v>47665</v>
      </c>
      <c r="AG164" s="176">
        <v>416</v>
      </c>
      <c r="AH164" s="176">
        <v>328</v>
      </c>
      <c r="AI164">
        <f t="shared" si="29"/>
        <v>26</v>
      </c>
      <c r="AJ164">
        <f t="shared" si="30"/>
        <v>5</v>
      </c>
    </row>
    <row r="165" spans="2:36" x14ac:dyDescent="0.2">
      <c r="B165" s="88">
        <f t="shared" si="33"/>
        <v>48976</v>
      </c>
      <c r="C165" s="81">
        <v>4.786419472046572</v>
      </c>
      <c r="D165" s="81">
        <v>5.1891135060207141</v>
      </c>
      <c r="E165" s="89">
        <f t="shared" si="31"/>
        <v>2034</v>
      </c>
      <c r="K165" s="16">
        <f t="shared" si="34"/>
        <v>2</v>
      </c>
      <c r="L165" s="110">
        <f t="shared" si="35"/>
        <v>2034</v>
      </c>
      <c r="M165" s="84">
        <f t="shared" si="32"/>
        <v>48976</v>
      </c>
      <c r="N165" s="85">
        <v>55.095709999999997</v>
      </c>
      <c r="O165" s="85">
        <v>53.072249999999997</v>
      </c>
      <c r="P165" s="85">
        <v>43.639009999999999</v>
      </c>
      <c r="Q165" s="86">
        <v>52.070549999999997</v>
      </c>
      <c r="S165" s="107">
        <v>52.642949999999999</v>
      </c>
      <c r="T165" s="109">
        <f t="shared" si="36"/>
        <v>1.0081549381256178</v>
      </c>
      <c r="U165" s="109">
        <f t="shared" si="37"/>
        <v>0.98912674916584264</v>
      </c>
      <c r="AD165" s="177" t="str">
        <f t="shared" si="27"/>
        <v>Summer</v>
      </c>
      <c r="AE165">
        <f t="shared" si="28"/>
        <v>8</v>
      </c>
      <c r="AF165" s="175">
        <v>47696</v>
      </c>
      <c r="AG165" s="176">
        <v>432</v>
      </c>
      <c r="AH165" s="176">
        <v>312</v>
      </c>
      <c r="AI165">
        <f t="shared" si="29"/>
        <v>27</v>
      </c>
      <c r="AJ165">
        <f t="shared" si="30"/>
        <v>4</v>
      </c>
    </row>
    <row r="166" spans="2:36" x14ac:dyDescent="0.2">
      <c r="B166" s="88">
        <f t="shared" si="33"/>
        <v>49004</v>
      </c>
      <c r="C166" s="81">
        <v>4.4760711833785001</v>
      </c>
      <c r="D166" s="81">
        <v>4.6663307876680351</v>
      </c>
      <c r="E166" s="89">
        <f t="shared" si="31"/>
        <v>2034</v>
      </c>
      <c r="K166" s="16">
        <f t="shared" si="34"/>
        <v>3</v>
      </c>
      <c r="L166" s="110">
        <f t="shared" si="35"/>
        <v>2034</v>
      </c>
      <c r="M166" s="84">
        <f t="shared" si="32"/>
        <v>49004</v>
      </c>
      <c r="N166" s="85">
        <v>30.47561</v>
      </c>
      <c r="O166" s="85">
        <v>36.524039999999999</v>
      </c>
      <c r="P166" s="85">
        <v>30.30414</v>
      </c>
      <c r="Q166" s="86">
        <v>45.153930000000003</v>
      </c>
      <c r="S166" s="107">
        <v>40.136281978465682</v>
      </c>
      <c r="T166" s="109">
        <f t="shared" si="36"/>
        <v>0.91000058300358366</v>
      </c>
      <c r="U166" s="109">
        <f t="shared" si="37"/>
        <v>1.1250152673390734</v>
      </c>
      <c r="AD166" s="177" t="str">
        <f t="shared" si="27"/>
        <v>Summer</v>
      </c>
      <c r="AE166">
        <f t="shared" si="28"/>
        <v>9</v>
      </c>
      <c r="AF166" s="175">
        <v>47727</v>
      </c>
      <c r="AG166" s="176">
        <v>384</v>
      </c>
      <c r="AH166" s="176">
        <v>336</v>
      </c>
      <c r="AI166">
        <f t="shared" si="29"/>
        <v>24</v>
      </c>
      <c r="AJ166">
        <f t="shared" si="30"/>
        <v>6</v>
      </c>
    </row>
    <row r="167" spans="2:36" x14ac:dyDescent="0.2">
      <c r="B167" s="88">
        <f t="shared" si="33"/>
        <v>49035</v>
      </c>
      <c r="C167" s="81">
        <v>4.1905146241092037</v>
      </c>
      <c r="D167" s="81">
        <v>4.0953915788173392</v>
      </c>
      <c r="E167" s="89">
        <f t="shared" si="31"/>
        <v>2034</v>
      </c>
      <c r="K167" s="16">
        <f t="shared" si="34"/>
        <v>4</v>
      </c>
      <c r="L167" s="110">
        <f t="shared" si="35"/>
        <v>2034</v>
      </c>
      <c r="M167" s="84">
        <f t="shared" si="32"/>
        <v>49035</v>
      </c>
      <c r="N167" s="85">
        <v>14.10051</v>
      </c>
      <c r="O167" s="85">
        <v>25.44013</v>
      </c>
      <c r="P167" s="85">
        <v>15.22462</v>
      </c>
      <c r="Q167" s="86">
        <v>36.520240000000001</v>
      </c>
      <c r="S167" s="107">
        <v>30.364623333333334</v>
      </c>
      <c r="T167" s="109">
        <f t="shared" si="36"/>
        <v>0.83782135943944414</v>
      </c>
      <c r="U167" s="109">
        <f t="shared" si="37"/>
        <v>1.2027233007006948</v>
      </c>
      <c r="AD167" s="177" t="str">
        <f t="shared" si="27"/>
        <v>Winter</v>
      </c>
      <c r="AE167">
        <f t="shared" si="28"/>
        <v>10</v>
      </c>
      <c r="AF167" s="175">
        <v>47757</v>
      </c>
      <c r="AG167" s="176">
        <v>432</v>
      </c>
      <c r="AH167" s="176">
        <v>312</v>
      </c>
      <c r="AI167">
        <f t="shared" si="29"/>
        <v>27</v>
      </c>
      <c r="AJ167">
        <f t="shared" si="30"/>
        <v>4</v>
      </c>
    </row>
    <row r="168" spans="2:36" x14ac:dyDescent="0.2">
      <c r="B168" s="88">
        <f t="shared" si="33"/>
        <v>49065</v>
      </c>
      <c r="C168" s="81">
        <v>4.045277245809495</v>
      </c>
      <c r="D168" s="81">
        <v>3.9988714731309889</v>
      </c>
      <c r="E168" s="89">
        <f t="shared" si="31"/>
        <v>2034</v>
      </c>
      <c r="K168" s="16">
        <f t="shared" si="34"/>
        <v>5</v>
      </c>
      <c r="L168" s="110">
        <f t="shared" si="35"/>
        <v>2034</v>
      </c>
      <c r="M168" s="84">
        <f t="shared" si="32"/>
        <v>49065</v>
      </c>
      <c r="N168" s="85">
        <v>10.15706</v>
      </c>
      <c r="O168" s="85">
        <v>24.22148</v>
      </c>
      <c r="P168" s="85">
        <v>10.23396</v>
      </c>
      <c r="Q168" s="86">
        <v>38.548389999999998</v>
      </c>
      <c r="S168" s="107">
        <v>30.537644623655911</v>
      </c>
      <c r="T168" s="109">
        <f t="shared" si="36"/>
        <v>0.79316791777833739</v>
      </c>
      <c r="U168" s="109">
        <f t="shared" si="37"/>
        <v>1.262323616476255</v>
      </c>
      <c r="AD168" s="177" t="str">
        <f t="shared" si="27"/>
        <v>Winter</v>
      </c>
      <c r="AE168">
        <f t="shared" si="28"/>
        <v>11</v>
      </c>
      <c r="AF168" s="175">
        <v>47788</v>
      </c>
      <c r="AG168" s="176">
        <v>400</v>
      </c>
      <c r="AH168" s="176">
        <v>320</v>
      </c>
      <c r="AI168">
        <f t="shared" si="29"/>
        <v>25</v>
      </c>
      <c r="AJ168">
        <f t="shared" si="30"/>
        <v>5</v>
      </c>
    </row>
    <row r="169" spans="2:36" x14ac:dyDescent="0.2">
      <c r="B169" s="88">
        <f t="shared" si="33"/>
        <v>49096</v>
      </c>
      <c r="C169" s="81">
        <v>4.1572916992873639</v>
      </c>
      <c r="D169" s="81">
        <v>3.9988196919584107</v>
      </c>
      <c r="E169" s="89">
        <f t="shared" si="31"/>
        <v>2034</v>
      </c>
      <c r="K169" s="16">
        <f t="shared" si="34"/>
        <v>6</v>
      </c>
      <c r="L169" s="110">
        <f t="shared" si="35"/>
        <v>2034</v>
      </c>
      <c r="M169" s="84">
        <f t="shared" si="32"/>
        <v>49096</v>
      </c>
      <c r="N169" s="85">
        <v>23.701840000000001</v>
      </c>
      <c r="O169" s="85">
        <v>41.09357</v>
      </c>
      <c r="P169" s="85">
        <v>17.030709999999999</v>
      </c>
      <c r="Q169" s="86">
        <v>49.33334</v>
      </c>
      <c r="S169" s="107">
        <v>44.572583999999999</v>
      </c>
      <c r="T169" s="109">
        <f t="shared" si="36"/>
        <v>0.92194722208611468</v>
      </c>
      <c r="U169" s="109">
        <f t="shared" si="37"/>
        <v>1.1068090645137378</v>
      </c>
      <c r="AD169" s="177" t="str">
        <f t="shared" si="27"/>
        <v>Winter</v>
      </c>
      <c r="AE169">
        <f t="shared" si="28"/>
        <v>12</v>
      </c>
      <c r="AF169" s="175">
        <v>47818</v>
      </c>
      <c r="AG169" s="176">
        <v>400</v>
      </c>
      <c r="AH169" s="176">
        <v>344</v>
      </c>
      <c r="AI169">
        <f t="shared" si="29"/>
        <v>25</v>
      </c>
      <c r="AJ169">
        <f t="shared" si="30"/>
        <v>6</v>
      </c>
    </row>
    <row r="170" spans="2:36" x14ac:dyDescent="0.2">
      <c r="B170" s="88">
        <f t="shared" si="33"/>
        <v>49126</v>
      </c>
      <c r="C170" s="81">
        <v>4.2796444042958939</v>
      </c>
      <c r="D170" s="81">
        <v>4.0390536630519165</v>
      </c>
      <c r="E170" s="89">
        <f t="shared" si="31"/>
        <v>2034</v>
      </c>
      <c r="K170" s="16">
        <f t="shared" si="34"/>
        <v>7</v>
      </c>
      <c r="L170" s="110">
        <f t="shared" si="35"/>
        <v>2034</v>
      </c>
      <c r="M170" s="84">
        <f t="shared" si="32"/>
        <v>49126</v>
      </c>
      <c r="N170" s="85">
        <v>101.77500000000001</v>
      </c>
      <c r="O170" s="85">
        <v>157.0735</v>
      </c>
      <c r="P170" s="85">
        <v>30.678260000000002</v>
      </c>
      <c r="Q170" s="86">
        <v>62.721969999999999</v>
      </c>
      <c r="S170" s="107">
        <v>113.44859903225807</v>
      </c>
      <c r="T170" s="109">
        <f t="shared" si="36"/>
        <v>1.3845345058455731</v>
      </c>
      <c r="U170" s="109">
        <f t="shared" si="37"/>
        <v>0.55286685366793797</v>
      </c>
      <c r="AD170" s="177" t="str">
        <f t="shared" si="27"/>
        <v>Winter</v>
      </c>
      <c r="AE170">
        <f t="shared" si="28"/>
        <v>1</v>
      </c>
      <c r="AF170" s="175">
        <v>47849</v>
      </c>
      <c r="AG170" s="176">
        <v>416</v>
      </c>
      <c r="AH170" s="176">
        <v>328</v>
      </c>
      <c r="AI170">
        <f t="shared" si="29"/>
        <v>26</v>
      </c>
      <c r="AJ170">
        <f t="shared" si="30"/>
        <v>5</v>
      </c>
    </row>
    <row r="171" spans="2:36" x14ac:dyDescent="0.2">
      <c r="B171" s="88">
        <f t="shared" si="33"/>
        <v>49157</v>
      </c>
      <c r="C171" s="81">
        <v>4.4797849242196124</v>
      </c>
      <c r="D171" s="81">
        <v>4.1275476869885965</v>
      </c>
      <c r="E171" s="89">
        <f t="shared" si="31"/>
        <v>2034</v>
      </c>
      <c r="K171" s="16">
        <f t="shared" si="34"/>
        <v>8</v>
      </c>
      <c r="L171" s="110">
        <f t="shared" si="35"/>
        <v>2034</v>
      </c>
      <c r="M171" s="84">
        <f t="shared" si="32"/>
        <v>49157</v>
      </c>
      <c r="N171" s="85">
        <v>122.31740000000001</v>
      </c>
      <c r="O171" s="85">
        <v>157.4297</v>
      </c>
      <c r="P171" s="85">
        <v>41.415619999999997</v>
      </c>
      <c r="Q171" s="86">
        <v>74.569659999999999</v>
      </c>
      <c r="S171" s="107">
        <v>122.6819412903226</v>
      </c>
      <c r="T171" s="109">
        <f t="shared" si="36"/>
        <v>1.283234503336135</v>
      </c>
      <c r="U171" s="109">
        <f t="shared" si="37"/>
        <v>0.60782914922688958</v>
      </c>
      <c r="AD171" s="177" t="str">
        <f t="shared" si="27"/>
        <v>Winter</v>
      </c>
      <c r="AE171">
        <f t="shared" si="28"/>
        <v>2</v>
      </c>
      <c r="AF171" s="175">
        <v>47880</v>
      </c>
      <c r="AG171" s="176">
        <v>384</v>
      </c>
      <c r="AH171" s="176">
        <v>288</v>
      </c>
      <c r="AI171">
        <f t="shared" si="29"/>
        <v>24</v>
      </c>
      <c r="AJ171">
        <f t="shared" si="30"/>
        <v>4</v>
      </c>
    </row>
    <row r="172" spans="2:36" x14ac:dyDescent="0.2">
      <c r="B172" s="88">
        <f t="shared" si="33"/>
        <v>49188</v>
      </c>
      <c r="C172" s="81">
        <v>4.3103580447656329</v>
      </c>
      <c r="D172" s="81">
        <v>3.9747414467094018</v>
      </c>
      <c r="E172" s="89">
        <f t="shared" si="31"/>
        <v>2034</v>
      </c>
      <c r="K172" s="16">
        <f t="shared" si="34"/>
        <v>9</v>
      </c>
      <c r="L172" s="110">
        <f t="shared" si="35"/>
        <v>2034</v>
      </c>
      <c r="M172" s="84">
        <f t="shared" si="32"/>
        <v>49188</v>
      </c>
      <c r="N172" s="85">
        <v>39.563510000000001</v>
      </c>
      <c r="O172" s="85">
        <v>65.599019999999996</v>
      </c>
      <c r="P172" s="85">
        <v>33.26558</v>
      </c>
      <c r="Q172" s="86">
        <v>60.073329999999999</v>
      </c>
      <c r="S172" s="107">
        <v>63.143157777777773</v>
      </c>
      <c r="T172" s="109">
        <f t="shared" si="36"/>
        <v>1.0388935604213085</v>
      </c>
      <c r="U172" s="109">
        <f t="shared" si="37"/>
        <v>0.95138304947336427</v>
      </c>
      <c r="AD172" s="177" t="str">
        <f t="shared" si="27"/>
        <v>Winter</v>
      </c>
      <c r="AE172">
        <f t="shared" si="28"/>
        <v>3</v>
      </c>
      <c r="AF172" s="175">
        <v>47908</v>
      </c>
      <c r="AG172" s="176">
        <v>416</v>
      </c>
      <c r="AH172" s="176">
        <v>328</v>
      </c>
      <c r="AI172">
        <f t="shared" si="29"/>
        <v>26</v>
      </c>
      <c r="AJ172">
        <f t="shared" si="30"/>
        <v>5</v>
      </c>
    </row>
    <row r="173" spans="2:36" x14ac:dyDescent="0.2">
      <c r="B173" s="88">
        <f t="shared" si="33"/>
        <v>49218</v>
      </c>
      <c r="C173" s="81">
        <v>4.4192609856468934</v>
      </c>
      <c r="D173" s="81">
        <v>4.3125100354390487</v>
      </c>
      <c r="E173" s="89">
        <f t="shared" si="31"/>
        <v>2034</v>
      </c>
      <c r="K173" s="16">
        <f t="shared" si="34"/>
        <v>10</v>
      </c>
      <c r="L173" s="110">
        <f t="shared" si="35"/>
        <v>2034</v>
      </c>
      <c r="M173" s="84">
        <f t="shared" si="32"/>
        <v>49218</v>
      </c>
      <c r="N173" s="85">
        <v>50.943179999999998</v>
      </c>
      <c r="O173" s="85">
        <v>53.967889999999997</v>
      </c>
      <c r="P173" s="85">
        <v>40.062249999999999</v>
      </c>
      <c r="Q173" s="86">
        <v>50.51173</v>
      </c>
      <c r="S173" s="107">
        <v>52.444206559139786</v>
      </c>
      <c r="T173" s="109">
        <f t="shared" si="36"/>
        <v>1.0290534177334154</v>
      </c>
      <c r="U173" s="109">
        <f t="shared" si="37"/>
        <v>0.96315176287469262</v>
      </c>
      <c r="AD173" s="177" t="str">
        <f t="shared" si="27"/>
        <v>Winter</v>
      </c>
      <c r="AE173">
        <f t="shared" si="28"/>
        <v>4</v>
      </c>
      <c r="AF173" s="175">
        <v>47939</v>
      </c>
      <c r="AG173" s="176">
        <v>416</v>
      </c>
      <c r="AH173" s="176">
        <v>304</v>
      </c>
      <c r="AI173">
        <f t="shared" si="29"/>
        <v>26</v>
      </c>
      <c r="AJ173">
        <f t="shared" si="30"/>
        <v>4</v>
      </c>
    </row>
    <row r="174" spans="2:36" x14ac:dyDescent="0.2">
      <c r="B174" s="88">
        <f t="shared" si="33"/>
        <v>49249</v>
      </c>
      <c r="C174" s="81">
        <v>4.6244200742748172</v>
      </c>
      <c r="D174" s="81">
        <v>5.0041511575702611</v>
      </c>
      <c r="E174" s="89">
        <f t="shared" si="31"/>
        <v>2034</v>
      </c>
      <c r="K174" s="16">
        <f t="shared" si="34"/>
        <v>11</v>
      </c>
      <c r="L174" s="110">
        <f t="shared" si="35"/>
        <v>2034</v>
      </c>
      <c r="M174" s="84">
        <f t="shared" si="32"/>
        <v>49249</v>
      </c>
      <c r="N174" s="85">
        <v>52.824379999999998</v>
      </c>
      <c r="O174" s="85">
        <v>55.297289999999997</v>
      </c>
      <c r="P174" s="85">
        <v>43.241050000000001</v>
      </c>
      <c r="Q174" s="86">
        <v>52.698369999999997</v>
      </c>
      <c r="S174" s="107">
        <v>54.140211886269071</v>
      </c>
      <c r="T174" s="109">
        <f t="shared" si="36"/>
        <v>1.0213718800392131</v>
      </c>
      <c r="U174" s="109">
        <f t="shared" si="37"/>
        <v>0.97336837378291174</v>
      </c>
      <c r="AD174" s="177" t="str">
        <f t="shared" si="27"/>
        <v>Winter</v>
      </c>
      <c r="AE174">
        <f t="shared" si="28"/>
        <v>5</v>
      </c>
      <c r="AF174" s="175">
        <v>47969</v>
      </c>
      <c r="AG174" s="176">
        <v>416</v>
      </c>
      <c r="AH174" s="176">
        <v>328</v>
      </c>
      <c r="AI174">
        <f t="shared" si="29"/>
        <v>26</v>
      </c>
      <c r="AJ174">
        <f t="shared" si="30"/>
        <v>5</v>
      </c>
    </row>
    <row r="175" spans="2:36" x14ac:dyDescent="0.2">
      <c r="B175" s="90">
        <f t="shared" si="33"/>
        <v>49279</v>
      </c>
      <c r="C175" s="91">
        <v>4.9740135702097765</v>
      </c>
      <c r="D175" s="91">
        <v>5.5108299312510223</v>
      </c>
      <c r="E175" s="92">
        <f t="shared" si="31"/>
        <v>2034</v>
      </c>
      <c r="K175" s="16">
        <f t="shared" si="34"/>
        <v>12</v>
      </c>
      <c r="L175" s="110">
        <f t="shared" si="35"/>
        <v>2034</v>
      </c>
      <c r="M175" s="93">
        <f t="shared" si="32"/>
        <v>49279</v>
      </c>
      <c r="N175" s="94">
        <v>64.778720000000007</v>
      </c>
      <c r="O175" s="94">
        <v>58.793230000000001</v>
      </c>
      <c r="P175" s="94">
        <v>49.402320000000003</v>
      </c>
      <c r="Q175" s="95">
        <v>56.907899999999998</v>
      </c>
      <c r="S175" s="107">
        <v>57.921518279569895</v>
      </c>
      <c r="T175" s="109">
        <f t="shared" si="36"/>
        <v>1.0150498769079672</v>
      </c>
      <c r="U175" s="109">
        <f t="shared" si="37"/>
        <v>0.98250014313027045</v>
      </c>
      <c r="AD175" s="177" t="str">
        <f t="shared" si="27"/>
        <v>Summer</v>
      </c>
      <c r="AE175">
        <f t="shared" si="28"/>
        <v>6</v>
      </c>
      <c r="AF175" s="175">
        <v>48000</v>
      </c>
      <c r="AG175" s="176">
        <v>400</v>
      </c>
      <c r="AH175" s="176">
        <v>320</v>
      </c>
      <c r="AI175">
        <f t="shared" si="29"/>
        <v>25</v>
      </c>
      <c r="AJ175">
        <f t="shared" si="30"/>
        <v>5</v>
      </c>
    </row>
    <row r="176" spans="2:36" x14ac:dyDescent="0.2">
      <c r="B176" s="234">
        <f t="shared" si="33"/>
        <v>49310</v>
      </c>
      <c r="C176" s="81">
        <v>5.1147342366757007</v>
      </c>
      <c r="D176" s="81">
        <v>5.5687212821937999</v>
      </c>
      <c r="E176" s="233">
        <f t="shared" si="31"/>
        <v>2035</v>
      </c>
      <c r="K176" s="16">
        <f t="shared" si="34"/>
        <v>1</v>
      </c>
      <c r="L176" s="110">
        <f t="shared" si="35"/>
        <v>2035</v>
      </c>
      <c r="M176" s="84">
        <f t="shared" si="32"/>
        <v>49310</v>
      </c>
      <c r="N176" s="232">
        <v>61.335900000000002</v>
      </c>
      <c r="O176" s="232">
        <v>61.853670000000001</v>
      </c>
      <c r="P176" s="232">
        <v>43.267249999999997</v>
      </c>
      <c r="Q176" s="231">
        <v>56.430860000000003</v>
      </c>
      <c r="S176" s="107">
        <v>59.462968817204306</v>
      </c>
      <c r="T176" s="109">
        <f t="shared" si="36"/>
        <v>1.0402048742326502</v>
      </c>
      <c r="U176" s="109">
        <f t="shared" si="37"/>
        <v>0.94900845219273633</v>
      </c>
      <c r="AD176" s="177" t="str">
        <f t="shared" si="27"/>
        <v>Summer</v>
      </c>
      <c r="AE176">
        <f t="shared" si="28"/>
        <v>7</v>
      </c>
      <c r="AF176" s="175">
        <v>48030</v>
      </c>
      <c r="AG176" s="176">
        <v>416</v>
      </c>
      <c r="AH176" s="176">
        <v>328</v>
      </c>
      <c r="AI176">
        <f t="shared" si="29"/>
        <v>26</v>
      </c>
      <c r="AJ176">
        <f t="shared" si="30"/>
        <v>5</v>
      </c>
    </row>
    <row r="177" spans="2:36" x14ac:dyDescent="0.2">
      <c r="B177" s="88">
        <f t="shared" si="33"/>
        <v>49341</v>
      </c>
      <c r="C177" s="81">
        <v>4.6207063334337048</v>
      </c>
      <c r="D177" s="81">
        <v>5.0252260948097165</v>
      </c>
      <c r="E177" s="89">
        <f t="shared" si="31"/>
        <v>2035</v>
      </c>
      <c r="K177" s="16">
        <f t="shared" si="34"/>
        <v>2</v>
      </c>
      <c r="L177" s="110">
        <f t="shared" si="35"/>
        <v>2035</v>
      </c>
      <c r="M177" s="84">
        <f t="shared" si="32"/>
        <v>49341</v>
      </c>
      <c r="N177" s="85">
        <v>57.737870000000001</v>
      </c>
      <c r="O177" s="85">
        <v>51.510550000000002</v>
      </c>
      <c r="P177" s="85">
        <v>45.074809999999999</v>
      </c>
      <c r="Q177" s="86">
        <v>51.27</v>
      </c>
      <c r="S177" s="107">
        <v>51.407457142857147</v>
      </c>
      <c r="T177" s="109">
        <f t="shared" si="36"/>
        <v>1.0020054066641804</v>
      </c>
      <c r="U177" s="109">
        <f t="shared" si="37"/>
        <v>0.99732612444775937</v>
      </c>
      <c r="AD177" s="177" t="str">
        <f t="shared" si="27"/>
        <v>Summer</v>
      </c>
      <c r="AE177">
        <f t="shared" si="28"/>
        <v>8</v>
      </c>
      <c r="AF177" s="175">
        <v>48061</v>
      </c>
      <c r="AG177" s="176">
        <v>416</v>
      </c>
      <c r="AH177" s="176">
        <v>328</v>
      </c>
      <c r="AI177">
        <f t="shared" si="29"/>
        <v>26</v>
      </c>
      <c r="AJ177">
        <f t="shared" si="30"/>
        <v>5</v>
      </c>
    </row>
    <row r="178" spans="2:36" x14ac:dyDescent="0.2">
      <c r="B178" s="88">
        <f t="shared" si="33"/>
        <v>49369</v>
      </c>
      <c r="C178" s="81">
        <v>4.3492017665361837</v>
      </c>
      <c r="D178" s="81">
        <v>4.5228451584529727</v>
      </c>
      <c r="E178" s="89">
        <f t="shared" si="31"/>
        <v>2035</v>
      </c>
      <c r="K178" s="16">
        <f t="shared" si="34"/>
        <v>3</v>
      </c>
      <c r="L178" s="110">
        <f t="shared" si="35"/>
        <v>2035</v>
      </c>
      <c r="M178" s="84">
        <f t="shared" si="32"/>
        <v>49369</v>
      </c>
      <c r="N178" s="85">
        <v>30.416540000000001</v>
      </c>
      <c r="O178" s="85">
        <v>37.157960000000003</v>
      </c>
      <c r="P178" s="85">
        <v>30.73658</v>
      </c>
      <c r="Q178" s="86">
        <v>47.375959999999999</v>
      </c>
      <c r="S178" s="107">
        <v>41.434942503364738</v>
      </c>
      <c r="T178" s="109">
        <f t="shared" si="36"/>
        <v>0.89677836519219445</v>
      </c>
      <c r="U178" s="109">
        <f t="shared" si="37"/>
        <v>1.1433818206976591</v>
      </c>
      <c r="AD178" s="177" t="str">
        <f t="shared" si="27"/>
        <v>Summer</v>
      </c>
      <c r="AE178">
        <f t="shared" si="28"/>
        <v>9</v>
      </c>
      <c r="AF178" s="175">
        <v>48092</v>
      </c>
      <c r="AG178" s="176">
        <v>400</v>
      </c>
      <c r="AH178" s="176">
        <v>320</v>
      </c>
      <c r="AI178">
        <f t="shared" si="29"/>
        <v>25</v>
      </c>
      <c r="AJ178">
        <f t="shared" si="30"/>
        <v>5</v>
      </c>
    </row>
    <row r="179" spans="2:36" x14ac:dyDescent="0.2">
      <c r="B179" s="88">
        <f t="shared" si="33"/>
        <v>49400</v>
      </c>
      <c r="C179" s="81">
        <v>4.3558262772257352</v>
      </c>
      <c r="D179" s="81">
        <v>4.1110294929360505</v>
      </c>
      <c r="E179" s="89">
        <f t="shared" si="31"/>
        <v>2035</v>
      </c>
      <c r="K179" s="16">
        <f t="shared" si="34"/>
        <v>4</v>
      </c>
      <c r="L179" s="110">
        <f t="shared" si="35"/>
        <v>2035</v>
      </c>
      <c r="M179" s="84">
        <f t="shared" si="32"/>
        <v>49400</v>
      </c>
      <c r="N179" s="85">
        <v>17.477589999999999</v>
      </c>
      <c r="O179" s="85">
        <v>27.310590000000001</v>
      </c>
      <c r="P179" s="85">
        <v>21.90427</v>
      </c>
      <c r="Q179" s="86">
        <v>38.59892</v>
      </c>
      <c r="S179" s="107">
        <v>32.327625555555557</v>
      </c>
      <c r="T179" s="109">
        <f t="shared" si="36"/>
        <v>0.844806555713976</v>
      </c>
      <c r="U179" s="109">
        <f t="shared" si="37"/>
        <v>1.1939918053575298</v>
      </c>
      <c r="AD179" s="177" t="str">
        <f t="shared" si="27"/>
        <v>Winter</v>
      </c>
      <c r="AE179">
        <f t="shared" si="28"/>
        <v>10</v>
      </c>
      <c r="AF179" s="175">
        <v>48122</v>
      </c>
      <c r="AG179" s="176">
        <v>432</v>
      </c>
      <c r="AH179" s="176">
        <v>312</v>
      </c>
      <c r="AI179">
        <f t="shared" si="29"/>
        <v>27</v>
      </c>
      <c r="AJ179">
        <f t="shared" si="30"/>
        <v>4</v>
      </c>
    </row>
    <row r="180" spans="2:36" x14ac:dyDescent="0.2">
      <c r="B180" s="88">
        <f t="shared" si="33"/>
        <v>49430</v>
      </c>
      <c r="C180" s="81">
        <v>4.2101874134296899</v>
      </c>
      <c r="D180" s="81">
        <v>4.0698634607361317</v>
      </c>
      <c r="E180" s="89">
        <f t="shared" si="31"/>
        <v>2035</v>
      </c>
      <c r="K180" s="16">
        <f t="shared" si="34"/>
        <v>5</v>
      </c>
      <c r="L180" s="110">
        <f t="shared" si="35"/>
        <v>2035</v>
      </c>
      <c r="M180" s="84">
        <f t="shared" si="32"/>
        <v>49430</v>
      </c>
      <c r="N180" s="85">
        <v>9.0049340000000004</v>
      </c>
      <c r="O180" s="85">
        <v>23.144069999999999</v>
      </c>
      <c r="P180" s="85">
        <v>9.6373169999999995</v>
      </c>
      <c r="Q180" s="86">
        <v>37.979370000000003</v>
      </c>
      <c r="S180" s="107">
        <v>29.684363548387097</v>
      </c>
      <c r="T180" s="109">
        <f t="shared" si="36"/>
        <v>0.77967209781250424</v>
      </c>
      <c r="U180" s="109">
        <f t="shared" si="37"/>
        <v>1.2794402661890192</v>
      </c>
      <c r="AD180" s="177" t="str">
        <f t="shared" si="27"/>
        <v>Winter</v>
      </c>
      <c r="AE180">
        <f t="shared" si="28"/>
        <v>11</v>
      </c>
      <c r="AF180" s="175">
        <v>48153</v>
      </c>
      <c r="AG180" s="176">
        <v>384</v>
      </c>
      <c r="AH180" s="176">
        <v>336</v>
      </c>
      <c r="AI180">
        <f t="shared" si="29"/>
        <v>24</v>
      </c>
      <c r="AJ180">
        <f t="shared" si="30"/>
        <v>6</v>
      </c>
    </row>
    <row r="181" spans="2:36" x14ac:dyDescent="0.2">
      <c r="B181" s="88">
        <f t="shared" si="33"/>
        <v>49461</v>
      </c>
      <c r="C181" s="81">
        <v>4.3073469035431096</v>
      </c>
      <c r="D181" s="81">
        <v>4.0946148612286617</v>
      </c>
      <c r="E181" s="89">
        <f t="shared" si="31"/>
        <v>2035</v>
      </c>
      <c r="K181" s="16">
        <f t="shared" si="34"/>
        <v>6</v>
      </c>
      <c r="L181" s="110">
        <f t="shared" si="35"/>
        <v>2035</v>
      </c>
      <c r="M181" s="84">
        <f t="shared" si="32"/>
        <v>49461</v>
      </c>
      <c r="N181" s="85">
        <v>20.16375</v>
      </c>
      <c r="O181" s="85">
        <v>37.570839999999997</v>
      </c>
      <c r="P181" s="85">
        <v>15.290480000000001</v>
      </c>
      <c r="Q181" s="86">
        <v>48.553109999999997</v>
      </c>
      <c r="S181" s="107">
        <v>42.207798444444435</v>
      </c>
      <c r="T181" s="109">
        <f t="shared" si="36"/>
        <v>0.89013977001080058</v>
      </c>
      <c r="U181" s="109">
        <f t="shared" si="37"/>
        <v>1.1503350515641679</v>
      </c>
      <c r="AD181" s="177" t="str">
        <f t="shared" si="27"/>
        <v>Winter</v>
      </c>
      <c r="AE181">
        <f t="shared" si="28"/>
        <v>12</v>
      </c>
      <c r="AF181" s="175">
        <v>48183</v>
      </c>
      <c r="AG181" s="176">
        <v>416</v>
      </c>
      <c r="AH181" s="176">
        <v>328</v>
      </c>
      <c r="AI181">
        <f t="shared" si="29"/>
        <v>26</v>
      </c>
      <c r="AJ181">
        <f t="shared" si="30"/>
        <v>5</v>
      </c>
    </row>
    <row r="182" spans="2:36" x14ac:dyDescent="0.2">
      <c r="B182" s="88">
        <f t="shared" si="33"/>
        <v>49491</v>
      </c>
      <c r="C182" s="81">
        <v>4.4665359028405094</v>
      </c>
      <c r="D182" s="81">
        <v>4.1687137191885153</v>
      </c>
      <c r="E182" s="89">
        <f t="shared" si="31"/>
        <v>2035</v>
      </c>
      <c r="K182" s="16">
        <f t="shared" si="34"/>
        <v>7</v>
      </c>
      <c r="L182" s="110">
        <f t="shared" si="35"/>
        <v>2035</v>
      </c>
      <c r="M182" s="84">
        <f t="shared" si="32"/>
        <v>49491</v>
      </c>
      <c r="N182" s="85">
        <v>102.1802</v>
      </c>
      <c r="O182" s="85">
        <v>154.84979999999999</v>
      </c>
      <c r="P182" s="85">
        <v>31.292149999999999</v>
      </c>
      <c r="Q182" s="86">
        <v>64.119470000000007</v>
      </c>
      <c r="S182" s="107">
        <v>112.89921731182795</v>
      </c>
      <c r="T182" s="109">
        <f t="shared" si="36"/>
        <v>1.3715754961551629</v>
      </c>
      <c r="U182" s="109">
        <f t="shared" si="37"/>
        <v>0.56793546958701979</v>
      </c>
      <c r="AD182" s="177" t="str">
        <f t="shared" si="27"/>
        <v>Winter</v>
      </c>
      <c r="AE182">
        <f t="shared" si="28"/>
        <v>1</v>
      </c>
      <c r="AF182" s="175">
        <v>48214</v>
      </c>
      <c r="AG182" s="174">
        <v>416</v>
      </c>
      <c r="AH182" s="174">
        <v>328</v>
      </c>
      <c r="AI182">
        <f t="shared" si="29"/>
        <v>26</v>
      </c>
      <c r="AJ182">
        <f t="shared" si="30"/>
        <v>5</v>
      </c>
    </row>
    <row r="183" spans="2:36" x14ac:dyDescent="0.2">
      <c r="B183" s="88">
        <f t="shared" si="33"/>
        <v>49522</v>
      </c>
      <c r="C183" s="81">
        <v>4.6076580548027701</v>
      </c>
      <c r="D183" s="81">
        <v>4.2428643583209471</v>
      </c>
      <c r="E183" s="89">
        <f t="shared" si="31"/>
        <v>2035</v>
      </c>
      <c r="K183" s="16">
        <f t="shared" si="34"/>
        <v>8</v>
      </c>
      <c r="L183" s="110">
        <f t="shared" si="35"/>
        <v>2035</v>
      </c>
      <c r="M183" s="84">
        <f t="shared" si="32"/>
        <v>49522</v>
      </c>
      <c r="N183" s="85">
        <v>168.8699</v>
      </c>
      <c r="O183" s="85">
        <v>210.2467</v>
      </c>
      <c r="P183" s="85">
        <v>52.1586</v>
      </c>
      <c r="Q183" s="86">
        <v>87.462000000000003</v>
      </c>
      <c r="S183" s="107">
        <v>158.7563419354839</v>
      </c>
      <c r="T183" s="109">
        <f t="shared" si="36"/>
        <v>1.3243357552635029</v>
      </c>
      <c r="U183" s="109">
        <f t="shared" si="37"/>
        <v>0.55091972348130314</v>
      </c>
      <c r="AD183" s="177" t="str">
        <f t="shared" si="27"/>
        <v>Winter</v>
      </c>
      <c r="AE183">
        <f t="shared" si="28"/>
        <v>2</v>
      </c>
      <c r="AF183" s="175">
        <v>48245</v>
      </c>
      <c r="AG183" s="174">
        <v>384</v>
      </c>
      <c r="AH183" s="174">
        <v>312</v>
      </c>
      <c r="AI183">
        <f t="shared" si="29"/>
        <v>24</v>
      </c>
      <c r="AJ183">
        <f t="shared" si="30"/>
        <v>5</v>
      </c>
    </row>
    <row r="184" spans="2:36" x14ac:dyDescent="0.2">
      <c r="B184" s="88">
        <f t="shared" si="33"/>
        <v>49553</v>
      </c>
      <c r="C184" s="81">
        <v>4.481591608953126</v>
      </c>
      <c r="D184" s="81">
        <v>4.0945630800560826</v>
      </c>
      <c r="E184" s="89">
        <f t="shared" si="31"/>
        <v>2035</v>
      </c>
      <c r="K184" s="16">
        <f t="shared" si="34"/>
        <v>9</v>
      </c>
      <c r="L184" s="110">
        <f t="shared" si="35"/>
        <v>2035</v>
      </c>
      <c r="M184" s="84">
        <f t="shared" si="32"/>
        <v>49553</v>
      </c>
      <c r="N184" s="85">
        <v>49.215479999999999</v>
      </c>
      <c r="O184" s="85">
        <v>79.228870000000001</v>
      </c>
      <c r="P184" s="85">
        <v>34.721580000000003</v>
      </c>
      <c r="Q184" s="86">
        <v>63.989429999999999</v>
      </c>
      <c r="S184" s="107">
        <v>72.117131333333333</v>
      </c>
      <c r="T184" s="109">
        <f t="shared" si="36"/>
        <v>1.0986137209728355</v>
      </c>
      <c r="U184" s="109">
        <f t="shared" si="37"/>
        <v>0.88729860460247367</v>
      </c>
      <c r="AD184" s="177" t="str">
        <f t="shared" si="27"/>
        <v>Winter</v>
      </c>
      <c r="AE184">
        <f t="shared" si="28"/>
        <v>3</v>
      </c>
      <c r="AF184" s="175">
        <v>48274</v>
      </c>
      <c r="AG184" s="174">
        <v>432</v>
      </c>
      <c r="AH184" s="174">
        <v>312</v>
      </c>
      <c r="AI184">
        <f t="shared" si="29"/>
        <v>27</v>
      </c>
      <c r="AJ184">
        <f t="shared" si="30"/>
        <v>4</v>
      </c>
    </row>
    <row r="185" spans="2:36" x14ac:dyDescent="0.2">
      <c r="B185" s="88">
        <f t="shared" si="33"/>
        <v>49583</v>
      </c>
      <c r="C185" s="81">
        <v>4.5753384723476858</v>
      </c>
      <c r="D185" s="81">
        <v>4.4075284871206222</v>
      </c>
      <c r="E185" s="89">
        <f t="shared" si="31"/>
        <v>2035</v>
      </c>
      <c r="K185" s="16">
        <f t="shared" si="34"/>
        <v>10</v>
      </c>
      <c r="L185" s="110">
        <f t="shared" si="35"/>
        <v>2035</v>
      </c>
      <c r="M185" s="84">
        <f t="shared" si="32"/>
        <v>49583</v>
      </c>
      <c r="N185" s="85">
        <v>50.253320000000002</v>
      </c>
      <c r="O185" s="85">
        <v>57.44435</v>
      </c>
      <c r="P185" s="85">
        <v>39.272979999999997</v>
      </c>
      <c r="Q185" s="86">
        <v>53.940399999999997</v>
      </c>
      <c r="S185" s="107">
        <v>55.974951612903226</v>
      </c>
      <c r="T185" s="109">
        <f t="shared" si="36"/>
        <v>1.0262509987906456</v>
      </c>
      <c r="U185" s="109">
        <f t="shared" si="37"/>
        <v>0.96365246321295206</v>
      </c>
      <c r="AD185" s="177" t="str">
        <f t="shared" si="27"/>
        <v>Winter</v>
      </c>
      <c r="AE185">
        <f t="shared" si="28"/>
        <v>4</v>
      </c>
      <c r="AF185" s="175">
        <v>48305</v>
      </c>
      <c r="AG185" s="174">
        <v>416</v>
      </c>
      <c r="AH185" s="174">
        <v>304</v>
      </c>
      <c r="AI185">
        <f t="shared" si="29"/>
        <v>26</v>
      </c>
      <c r="AJ185">
        <f t="shared" si="30"/>
        <v>4</v>
      </c>
    </row>
    <row r="186" spans="2:36" x14ac:dyDescent="0.2">
      <c r="B186" s="88">
        <f t="shared" si="33"/>
        <v>49614</v>
      </c>
      <c r="C186" s="81">
        <v>4.6788213590284053</v>
      </c>
      <c r="D186" s="81">
        <v>5.0087596819297486</v>
      </c>
      <c r="E186" s="89">
        <f t="shared" si="31"/>
        <v>2035</v>
      </c>
      <c r="K186" s="16">
        <f t="shared" si="34"/>
        <v>11</v>
      </c>
      <c r="L186" s="110">
        <f t="shared" si="35"/>
        <v>2035</v>
      </c>
      <c r="M186" s="84">
        <f t="shared" si="32"/>
        <v>49614</v>
      </c>
      <c r="N186" s="85">
        <v>49.048439999999999</v>
      </c>
      <c r="O186" s="85">
        <v>56.820259999999998</v>
      </c>
      <c r="P186" s="85">
        <v>42.453510000000001</v>
      </c>
      <c r="Q186" s="86">
        <v>55.596820000000001</v>
      </c>
      <c r="S186" s="107">
        <v>56.275566185852988</v>
      </c>
      <c r="T186" s="109">
        <f t="shared" si="36"/>
        <v>1.0096790463617573</v>
      </c>
      <c r="U186" s="109">
        <f t="shared" si="37"/>
        <v>0.98793888303830846</v>
      </c>
      <c r="AD186" s="177" t="str">
        <f t="shared" si="27"/>
        <v>Winter</v>
      </c>
      <c r="AE186">
        <f t="shared" si="28"/>
        <v>5</v>
      </c>
      <c r="AF186" s="175">
        <v>48335</v>
      </c>
      <c r="AG186" s="174">
        <v>400</v>
      </c>
      <c r="AH186" s="174">
        <v>344</v>
      </c>
      <c r="AI186">
        <f t="shared" si="29"/>
        <v>25</v>
      </c>
      <c r="AJ186">
        <f t="shared" si="30"/>
        <v>6</v>
      </c>
    </row>
    <row r="187" spans="2:36" x14ac:dyDescent="0.2">
      <c r="B187" s="90">
        <f t="shared" si="33"/>
        <v>49644</v>
      </c>
      <c r="C187" s="91">
        <v>5.1494627321088018</v>
      </c>
      <c r="D187" s="91">
        <v>5.6758047470861666</v>
      </c>
      <c r="E187" s="92">
        <f t="shared" si="31"/>
        <v>2035</v>
      </c>
      <c r="K187" s="16">
        <f t="shared" si="34"/>
        <v>12</v>
      </c>
      <c r="L187" s="110">
        <f t="shared" si="35"/>
        <v>2035</v>
      </c>
      <c r="M187" s="93">
        <f t="shared" si="32"/>
        <v>49644</v>
      </c>
      <c r="N187" s="94">
        <v>65.223140000000001</v>
      </c>
      <c r="O187" s="94">
        <v>61.996299999999998</v>
      </c>
      <c r="P187" s="94">
        <v>49.642159999999997</v>
      </c>
      <c r="Q187" s="95">
        <v>59.198970000000003</v>
      </c>
      <c r="S187" s="107">
        <v>60.702910860215049</v>
      </c>
      <c r="T187" s="109">
        <f t="shared" si="36"/>
        <v>1.0213068718032867</v>
      </c>
      <c r="U187" s="109">
        <f t="shared" si="37"/>
        <v>0.97522456767059695</v>
      </c>
      <c r="AD187" s="177" t="str">
        <f t="shared" si="27"/>
        <v>Summer</v>
      </c>
      <c r="AE187">
        <f t="shared" si="28"/>
        <v>6</v>
      </c>
      <c r="AF187" s="175">
        <v>48366</v>
      </c>
      <c r="AG187" s="174">
        <v>416</v>
      </c>
      <c r="AH187" s="174">
        <v>304</v>
      </c>
      <c r="AI187">
        <f t="shared" si="29"/>
        <v>26</v>
      </c>
      <c r="AJ187">
        <f t="shared" si="30"/>
        <v>4</v>
      </c>
    </row>
    <row r="188" spans="2:36" x14ac:dyDescent="0.2">
      <c r="B188" s="234">
        <f t="shared" si="33"/>
        <v>49675</v>
      </c>
      <c r="C188" s="81">
        <v>5.2715143229950812</v>
      </c>
      <c r="D188" s="81">
        <v>5.8397957206423214</v>
      </c>
      <c r="E188" s="233">
        <f t="shared" si="31"/>
        <v>2036</v>
      </c>
      <c r="K188" s="16">
        <f t="shared" si="34"/>
        <v>1</v>
      </c>
      <c r="L188" s="110">
        <f t="shared" si="35"/>
        <v>2036</v>
      </c>
      <c r="M188" s="84">
        <f t="shared" si="32"/>
        <v>49675</v>
      </c>
      <c r="N188" s="232">
        <v>63.292380000000001</v>
      </c>
      <c r="O188" s="232">
        <v>63.198990000000002</v>
      </c>
      <c r="P188" s="232">
        <v>44.490079999999999</v>
      </c>
      <c r="Q188" s="231">
        <v>58.218350000000001</v>
      </c>
      <c r="S188" s="107">
        <v>61.003223978494624</v>
      </c>
      <c r="T188" s="109">
        <f t="shared" si="36"/>
        <v>1.0359942619144105</v>
      </c>
      <c r="U188" s="109">
        <f t="shared" si="37"/>
        <v>0.9543487409866015</v>
      </c>
      <c r="AD188" s="177" t="str">
        <f t="shared" si="27"/>
        <v>Summer</v>
      </c>
      <c r="AE188">
        <f t="shared" si="28"/>
        <v>7</v>
      </c>
      <c r="AF188" s="175">
        <v>48396</v>
      </c>
      <c r="AG188" s="174">
        <v>416</v>
      </c>
      <c r="AH188" s="174">
        <v>328</v>
      </c>
      <c r="AI188">
        <f t="shared" si="29"/>
        <v>26</v>
      </c>
      <c r="AJ188">
        <f t="shared" si="30"/>
        <v>5</v>
      </c>
    </row>
    <row r="189" spans="2:36" x14ac:dyDescent="0.2">
      <c r="B189" s="88">
        <f t="shared" si="33"/>
        <v>49706</v>
      </c>
      <c r="C189" s="81">
        <v>4.8641069155876737</v>
      </c>
      <c r="D189" s="81">
        <v>5.2332310650576073</v>
      </c>
      <c r="E189" s="89">
        <f t="shared" si="31"/>
        <v>2036</v>
      </c>
      <c r="K189" s="16">
        <f t="shared" si="34"/>
        <v>2</v>
      </c>
      <c r="L189" s="110">
        <f t="shared" si="35"/>
        <v>2036</v>
      </c>
      <c r="M189" s="84">
        <f t="shared" si="32"/>
        <v>49706</v>
      </c>
      <c r="N189" s="85">
        <v>57.901809999999998</v>
      </c>
      <c r="O189" s="85">
        <v>52.998890000000003</v>
      </c>
      <c r="P189" s="85">
        <v>45.382199999999997</v>
      </c>
      <c r="Q189" s="86">
        <v>53.189639999999997</v>
      </c>
      <c r="S189" s="107">
        <v>53.080013563218394</v>
      </c>
      <c r="T189" s="109">
        <f t="shared" si="36"/>
        <v>0.99847167402996662</v>
      </c>
      <c r="U189" s="109">
        <f t="shared" si="37"/>
        <v>1.0020653053649098</v>
      </c>
      <c r="AD189" s="177" t="str">
        <f t="shared" si="27"/>
        <v>Summer</v>
      </c>
      <c r="AE189">
        <f t="shared" si="28"/>
        <v>8</v>
      </c>
      <c r="AF189" s="175">
        <v>48427</v>
      </c>
      <c r="AG189" s="174">
        <v>416</v>
      </c>
      <c r="AH189" s="174">
        <v>328</v>
      </c>
      <c r="AI189">
        <f t="shared" si="29"/>
        <v>26</v>
      </c>
      <c r="AJ189">
        <f t="shared" si="30"/>
        <v>5</v>
      </c>
    </row>
    <row r="190" spans="2:36" x14ac:dyDescent="0.2">
      <c r="B190" s="88">
        <f t="shared" si="33"/>
        <v>49735</v>
      </c>
      <c r="C190" s="81">
        <v>4.6828362139917701</v>
      </c>
      <c r="D190" s="81">
        <v>4.8624778693954465</v>
      </c>
      <c r="E190" s="89">
        <f t="shared" si="31"/>
        <v>2036</v>
      </c>
      <c r="K190" s="16">
        <f t="shared" si="34"/>
        <v>3</v>
      </c>
      <c r="L190" s="110">
        <f t="shared" si="35"/>
        <v>2036</v>
      </c>
      <c r="M190" s="84">
        <f t="shared" si="32"/>
        <v>49735</v>
      </c>
      <c r="N190" s="85">
        <v>34.062019999999997</v>
      </c>
      <c r="O190" s="85">
        <v>38.466050000000003</v>
      </c>
      <c r="P190" s="85">
        <v>33.364629999999998</v>
      </c>
      <c r="Q190" s="86">
        <v>47.50515</v>
      </c>
      <c r="S190" s="107">
        <v>42.444227254374162</v>
      </c>
      <c r="T190" s="109">
        <f t="shared" si="36"/>
        <v>0.90627283115481427</v>
      </c>
      <c r="U190" s="109">
        <f t="shared" si="37"/>
        <v>1.1192370099070252</v>
      </c>
      <c r="AD190" s="177" t="str">
        <f t="shared" si="27"/>
        <v>Summer</v>
      </c>
      <c r="AE190">
        <f t="shared" si="28"/>
        <v>9</v>
      </c>
      <c r="AF190" s="175">
        <v>48458</v>
      </c>
      <c r="AG190" s="174">
        <v>400</v>
      </c>
      <c r="AH190" s="174">
        <v>320</v>
      </c>
      <c r="AI190">
        <f t="shared" si="29"/>
        <v>25</v>
      </c>
      <c r="AJ190">
        <f t="shared" si="30"/>
        <v>5</v>
      </c>
    </row>
    <row r="191" spans="2:36" x14ac:dyDescent="0.2">
      <c r="B191" s="88">
        <f t="shared" si="33"/>
        <v>49766</v>
      </c>
      <c r="C191" s="81">
        <v>4.342476884472549</v>
      </c>
      <c r="D191" s="81">
        <v>4.146396033807175</v>
      </c>
      <c r="E191" s="89">
        <f t="shared" si="31"/>
        <v>2036</v>
      </c>
      <c r="K191" s="16">
        <f t="shared" si="34"/>
        <v>4</v>
      </c>
      <c r="L191" s="110">
        <f t="shared" si="35"/>
        <v>2036</v>
      </c>
      <c r="M191" s="84">
        <f t="shared" si="32"/>
        <v>49766</v>
      </c>
      <c r="N191" s="85">
        <v>14.95514</v>
      </c>
      <c r="O191" s="85">
        <v>26.853000000000002</v>
      </c>
      <c r="P191" s="85">
        <v>16.467400000000001</v>
      </c>
      <c r="Q191" s="86">
        <v>38.644489999999998</v>
      </c>
      <c r="S191" s="107">
        <v>31.831629111111113</v>
      </c>
      <c r="T191" s="109">
        <f t="shared" si="36"/>
        <v>0.84359490072805365</v>
      </c>
      <c r="U191" s="109">
        <f t="shared" si="37"/>
        <v>1.2140280305826634</v>
      </c>
      <c r="AD191" s="177" t="str">
        <f t="shared" si="27"/>
        <v>Winter</v>
      </c>
      <c r="AE191">
        <f t="shared" si="28"/>
        <v>10</v>
      </c>
      <c r="AF191" s="175">
        <v>48488</v>
      </c>
      <c r="AG191" s="174">
        <v>416</v>
      </c>
      <c r="AH191" s="174">
        <v>328</v>
      </c>
      <c r="AI191">
        <f t="shared" si="29"/>
        <v>26</v>
      </c>
      <c r="AJ191">
        <f t="shared" si="30"/>
        <v>5</v>
      </c>
    </row>
    <row r="192" spans="2:36" x14ac:dyDescent="0.2">
      <c r="B192" s="88">
        <f t="shared" si="33"/>
        <v>49796</v>
      </c>
      <c r="C192" s="81">
        <v>4.1964365351801662</v>
      </c>
      <c r="D192" s="81">
        <v>4.0200499727156016</v>
      </c>
      <c r="E192" s="89">
        <f t="shared" si="31"/>
        <v>2036</v>
      </c>
      <c r="K192" s="16">
        <f t="shared" si="34"/>
        <v>5</v>
      </c>
      <c r="L192" s="110">
        <f t="shared" si="35"/>
        <v>2036</v>
      </c>
      <c r="M192" s="84">
        <f t="shared" si="32"/>
        <v>49796</v>
      </c>
      <c r="N192" s="85">
        <v>8.3055920000000008</v>
      </c>
      <c r="O192" s="85">
        <v>22.93676</v>
      </c>
      <c r="P192" s="85">
        <v>9.3948450000000001</v>
      </c>
      <c r="Q192" s="86">
        <v>38.558610000000002</v>
      </c>
      <c r="S192" s="107">
        <v>29.823812150537634</v>
      </c>
      <c r="T192" s="109">
        <f t="shared" si="36"/>
        <v>0.76907539130897185</v>
      </c>
      <c r="U192" s="109">
        <f t="shared" si="37"/>
        <v>1.2928799915105724</v>
      </c>
      <c r="AD192" s="177" t="str">
        <f t="shared" si="27"/>
        <v>Winter</v>
      </c>
      <c r="AE192">
        <f t="shared" si="28"/>
        <v>11</v>
      </c>
      <c r="AF192" s="175">
        <v>48519</v>
      </c>
      <c r="AG192" s="174">
        <v>400</v>
      </c>
      <c r="AH192" s="174">
        <v>320</v>
      </c>
      <c r="AI192">
        <f t="shared" si="29"/>
        <v>25</v>
      </c>
      <c r="AJ192">
        <f t="shared" si="30"/>
        <v>5</v>
      </c>
    </row>
    <row r="193" spans="2:36" x14ac:dyDescent="0.2">
      <c r="B193" s="88">
        <f t="shared" si="33"/>
        <v>49827</v>
      </c>
      <c r="C193" s="81">
        <v>4.3106591588878853</v>
      </c>
      <c r="D193" s="81">
        <v>4.0200499727156016</v>
      </c>
      <c r="E193" s="89">
        <f t="shared" si="31"/>
        <v>2036</v>
      </c>
      <c r="K193" s="16">
        <f t="shared" si="34"/>
        <v>6</v>
      </c>
      <c r="L193" s="110">
        <f t="shared" si="35"/>
        <v>2036</v>
      </c>
      <c r="M193" s="84">
        <f t="shared" si="32"/>
        <v>49827</v>
      </c>
      <c r="N193" s="85">
        <v>22.796530000000001</v>
      </c>
      <c r="O193" s="85">
        <v>41.086570000000002</v>
      </c>
      <c r="P193" s="85">
        <v>16.45936</v>
      </c>
      <c r="Q193" s="86">
        <v>49.278739999999999</v>
      </c>
      <c r="S193" s="107">
        <v>44.727534444444444</v>
      </c>
      <c r="T193" s="109">
        <f t="shared" si="36"/>
        <v>0.91859679971926822</v>
      </c>
      <c r="U193" s="109">
        <f t="shared" si="37"/>
        <v>1.1017540003509148</v>
      </c>
      <c r="AD193" s="177" t="str">
        <f t="shared" si="27"/>
        <v>Winter</v>
      </c>
      <c r="AE193">
        <f t="shared" si="28"/>
        <v>12</v>
      </c>
      <c r="AF193" s="175">
        <v>48549</v>
      </c>
      <c r="AG193" s="174">
        <v>416</v>
      </c>
      <c r="AH193" s="174">
        <v>328</v>
      </c>
      <c r="AI193">
        <f t="shared" si="29"/>
        <v>26</v>
      </c>
      <c r="AJ193">
        <f t="shared" si="30"/>
        <v>5</v>
      </c>
    </row>
    <row r="194" spans="2:36" x14ac:dyDescent="0.2">
      <c r="B194" s="88">
        <f t="shared" si="33"/>
        <v>49857</v>
      </c>
      <c r="C194" s="81">
        <v>4.5243498143129575</v>
      </c>
      <c r="D194" s="81">
        <v>4.0958576093705457</v>
      </c>
      <c r="E194" s="89">
        <f t="shared" si="31"/>
        <v>2036</v>
      </c>
      <c r="K194" s="16">
        <f t="shared" si="34"/>
        <v>7</v>
      </c>
      <c r="L194" s="110">
        <f t="shared" si="35"/>
        <v>2036</v>
      </c>
      <c r="M194" s="84">
        <f t="shared" si="32"/>
        <v>49857</v>
      </c>
      <c r="N194" s="85">
        <v>120.7333</v>
      </c>
      <c r="O194" s="85">
        <v>195.661</v>
      </c>
      <c r="P194" s="85">
        <v>31.128129999999999</v>
      </c>
      <c r="Q194" s="86">
        <v>65.759280000000004</v>
      </c>
      <c r="S194" s="107">
        <v>138.39249978494624</v>
      </c>
      <c r="T194" s="109">
        <f t="shared" si="36"/>
        <v>1.4138121668735346</v>
      </c>
      <c r="U194" s="109">
        <f t="shared" si="37"/>
        <v>0.47516505664820013</v>
      </c>
      <c r="AD194" s="177" t="str">
        <f t="shared" ref="AD194:AD253" si="38">IF(AND(AE194&gt;=6,AE194&lt;=9),"Summer","Winter")</f>
        <v>Winter</v>
      </c>
      <c r="AE194">
        <f t="shared" ref="AE194:AE253" si="39">MONTH(AF194)</f>
        <v>1</v>
      </c>
      <c r="AF194" s="175">
        <v>48580</v>
      </c>
      <c r="AG194" s="174">
        <v>400</v>
      </c>
      <c r="AH194" s="174">
        <v>344</v>
      </c>
      <c r="AI194">
        <f t="shared" ref="AI194:AI253" si="40">AG194/16</f>
        <v>25</v>
      </c>
      <c r="AJ194">
        <f t="shared" ref="AJ194:AJ253" si="41">EDATE(AF194,1)-AF194-AI194</f>
        <v>6</v>
      </c>
    </row>
    <row r="195" spans="2:36" x14ac:dyDescent="0.2">
      <c r="B195" s="88">
        <f t="shared" si="33"/>
        <v>49888</v>
      </c>
      <c r="C195" s="81">
        <v>4.6525240590183676</v>
      </c>
      <c r="D195" s="81">
        <v>4.1632766960677712</v>
      </c>
      <c r="E195" s="89">
        <f t="shared" si="31"/>
        <v>2036</v>
      </c>
      <c r="K195" s="16">
        <f t="shared" si="34"/>
        <v>8</v>
      </c>
      <c r="L195" s="110">
        <f t="shared" si="35"/>
        <v>2036</v>
      </c>
      <c r="M195" s="84">
        <f t="shared" si="32"/>
        <v>49888</v>
      </c>
      <c r="N195" s="85">
        <v>163.5984</v>
      </c>
      <c r="O195" s="85">
        <v>209.5873</v>
      </c>
      <c r="P195" s="85">
        <v>51.84657</v>
      </c>
      <c r="Q195" s="86">
        <v>89.528919999999999</v>
      </c>
      <c r="S195" s="107">
        <v>156.65833677419354</v>
      </c>
      <c r="T195" s="109">
        <f t="shared" si="36"/>
        <v>1.3378624101065109</v>
      </c>
      <c r="U195" s="109">
        <f t="shared" si="37"/>
        <v>0.57149157742588885</v>
      </c>
      <c r="AD195" s="177" t="str">
        <f t="shared" si="38"/>
        <v>Winter</v>
      </c>
      <c r="AE195">
        <f t="shared" si="39"/>
        <v>2</v>
      </c>
      <c r="AF195" s="175">
        <v>48611</v>
      </c>
      <c r="AG195" s="174">
        <v>384</v>
      </c>
      <c r="AH195" s="174">
        <v>288</v>
      </c>
      <c r="AI195">
        <f t="shared" si="40"/>
        <v>24</v>
      </c>
      <c r="AJ195">
        <f t="shared" si="41"/>
        <v>4</v>
      </c>
    </row>
    <row r="196" spans="2:36" x14ac:dyDescent="0.2">
      <c r="B196" s="88">
        <f t="shared" si="33"/>
        <v>49919</v>
      </c>
      <c r="C196" s="81">
        <v>4.5557660544012846</v>
      </c>
      <c r="D196" s="81">
        <v>4.0369306349761969</v>
      </c>
      <c r="E196" s="89">
        <f t="shared" si="31"/>
        <v>2036</v>
      </c>
      <c r="K196" s="16">
        <f t="shared" si="34"/>
        <v>9</v>
      </c>
      <c r="L196" s="110">
        <f t="shared" si="35"/>
        <v>2036</v>
      </c>
      <c r="M196" s="84">
        <f t="shared" si="32"/>
        <v>49919</v>
      </c>
      <c r="N196" s="85">
        <v>51.691899999999997</v>
      </c>
      <c r="O196" s="85">
        <v>86.737340000000003</v>
      </c>
      <c r="P196" s="85">
        <v>35.144410000000001</v>
      </c>
      <c r="Q196" s="86">
        <v>67.682410000000004</v>
      </c>
      <c r="S196" s="107">
        <v>78.268482222222232</v>
      </c>
      <c r="T196" s="109">
        <f t="shared" si="36"/>
        <v>1.1082026575363086</v>
      </c>
      <c r="U196" s="109">
        <f t="shared" si="37"/>
        <v>0.86474667807961403</v>
      </c>
      <c r="AD196" s="177" t="str">
        <f t="shared" si="38"/>
        <v>Winter</v>
      </c>
      <c r="AE196">
        <f t="shared" si="39"/>
        <v>3</v>
      </c>
      <c r="AF196" s="175">
        <v>48639</v>
      </c>
      <c r="AG196" s="174">
        <v>432</v>
      </c>
      <c r="AH196" s="174">
        <v>312</v>
      </c>
      <c r="AI196">
        <f t="shared" si="40"/>
        <v>27</v>
      </c>
      <c r="AJ196">
        <f t="shared" si="41"/>
        <v>4</v>
      </c>
    </row>
    <row r="197" spans="2:36" x14ac:dyDescent="0.2">
      <c r="B197" s="88">
        <f t="shared" si="33"/>
        <v>49949</v>
      </c>
      <c r="C197" s="81">
        <v>4.6825350998695177</v>
      </c>
      <c r="D197" s="81">
        <v>4.3654303938142904</v>
      </c>
      <c r="E197" s="89">
        <f t="shared" si="31"/>
        <v>2036</v>
      </c>
      <c r="K197" s="16">
        <f t="shared" si="34"/>
        <v>10</v>
      </c>
      <c r="L197" s="110">
        <f t="shared" si="35"/>
        <v>2036</v>
      </c>
      <c r="M197" s="84">
        <f t="shared" si="32"/>
        <v>49949</v>
      </c>
      <c r="N197" s="85">
        <v>58.775419999999997</v>
      </c>
      <c r="O197" s="85">
        <v>62.68694</v>
      </c>
      <c r="P197" s="85">
        <v>43.257910000000003</v>
      </c>
      <c r="Q197" s="86">
        <v>58.21105</v>
      </c>
      <c r="S197" s="107">
        <v>60.809953870967739</v>
      </c>
      <c r="T197" s="109">
        <f t="shared" si="36"/>
        <v>1.0308664290884848</v>
      </c>
      <c r="U197" s="109">
        <f t="shared" si="37"/>
        <v>0.95726186741594421</v>
      </c>
      <c r="AD197" s="177" t="str">
        <f t="shared" si="38"/>
        <v>Winter</v>
      </c>
      <c r="AE197">
        <f t="shared" si="39"/>
        <v>4</v>
      </c>
      <c r="AF197" s="175">
        <v>48670</v>
      </c>
      <c r="AG197" s="174">
        <v>416</v>
      </c>
      <c r="AH197" s="174">
        <v>304</v>
      </c>
      <c r="AI197">
        <f t="shared" si="40"/>
        <v>26</v>
      </c>
      <c r="AJ197">
        <f t="shared" si="41"/>
        <v>4</v>
      </c>
    </row>
    <row r="198" spans="2:36" x14ac:dyDescent="0.2">
      <c r="B198" s="88">
        <f t="shared" si="33"/>
        <v>49980</v>
      </c>
      <c r="C198" s="81">
        <v>4.8749470239887582</v>
      </c>
      <c r="D198" s="81">
        <v>5.199521521708995</v>
      </c>
      <c r="E198" s="89">
        <f t="shared" si="31"/>
        <v>2036</v>
      </c>
      <c r="K198" s="16">
        <f t="shared" si="34"/>
        <v>11</v>
      </c>
      <c r="L198" s="110">
        <f t="shared" si="35"/>
        <v>2036</v>
      </c>
      <c r="M198" s="84">
        <f t="shared" si="32"/>
        <v>49980</v>
      </c>
      <c r="N198" s="85">
        <v>51.299880000000002</v>
      </c>
      <c r="O198" s="85">
        <v>57.30312</v>
      </c>
      <c r="P198" s="85">
        <v>44.69464</v>
      </c>
      <c r="Q198" s="86">
        <v>55.895679999999999</v>
      </c>
      <c r="S198" s="107">
        <v>56.645273564493756</v>
      </c>
      <c r="T198" s="109">
        <f t="shared" si="36"/>
        <v>1.0116134391116895</v>
      </c>
      <c r="U198" s="109">
        <f t="shared" si="37"/>
        <v>0.98676688243653188</v>
      </c>
      <c r="AD198" s="177" t="str">
        <f t="shared" si="38"/>
        <v>Winter</v>
      </c>
      <c r="AE198">
        <f t="shared" si="39"/>
        <v>5</v>
      </c>
      <c r="AF198" s="175">
        <v>48700</v>
      </c>
      <c r="AG198" s="174">
        <v>400</v>
      </c>
      <c r="AH198" s="174">
        <v>344</v>
      </c>
      <c r="AI198">
        <f t="shared" si="40"/>
        <v>25</v>
      </c>
      <c r="AJ198">
        <f t="shared" si="41"/>
        <v>6</v>
      </c>
    </row>
    <row r="199" spans="2:36" x14ac:dyDescent="0.2">
      <c r="B199" s="90">
        <f t="shared" si="33"/>
        <v>50010</v>
      </c>
      <c r="C199" s="91">
        <v>5.3247111512596605</v>
      </c>
      <c r="D199" s="91">
        <v>5.84823605177262</v>
      </c>
      <c r="E199" s="92">
        <f t="shared" si="31"/>
        <v>2036</v>
      </c>
      <c r="K199" s="16">
        <f t="shared" si="34"/>
        <v>12</v>
      </c>
      <c r="L199" s="110">
        <f t="shared" si="35"/>
        <v>2036</v>
      </c>
      <c r="M199" s="93">
        <f t="shared" si="32"/>
        <v>50010</v>
      </c>
      <c r="N199" s="94">
        <v>71.406940000000006</v>
      </c>
      <c r="O199" s="94">
        <v>65.618549999999999</v>
      </c>
      <c r="P199" s="94">
        <v>51.882019999999997</v>
      </c>
      <c r="Q199" s="95">
        <v>62.011710000000001</v>
      </c>
      <c r="S199" s="107">
        <v>64.028437741935477</v>
      </c>
      <c r="T199" s="109">
        <f t="shared" si="36"/>
        <v>1.0248344690912718</v>
      </c>
      <c r="U199" s="109">
        <f t="shared" si="37"/>
        <v>0.96850262456716762</v>
      </c>
      <c r="AD199" s="177" t="str">
        <f t="shared" si="38"/>
        <v>Summer</v>
      </c>
      <c r="AE199">
        <f t="shared" si="39"/>
        <v>6</v>
      </c>
      <c r="AF199" s="175">
        <v>48731</v>
      </c>
      <c r="AG199" s="174">
        <v>416</v>
      </c>
      <c r="AH199" s="174">
        <v>304</v>
      </c>
      <c r="AI199">
        <f t="shared" si="40"/>
        <v>26</v>
      </c>
      <c r="AJ199">
        <f t="shared" si="41"/>
        <v>4</v>
      </c>
    </row>
    <row r="200" spans="2:36" x14ac:dyDescent="0.2">
      <c r="B200" s="234">
        <f t="shared" si="33"/>
        <v>50041</v>
      </c>
      <c r="C200" s="81">
        <v>5.4492720264980425</v>
      </c>
      <c r="D200" s="81">
        <v>6.068668503439353</v>
      </c>
      <c r="E200" s="233">
        <f t="shared" ref="E200:E247" si="42">YEAR(B200)</f>
        <v>2037</v>
      </c>
      <c r="K200" s="16">
        <f t="shared" si="34"/>
        <v>1</v>
      </c>
      <c r="L200" s="110">
        <f t="shared" si="35"/>
        <v>2037</v>
      </c>
      <c r="M200" s="84">
        <f t="shared" ref="M200:M247" si="43">B200</f>
        <v>50041</v>
      </c>
      <c r="N200" s="232">
        <v>65.615440000000007</v>
      </c>
      <c r="O200" s="232">
        <v>64.645700000000005</v>
      </c>
      <c r="P200" s="232">
        <v>46.598790000000001</v>
      </c>
      <c r="Q200" s="231">
        <v>60.687710000000003</v>
      </c>
      <c r="S200" s="107">
        <v>62.900779677419358</v>
      </c>
      <c r="T200" s="109">
        <f t="shared" si="36"/>
        <v>1.0277408377372952</v>
      </c>
      <c r="U200" s="109">
        <f t="shared" si="37"/>
        <v>0.964816498479528</v>
      </c>
      <c r="AD200" s="177" t="str">
        <f t="shared" si="38"/>
        <v>Summer</v>
      </c>
      <c r="AE200">
        <f t="shared" si="39"/>
        <v>7</v>
      </c>
      <c r="AF200" s="175">
        <v>48761</v>
      </c>
      <c r="AG200" s="174">
        <v>400</v>
      </c>
      <c r="AH200" s="174">
        <v>344</v>
      </c>
      <c r="AI200">
        <f t="shared" si="40"/>
        <v>25</v>
      </c>
      <c r="AJ200">
        <f t="shared" si="41"/>
        <v>6</v>
      </c>
    </row>
    <row r="201" spans="2:36" x14ac:dyDescent="0.2">
      <c r="B201" s="88">
        <f t="shared" ref="B201:B247" si="44">EDATE(B200,1)</f>
        <v>50072</v>
      </c>
      <c r="C201" s="81">
        <v>5.1661243802067647</v>
      </c>
      <c r="D201" s="81">
        <v>5.5084997784849881</v>
      </c>
      <c r="E201" s="89">
        <f t="shared" si="42"/>
        <v>2037</v>
      </c>
      <c r="K201" s="16">
        <f t="shared" ref="K201:K247" si="45">MONTH(M201)</f>
        <v>2</v>
      </c>
      <c r="L201" s="110">
        <f t="shared" ref="L201:L247" si="46">YEAR(M201)</f>
        <v>2037</v>
      </c>
      <c r="M201" s="84">
        <f t="shared" si="43"/>
        <v>50072</v>
      </c>
      <c r="N201" s="85">
        <v>61.617240000000002</v>
      </c>
      <c r="O201" s="85">
        <v>54.854880000000001</v>
      </c>
      <c r="P201" s="85">
        <v>48.131399999999999</v>
      </c>
      <c r="Q201" s="86">
        <v>55.584679999999999</v>
      </c>
      <c r="S201" s="107">
        <v>55.167651428571425</v>
      </c>
      <c r="T201" s="109">
        <f t="shared" ref="T201:T247" si="47">O201/S201</f>
        <v>0.99433052848051029</v>
      </c>
      <c r="U201" s="109">
        <f t="shared" ref="U201:U247" si="48">Q201/S201</f>
        <v>1.0075592953593198</v>
      </c>
      <c r="AD201" s="177" t="str">
        <f t="shared" si="38"/>
        <v>Summer</v>
      </c>
      <c r="AE201">
        <f t="shared" si="39"/>
        <v>8</v>
      </c>
      <c r="AF201" s="175">
        <v>48792</v>
      </c>
      <c r="AG201" s="174">
        <v>432</v>
      </c>
      <c r="AH201" s="174">
        <v>312</v>
      </c>
      <c r="AI201">
        <f t="shared" si="40"/>
        <v>27</v>
      </c>
      <c r="AJ201">
        <f t="shared" si="41"/>
        <v>4</v>
      </c>
    </row>
    <row r="202" spans="2:36" x14ac:dyDescent="0.2">
      <c r="B202" s="88">
        <f t="shared" si="44"/>
        <v>50100</v>
      </c>
      <c r="C202" s="81">
        <v>4.7955532670882262</v>
      </c>
      <c r="D202" s="81">
        <v>4.9655224028266893</v>
      </c>
      <c r="E202" s="89">
        <f t="shared" si="42"/>
        <v>2037</v>
      </c>
      <c r="K202" s="16">
        <f t="shared" si="45"/>
        <v>3</v>
      </c>
      <c r="L202" s="110">
        <f t="shared" si="46"/>
        <v>2037</v>
      </c>
      <c r="M202" s="84">
        <f t="shared" si="43"/>
        <v>50100</v>
      </c>
      <c r="N202" s="85">
        <v>34.731430000000003</v>
      </c>
      <c r="O202" s="85">
        <v>40.387149999999998</v>
      </c>
      <c r="P202" s="85">
        <v>32.930799999999998</v>
      </c>
      <c r="Q202" s="86">
        <v>49.499679999999998</v>
      </c>
      <c r="S202" s="107">
        <v>44.397644360699857</v>
      </c>
      <c r="T202" s="109">
        <f t="shared" si="47"/>
        <v>0.90966875791613189</v>
      </c>
      <c r="U202" s="109">
        <f t="shared" si="48"/>
        <v>1.1149168095011903</v>
      </c>
      <c r="AD202" s="177" t="str">
        <f t="shared" si="38"/>
        <v>Summer</v>
      </c>
      <c r="AE202">
        <f t="shared" si="39"/>
        <v>9</v>
      </c>
      <c r="AF202" s="175">
        <v>48823</v>
      </c>
      <c r="AG202" s="174">
        <v>400</v>
      </c>
      <c r="AH202" s="174">
        <v>320</v>
      </c>
      <c r="AI202">
        <f t="shared" si="40"/>
        <v>25</v>
      </c>
      <c r="AJ202">
        <f t="shared" si="41"/>
        <v>5</v>
      </c>
    </row>
    <row r="203" spans="2:36" x14ac:dyDescent="0.2">
      <c r="B203" s="88">
        <f t="shared" si="44"/>
        <v>50131</v>
      </c>
      <c r="C203" s="81">
        <v>4.4932346883468837</v>
      </c>
      <c r="D203" s="81">
        <v>4.2674086341231634</v>
      </c>
      <c r="E203" s="89">
        <f t="shared" si="42"/>
        <v>2037</v>
      </c>
      <c r="K203" s="16">
        <f t="shared" si="45"/>
        <v>4</v>
      </c>
      <c r="L203" s="110">
        <f t="shared" si="46"/>
        <v>2037</v>
      </c>
      <c r="M203" s="84">
        <f t="shared" si="43"/>
        <v>50131</v>
      </c>
      <c r="N203" s="85">
        <v>14.94909</v>
      </c>
      <c r="O203" s="85">
        <v>26.592700000000001</v>
      </c>
      <c r="P203" s="85">
        <v>17.105650000000001</v>
      </c>
      <c r="Q203" s="86">
        <v>39.963259999999998</v>
      </c>
      <c r="S203" s="107">
        <v>32.238047555555553</v>
      </c>
      <c r="T203" s="109">
        <f t="shared" si="47"/>
        <v>0.82488556275540659</v>
      </c>
      <c r="U203" s="109">
        <f t="shared" si="48"/>
        <v>1.2396302825452332</v>
      </c>
      <c r="AD203" s="177" t="str">
        <f t="shared" si="38"/>
        <v>Winter</v>
      </c>
      <c r="AE203">
        <f t="shared" si="39"/>
        <v>10</v>
      </c>
      <c r="AF203" s="175">
        <v>48853</v>
      </c>
      <c r="AG203" s="174">
        <v>416</v>
      </c>
      <c r="AH203" s="174">
        <v>328</v>
      </c>
      <c r="AI203">
        <f t="shared" si="40"/>
        <v>26</v>
      </c>
      <c r="AJ203">
        <f t="shared" si="41"/>
        <v>5</v>
      </c>
    </row>
    <row r="204" spans="2:36" x14ac:dyDescent="0.2">
      <c r="B204" s="88">
        <f t="shared" si="44"/>
        <v>50161</v>
      </c>
      <c r="C204" s="81">
        <v>4.3468932249322494</v>
      </c>
      <c r="D204" s="81">
        <v>4.1898404376005498</v>
      </c>
      <c r="E204" s="89">
        <f t="shared" si="42"/>
        <v>2037</v>
      </c>
      <c r="K204" s="16">
        <f t="shared" si="45"/>
        <v>5</v>
      </c>
      <c r="L204" s="110">
        <f t="shared" si="46"/>
        <v>2037</v>
      </c>
      <c r="M204" s="84">
        <f t="shared" si="43"/>
        <v>50161</v>
      </c>
      <c r="N204" s="85">
        <v>8.3524279999999997</v>
      </c>
      <c r="O204" s="85">
        <v>22.983360000000001</v>
      </c>
      <c r="P204" s="85">
        <v>9.7071149999999999</v>
      </c>
      <c r="Q204" s="86">
        <v>38.793170000000003</v>
      </c>
      <c r="S204" s="107">
        <v>30.293272150537639</v>
      </c>
      <c r="T204" s="109">
        <f t="shared" si="47"/>
        <v>0.75869519429224475</v>
      </c>
      <c r="U204" s="109">
        <f t="shared" si="48"/>
        <v>1.2805869833811105</v>
      </c>
      <c r="AD204" s="177" t="str">
        <f t="shared" si="38"/>
        <v>Winter</v>
      </c>
      <c r="AE204">
        <f t="shared" si="39"/>
        <v>11</v>
      </c>
      <c r="AF204" s="175">
        <v>48884</v>
      </c>
      <c r="AG204" s="174">
        <v>400</v>
      </c>
      <c r="AH204" s="174">
        <v>320</v>
      </c>
      <c r="AI204">
        <f t="shared" si="40"/>
        <v>25</v>
      </c>
      <c r="AJ204">
        <f t="shared" si="41"/>
        <v>5</v>
      </c>
    </row>
    <row r="205" spans="2:36" x14ac:dyDescent="0.2">
      <c r="B205" s="88">
        <f t="shared" si="44"/>
        <v>50192</v>
      </c>
      <c r="C205" s="81">
        <v>4.3953725986148751</v>
      </c>
      <c r="D205" s="81">
        <v>4.1812447629525158</v>
      </c>
      <c r="E205" s="89">
        <f t="shared" si="42"/>
        <v>2037</v>
      </c>
      <c r="K205" s="16">
        <f t="shared" si="45"/>
        <v>6</v>
      </c>
      <c r="L205" s="110">
        <f t="shared" si="46"/>
        <v>2037</v>
      </c>
      <c r="M205" s="84">
        <f t="shared" si="43"/>
        <v>50192</v>
      </c>
      <c r="N205" s="85">
        <v>23.148430000000001</v>
      </c>
      <c r="O205" s="85">
        <v>41.738939999999999</v>
      </c>
      <c r="P205" s="85">
        <v>16.118010000000002</v>
      </c>
      <c r="Q205" s="86">
        <v>50.81532</v>
      </c>
      <c r="S205" s="107">
        <v>45.571189333333336</v>
      </c>
      <c r="T205" s="109">
        <f t="shared" si="47"/>
        <v>0.91590631297107239</v>
      </c>
      <c r="U205" s="109">
        <f t="shared" si="48"/>
        <v>1.1150755717237955</v>
      </c>
      <c r="AD205" s="177" t="str">
        <f t="shared" si="38"/>
        <v>Winter</v>
      </c>
      <c r="AE205">
        <f t="shared" si="39"/>
        <v>12</v>
      </c>
      <c r="AF205" s="175">
        <v>48914</v>
      </c>
      <c r="AG205" s="174">
        <v>416</v>
      </c>
      <c r="AH205" s="174">
        <v>328</v>
      </c>
      <c r="AI205">
        <f t="shared" si="40"/>
        <v>26</v>
      </c>
      <c r="AJ205">
        <f t="shared" si="41"/>
        <v>5</v>
      </c>
    </row>
    <row r="206" spans="2:36" x14ac:dyDescent="0.2">
      <c r="B206" s="88">
        <f t="shared" si="44"/>
        <v>50222</v>
      </c>
      <c r="C206" s="81">
        <v>4.5657028204356109</v>
      </c>
      <c r="D206" s="81">
        <v>4.241569829006484</v>
      </c>
      <c r="E206" s="89">
        <f t="shared" si="42"/>
        <v>2037</v>
      </c>
      <c r="K206" s="16">
        <f t="shared" si="45"/>
        <v>7</v>
      </c>
      <c r="L206" s="110">
        <f t="shared" si="46"/>
        <v>2037</v>
      </c>
      <c r="M206" s="84">
        <f t="shared" si="43"/>
        <v>50222</v>
      </c>
      <c r="N206" s="85">
        <v>118.9671</v>
      </c>
      <c r="O206" s="85">
        <v>182.6242</v>
      </c>
      <c r="P206" s="85">
        <v>30.029170000000001</v>
      </c>
      <c r="Q206" s="86">
        <v>65.377619999999993</v>
      </c>
      <c r="S206" s="107">
        <v>130.93484752688173</v>
      </c>
      <c r="T206" s="109">
        <f t="shared" si="47"/>
        <v>1.3947715482122216</v>
      </c>
      <c r="U206" s="109">
        <f t="shared" si="48"/>
        <v>0.49931413397474317</v>
      </c>
      <c r="AD206" s="177" t="str">
        <f t="shared" si="38"/>
        <v>Winter</v>
      </c>
      <c r="AE206">
        <f t="shared" si="39"/>
        <v>1</v>
      </c>
      <c r="AF206" s="175">
        <v>48945</v>
      </c>
      <c r="AG206" s="174">
        <v>400</v>
      </c>
      <c r="AH206" s="174">
        <v>344</v>
      </c>
      <c r="AI206">
        <f t="shared" si="40"/>
        <v>25</v>
      </c>
      <c r="AJ206">
        <f t="shared" si="41"/>
        <v>6</v>
      </c>
    </row>
    <row r="207" spans="2:36" x14ac:dyDescent="0.2">
      <c r="B207" s="88">
        <f t="shared" si="44"/>
        <v>50253</v>
      </c>
      <c r="C207" s="81">
        <v>4.6967878349894612</v>
      </c>
      <c r="D207" s="81">
        <v>4.3190862443565203</v>
      </c>
      <c r="E207" s="89">
        <f t="shared" si="42"/>
        <v>2037</v>
      </c>
      <c r="K207" s="16">
        <f t="shared" si="45"/>
        <v>8</v>
      </c>
      <c r="L207" s="110">
        <f t="shared" si="46"/>
        <v>2037</v>
      </c>
      <c r="M207" s="84">
        <f t="shared" si="43"/>
        <v>50253</v>
      </c>
      <c r="N207" s="85">
        <v>153.34780000000001</v>
      </c>
      <c r="O207" s="85">
        <v>190.9196</v>
      </c>
      <c r="P207" s="85">
        <v>53.28904</v>
      </c>
      <c r="Q207" s="86">
        <v>94.760940000000005</v>
      </c>
      <c r="S207" s="107">
        <v>148.5270724731183</v>
      </c>
      <c r="T207" s="109">
        <f t="shared" si="47"/>
        <v>1.2854195320826396</v>
      </c>
      <c r="U207" s="109">
        <f t="shared" si="48"/>
        <v>0.63800449589518882</v>
      </c>
      <c r="AD207" s="177" t="str">
        <f t="shared" si="38"/>
        <v>Winter</v>
      </c>
      <c r="AE207">
        <f t="shared" si="39"/>
        <v>2</v>
      </c>
      <c r="AF207" s="175">
        <v>48976</v>
      </c>
      <c r="AG207" s="174">
        <v>384</v>
      </c>
      <c r="AH207" s="174">
        <v>288</v>
      </c>
      <c r="AI207">
        <f t="shared" si="40"/>
        <v>24</v>
      </c>
      <c r="AJ207">
        <f t="shared" si="41"/>
        <v>4</v>
      </c>
    </row>
    <row r="208" spans="2:36" x14ac:dyDescent="0.2">
      <c r="B208" s="88">
        <f t="shared" si="44"/>
        <v>50284</v>
      </c>
      <c r="C208" s="81">
        <v>4.6308438422162004</v>
      </c>
      <c r="D208" s="81">
        <v>4.1467585020152251</v>
      </c>
      <c r="E208" s="89">
        <f t="shared" si="42"/>
        <v>2037</v>
      </c>
      <c r="K208" s="16">
        <f t="shared" si="45"/>
        <v>9</v>
      </c>
      <c r="L208" s="110">
        <f t="shared" si="46"/>
        <v>2037</v>
      </c>
      <c r="M208" s="84">
        <f t="shared" si="43"/>
        <v>50284</v>
      </c>
      <c r="N208" s="85">
        <v>50.679789999999997</v>
      </c>
      <c r="O208" s="85">
        <v>81.287970000000001</v>
      </c>
      <c r="P208" s="85">
        <v>35.443179999999998</v>
      </c>
      <c r="Q208" s="86">
        <v>67.245329999999996</v>
      </c>
      <c r="S208" s="107">
        <v>75.046796666666665</v>
      </c>
      <c r="T208" s="109">
        <f t="shared" si="47"/>
        <v>1.0831637539581414</v>
      </c>
      <c r="U208" s="109">
        <f t="shared" si="48"/>
        <v>0.89604530755232314</v>
      </c>
      <c r="AD208" s="177" t="str">
        <f t="shared" si="38"/>
        <v>Winter</v>
      </c>
      <c r="AE208">
        <f t="shared" si="39"/>
        <v>3</v>
      </c>
      <c r="AF208" s="175">
        <v>49004</v>
      </c>
      <c r="AG208" s="174">
        <v>432</v>
      </c>
      <c r="AH208" s="174">
        <v>312</v>
      </c>
      <c r="AI208">
        <f t="shared" si="40"/>
        <v>27</v>
      </c>
      <c r="AJ208">
        <f t="shared" si="41"/>
        <v>4</v>
      </c>
    </row>
    <row r="209" spans="2:36" x14ac:dyDescent="0.2">
      <c r="B209" s="88">
        <f t="shared" si="44"/>
        <v>50314</v>
      </c>
      <c r="C209" s="81">
        <v>4.7420553247013943</v>
      </c>
      <c r="D209" s="81">
        <v>4.4053536778723235</v>
      </c>
      <c r="E209" s="89">
        <f t="shared" si="42"/>
        <v>2037</v>
      </c>
      <c r="K209" s="16">
        <f t="shared" si="45"/>
        <v>10</v>
      </c>
      <c r="L209" s="110">
        <f t="shared" si="46"/>
        <v>2037</v>
      </c>
      <c r="M209" s="84">
        <f t="shared" si="43"/>
        <v>50314</v>
      </c>
      <c r="N209" s="85">
        <v>50.664090000000002</v>
      </c>
      <c r="O209" s="85">
        <v>56.814329999999998</v>
      </c>
      <c r="P209" s="85">
        <v>40.658569999999997</v>
      </c>
      <c r="Q209" s="86">
        <v>54.944070000000004</v>
      </c>
      <c r="S209" s="107">
        <v>56.030027419354838</v>
      </c>
      <c r="T209" s="109">
        <f t="shared" si="47"/>
        <v>1.0139978974983375</v>
      </c>
      <c r="U209" s="109">
        <f t="shared" si="48"/>
        <v>0.98061829577153292</v>
      </c>
      <c r="AD209" s="177" t="str">
        <f t="shared" si="38"/>
        <v>Winter</v>
      </c>
      <c r="AE209">
        <f t="shared" si="39"/>
        <v>4</v>
      </c>
      <c r="AF209" s="175">
        <v>49035</v>
      </c>
      <c r="AG209" s="174">
        <v>400</v>
      </c>
      <c r="AH209" s="174">
        <v>320</v>
      </c>
      <c r="AI209">
        <f t="shared" si="40"/>
        <v>25</v>
      </c>
      <c r="AJ209">
        <f t="shared" si="41"/>
        <v>5</v>
      </c>
    </row>
    <row r="210" spans="2:36" x14ac:dyDescent="0.2">
      <c r="B210" s="88">
        <f t="shared" si="44"/>
        <v>50345</v>
      </c>
      <c r="C210" s="81">
        <v>4.9272405098865795</v>
      </c>
      <c r="D210" s="81">
        <v>5.258552058448501</v>
      </c>
      <c r="E210" s="89">
        <f t="shared" si="42"/>
        <v>2037</v>
      </c>
      <c r="K210" s="16">
        <f t="shared" si="45"/>
        <v>11</v>
      </c>
      <c r="L210" s="110">
        <f t="shared" si="46"/>
        <v>2037</v>
      </c>
      <c r="M210" s="84">
        <f t="shared" si="43"/>
        <v>50345</v>
      </c>
      <c r="N210" s="85">
        <v>53.31617</v>
      </c>
      <c r="O210" s="85">
        <v>58.075800000000001</v>
      </c>
      <c r="P210" s="85">
        <v>44.723329999999997</v>
      </c>
      <c r="Q210" s="86">
        <v>56.222580000000001</v>
      </c>
      <c r="S210" s="107">
        <v>57.209593148404984</v>
      </c>
      <c r="T210" s="109">
        <f t="shared" si="47"/>
        <v>1.015140937103818</v>
      </c>
      <c r="U210" s="109">
        <f t="shared" si="48"/>
        <v>0.98274741884906236</v>
      </c>
      <c r="AD210" s="177" t="str">
        <f t="shared" si="38"/>
        <v>Winter</v>
      </c>
      <c r="AE210">
        <f t="shared" si="39"/>
        <v>5</v>
      </c>
      <c r="AF210" s="175">
        <v>49065</v>
      </c>
      <c r="AG210" s="174">
        <v>416</v>
      </c>
      <c r="AH210" s="174">
        <v>328</v>
      </c>
      <c r="AI210">
        <f t="shared" si="40"/>
        <v>26</v>
      </c>
      <c r="AJ210">
        <f t="shared" si="41"/>
        <v>5</v>
      </c>
    </row>
    <row r="211" spans="2:36" x14ac:dyDescent="0.2">
      <c r="B211" s="90">
        <f t="shared" si="44"/>
        <v>50375</v>
      </c>
      <c r="C211" s="91">
        <v>5.2378899126769047</v>
      </c>
      <c r="D211" s="91">
        <v>5.758447498521476</v>
      </c>
      <c r="E211" s="92">
        <f t="shared" si="42"/>
        <v>2037</v>
      </c>
      <c r="K211" s="16">
        <f t="shared" si="45"/>
        <v>12</v>
      </c>
      <c r="L211" s="110">
        <f t="shared" si="46"/>
        <v>2037</v>
      </c>
      <c r="M211" s="93">
        <f t="shared" si="43"/>
        <v>50375</v>
      </c>
      <c r="N211" s="94">
        <v>71.531279999999995</v>
      </c>
      <c r="O211" s="94">
        <v>63.78989</v>
      </c>
      <c r="P211" s="94">
        <v>51.28078</v>
      </c>
      <c r="Q211" s="95">
        <v>60.172730000000001</v>
      </c>
      <c r="S211" s="107">
        <v>62.195228064516122</v>
      </c>
      <c r="T211" s="109">
        <f t="shared" si="47"/>
        <v>1.0256396187474337</v>
      </c>
      <c r="U211" s="109">
        <f t="shared" si="48"/>
        <v>0.9674814591495966</v>
      </c>
      <c r="AD211" s="177" t="str">
        <f t="shared" si="38"/>
        <v>Summer</v>
      </c>
      <c r="AE211">
        <f t="shared" si="39"/>
        <v>6</v>
      </c>
      <c r="AF211" s="175">
        <v>49096</v>
      </c>
      <c r="AG211" s="174">
        <v>416</v>
      </c>
      <c r="AH211" s="174">
        <v>304</v>
      </c>
      <c r="AI211">
        <f t="shared" si="40"/>
        <v>26</v>
      </c>
      <c r="AJ211">
        <f t="shared" si="41"/>
        <v>4</v>
      </c>
    </row>
    <row r="212" spans="2:36" x14ac:dyDescent="0.2">
      <c r="B212" s="234">
        <f t="shared" si="44"/>
        <v>50406</v>
      </c>
      <c r="C212" s="81">
        <v>5.3589377898223427</v>
      </c>
      <c r="D212" s="81">
        <v>5.9788281690156317</v>
      </c>
      <c r="E212" s="233">
        <f t="shared" si="42"/>
        <v>2038</v>
      </c>
      <c r="K212" s="16">
        <f t="shared" si="45"/>
        <v>1</v>
      </c>
      <c r="L212" s="110">
        <f t="shared" si="46"/>
        <v>2038</v>
      </c>
      <c r="M212" s="84">
        <f t="shared" si="43"/>
        <v>50406</v>
      </c>
      <c r="N212" s="232">
        <v>64.574510000000004</v>
      </c>
      <c r="O212" s="232">
        <v>64.477819999999994</v>
      </c>
      <c r="P212" s="232">
        <v>44.881839999999997</v>
      </c>
      <c r="Q212" s="231">
        <v>59.603340000000003</v>
      </c>
      <c r="S212" s="107">
        <v>62.224028172043006</v>
      </c>
      <c r="T212" s="109">
        <f t="shared" si="47"/>
        <v>1.0362206031040853</v>
      </c>
      <c r="U212" s="109">
        <f t="shared" si="48"/>
        <v>0.95788301964641265</v>
      </c>
      <c r="AD212" s="177" t="str">
        <f t="shared" si="38"/>
        <v>Summer</v>
      </c>
      <c r="AE212">
        <f t="shared" si="39"/>
        <v>7</v>
      </c>
      <c r="AF212" s="175">
        <v>49126</v>
      </c>
      <c r="AG212" s="174">
        <v>400</v>
      </c>
      <c r="AH212" s="174">
        <v>344</v>
      </c>
      <c r="AI212">
        <f t="shared" si="40"/>
        <v>25</v>
      </c>
      <c r="AJ212">
        <f t="shared" si="41"/>
        <v>6</v>
      </c>
    </row>
    <row r="213" spans="2:36" x14ac:dyDescent="0.2">
      <c r="B213" s="88">
        <f t="shared" si="44"/>
        <v>50437</v>
      </c>
      <c r="C213" s="81">
        <v>5.2230349493124564</v>
      </c>
      <c r="D213" s="81">
        <v>5.5203058858328893</v>
      </c>
      <c r="E213" s="89">
        <f t="shared" si="42"/>
        <v>2038</v>
      </c>
      <c r="K213" s="16">
        <f t="shared" si="45"/>
        <v>2</v>
      </c>
      <c r="L213" s="110">
        <f t="shared" si="46"/>
        <v>2038</v>
      </c>
      <c r="M213" s="84">
        <f t="shared" si="43"/>
        <v>50437</v>
      </c>
      <c r="N213" s="85">
        <v>61.470880000000001</v>
      </c>
      <c r="O213" s="85">
        <v>55.038519999999998</v>
      </c>
      <c r="P213" s="85">
        <v>48.124180000000003</v>
      </c>
      <c r="Q213" s="86">
        <v>56.562800000000003</v>
      </c>
      <c r="S213" s="107">
        <v>55.691782857142854</v>
      </c>
      <c r="T213" s="109">
        <f t="shared" si="47"/>
        <v>0.98827003152657966</v>
      </c>
      <c r="U213" s="109">
        <f t="shared" si="48"/>
        <v>1.0156399579645605</v>
      </c>
      <c r="AD213" s="177" t="str">
        <f t="shared" si="38"/>
        <v>Summer</v>
      </c>
      <c r="AE213">
        <f t="shared" si="39"/>
        <v>8</v>
      </c>
      <c r="AF213" s="175">
        <v>49157</v>
      </c>
      <c r="AG213" s="174">
        <v>432</v>
      </c>
      <c r="AH213" s="174">
        <v>312</v>
      </c>
      <c r="AI213">
        <f t="shared" si="40"/>
        <v>27</v>
      </c>
      <c r="AJ213">
        <f t="shared" si="41"/>
        <v>4</v>
      </c>
    </row>
    <row r="214" spans="2:36" x14ac:dyDescent="0.2">
      <c r="B214" s="88">
        <f t="shared" si="44"/>
        <v>50465</v>
      </c>
      <c r="C214" s="81">
        <v>4.8766533373481877</v>
      </c>
      <c r="D214" s="81">
        <v>5.0706899643336527</v>
      </c>
      <c r="E214" s="89">
        <f t="shared" si="42"/>
        <v>2038</v>
      </c>
      <c r="K214" s="16">
        <f t="shared" si="45"/>
        <v>3</v>
      </c>
      <c r="L214" s="110">
        <f t="shared" si="46"/>
        <v>2038</v>
      </c>
      <c r="M214" s="84">
        <f t="shared" si="43"/>
        <v>50465</v>
      </c>
      <c r="N214" s="85">
        <v>32.096400000000003</v>
      </c>
      <c r="O214" s="85">
        <v>40.66245</v>
      </c>
      <c r="P214" s="85">
        <v>31.114270000000001</v>
      </c>
      <c r="Q214" s="86">
        <v>53.376489999999997</v>
      </c>
      <c r="S214" s="107">
        <v>45.98420833109018</v>
      </c>
      <c r="T214" s="109">
        <f t="shared" si="47"/>
        <v>0.88426987167479165</v>
      </c>
      <c r="U214" s="109">
        <f t="shared" si="48"/>
        <v>1.1607569628182954</v>
      </c>
      <c r="AD214" s="177" t="str">
        <f t="shared" si="38"/>
        <v>Summer</v>
      </c>
      <c r="AE214">
        <f t="shared" si="39"/>
        <v>9</v>
      </c>
      <c r="AF214" s="175">
        <v>49188</v>
      </c>
      <c r="AG214" s="174">
        <v>400</v>
      </c>
      <c r="AH214" s="174">
        <v>320</v>
      </c>
      <c r="AI214">
        <f t="shared" si="40"/>
        <v>25</v>
      </c>
      <c r="AJ214">
        <f t="shared" si="41"/>
        <v>5</v>
      </c>
    </row>
    <row r="215" spans="2:36" x14ac:dyDescent="0.2">
      <c r="B215" s="88">
        <f t="shared" si="44"/>
        <v>50496</v>
      </c>
      <c r="C215" s="81">
        <v>4.6656727090233865</v>
      </c>
      <c r="D215" s="81">
        <v>4.3212610536048182</v>
      </c>
      <c r="E215" s="89">
        <f t="shared" si="42"/>
        <v>2038</v>
      </c>
      <c r="K215" s="16">
        <f t="shared" si="45"/>
        <v>4</v>
      </c>
      <c r="L215" s="110">
        <f t="shared" si="46"/>
        <v>2038</v>
      </c>
      <c r="M215" s="84">
        <f t="shared" si="43"/>
        <v>50496</v>
      </c>
      <c r="N215" s="85">
        <v>17.322620000000001</v>
      </c>
      <c r="O215" s="85">
        <v>27.82949</v>
      </c>
      <c r="P215" s="85">
        <v>23.8963</v>
      </c>
      <c r="Q215" s="86">
        <v>41.030709999999999</v>
      </c>
      <c r="S215" s="107">
        <v>33.403338444444444</v>
      </c>
      <c r="T215" s="109">
        <f t="shared" si="47"/>
        <v>0.83313498877620507</v>
      </c>
      <c r="U215" s="109">
        <f t="shared" si="48"/>
        <v>1.2283415943062457</v>
      </c>
      <c r="AD215" s="177" t="str">
        <f t="shared" si="38"/>
        <v>Winter</v>
      </c>
      <c r="AE215">
        <f t="shared" si="39"/>
        <v>10</v>
      </c>
      <c r="AF215" s="175">
        <v>49218</v>
      </c>
      <c r="AG215" s="174">
        <v>416</v>
      </c>
      <c r="AH215" s="174">
        <v>328</v>
      </c>
      <c r="AI215">
        <f t="shared" si="40"/>
        <v>26</v>
      </c>
      <c r="AJ215">
        <f t="shared" si="41"/>
        <v>5</v>
      </c>
    </row>
    <row r="216" spans="2:36" x14ac:dyDescent="0.2">
      <c r="B216" s="88">
        <f t="shared" si="44"/>
        <v>50526</v>
      </c>
      <c r="C216" s="81">
        <v>4.5018666265181162</v>
      </c>
      <c r="D216" s="81">
        <v>4.2242749173652605</v>
      </c>
      <c r="E216" s="89">
        <f t="shared" si="42"/>
        <v>2038</v>
      </c>
      <c r="K216" s="16">
        <f t="shared" si="45"/>
        <v>5</v>
      </c>
      <c r="L216" s="110">
        <f t="shared" si="46"/>
        <v>2038</v>
      </c>
      <c r="M216" s="84">
        <f t="shared" si="43"/>
        <v>50526</v>
      </c>
      <c r="N216" s="85">
        <v>8.2349300000000003</v>
      </c>
      <c r="O216" s="85">
        <v>22.869579999999999</v>
      </c>
      <c r="P216" s="85">
        <v>10.136900000000001</v>
      </c>
      <c r="Q216" s="86">
        <v>38.251260000000002</v>
      </c>
      <c r="S216" s="107">
        <v>29.981539569892476</v>
      </c>
      <c r="T216" s="109">
        <f t="shared" si="47"/>
        <v>0.7627887135911352</v>
      </c>
      <c r="U216" s="109">
        <f t="shared" si="48"/>
        <v>1.2758270772196101</v>
      </c>
      <c r="AD216" s="177" t="str">
        <f t="shared" si="38"/>
        <v>Winter</v>
      </c>
      <c r="AE216">
        <f t="shared" si="39"/>
        <v>11</v>
      </c>
      <c r="AF216" s="175">
        <v>49249</v>
      </c>
      <c r="AG216" s="174">
        <v>400</v>
      </c>
      <c r="AH216" s="174">
        <v>320</v>
      </c>
      <c r="AI216">
        <f t="shared" si="40"/>
        <v>25</v>
      </c>
      <c r="AJ216">
        <f t="shared" si="41"/>
        <v>5</v>
      </c>
    </row>
    <row r="217" spans="2:36" x14ac:dyDescent="0.2">
      <c r="B217" s="88">
        <f t="shared" si="44"/>
        <v>50557</v>
      </c>
      <c r="C217" s="81">
        <v>4.6183977918297696</v>
      </c>
      <c r="D217" s="81">
        <v>4.2595378958912296</v>
      </c>
      <c r="E217" s="89">
        <f t="shared" si="42"/>
        <v>2038</v>
      </c>
      <c r="K217" s="16">
        <f t="shared" si="45"/>
        <v>6</v>
      </c>
      <c r="L217" s="110">
        <f t="shared" si="46"/>
        <v>2038</v>
      </c>
      <c r="M217" s="84">
        <f t="shared" si="43"/>
        <v>50557</v>
      </c>
      <c r="N217" s="85">
        <v>24.57734</v>
      </c>
      <c r="O217" s="85">
        <v>43.978549999999998</v>
      </c>
      <c r="P217" s="85">
        <v>15.835610000000001</v>
      </c>
      <c r="Q217" s="86">
        <v>51.960929999999998</v>
      </c>
      <c r="S217" s="107">
        <v>47.348888222222222</v>
      </c>
      <c r="T217" s="109">
        <f t="shared" si="47"/>
        <v>0.9288190631551001</v>
      </c>
      <c r="U217" s="109">
        <f t="shared" si="48"/>
        <v>1.0974054925245997</v>
      </c>
      <c r="AD217" s="177" t="str">
        <f t="shared" si="38"/>
        <v>Winter</v>
      </c>
      <c r="AE217">
        <f t="shared" si="39"/>
        <v>12</v>
      </c>
      <c r="AF217" s="175">
        <v>49279</v>
      </c>
      <c r="AG217" s="174">
        <v>400</v>
      </c>
      <c r="AH217" s="174">
        <v>344</v>
      </c>
      <c r="AI217">
        <f t="shared" si="40"/>
        <v>25</v>
      </c>
      <c r="AJ217">
        <f t="shared" si="41"/>
        <v>6</v>
      </c>
    </row>
    <row r="218" spans="2:36" x14ac:dyDescent="0.2">
      <c r="B218" s="88">
        <f t="shared" si="44"/>
        <v>50587</v>
      </c>
      <c r="C218" s="81">
        <v>4.8286758205359828</v>
      </c>
      <c r="D218" s="81">
        <v>4.3389184334540909</v>
      </c>
      <c r="E218" s="89">
        <f t="shared" si="42"/>
        <v>2038</v>
      </c>
      <c r="K218" s="16">
        <f t="shared" si="45"/>
        <v>7</v>
      </c>
      <c r="L218" s="110">
        <f t="shared" si="46"/>
        <v>2038</v>
      </c>
      <c r="M218" s="84">
        <f t="shared" si="43"/>
        <v>50587</v>
      </c>
      <c r="N218" s="85">
        <v>122.9633</v>
      </c>
      <c r="O218" s="85">
        <v>207.0909</v>
      </c>
      <c r="P218" s="85">
        <v>32.082189999999997</v>
      </c>
      <c r="Q218" s="86">
        <v>68.402810000000002</v>
      </c>
      <c r="S218" s="107">
        <v>145.94883881720432</v>
      </c>
      <c r="T218" s="109">
        <f t="shared" si="47"/>
        <v>1.4189280413486121</v>
      </c>
      <c r="U218" s="109">
        <f t="shared" si="48"/>
        <v>0.46867663048468694</v>
      </c>
      <c r="AD218" s="177" t="str">
        <f t="shared" si="38"/>
        <v>Winter</v>
      </c>
      <c r="AE218">
        <f t="shared" si="39"/>
        <v>1</v>
      </c>
      <c r="AF218" s="175">
        <v>49310</v>
      </c>
      <c r="AG218" s="174">
        <v>416</v>
      </c>
      <c r="AH218" s="174">
        <v>328</v>
      </c>
      <c r="AI218">
        <f t="shared" si="40"/>
        <v>26</v>
      </c>
      <c r="AJ218">
        <f t="shared" si="41"/>
        <v>5</v>
      </c>
    </row>
    <row r="219" spans="2:36" x14ac:dyDescent="0.2">
      <c r="B219" s="88">
        <f t="shared" si="44"/>
        <v>50618</v>
      </c>
      <c r="C219" s="81">
        <v>4.945809214092141</v>
      </c>
      <c r="D219" s="81">
        <v>4.4005898099951022</v>
      </c>
      <c r="E219" s="89">
        <f t="shared" si="42"/>
        <v>2038</v>
      </c>
      <c r="K219" s="16">
        <f t="shared" si="45"/>
        <v>8</v>
      </c>
      <c r="L219" s="110">
        <f t="shared" si="46"/>
        <v>2038</v>
      </c>
      <c r="M219" s="84">
        <f t="shared" si="43"/>
        <v>50618</v>
      </c>
      <c r="N219" s="85">
        <v>154.8999</v>
      </c>
      <c r="O219" s="85">
        <v>209.01320000000001</v>
      </c>
      <c r="P219" s="85">
        <v>54.718820000000001</v>
      </c>
      <c r="Q219" s="86">
        <v>96.977699999999999</v>
      </c>
      <c r="S219" s="107">
        <v>159.62120537634408</v>
      </c>
      <c r="T219" s="109">
        <f t="shared" si="47"/>
        <v>1.3094325375328599</v>
      </c>
      <c r="U219" s="109">
        <f t="shared" si="48"/>
        <v>0.60754897678759245</v>
      </c>
      <c r="AD219" s="177" t="str">
        <f t="shared" si="38"/>
        <v>Winter</v>
      </c>
      <c r="AE219">
        <f t="shared" si="39"/>
        <v>2</v>
      </c>
      <c r="AF219" s="175">
        <v>49341</v>
      </c>
      <c r="AG219" s="174">
        <v>384</v>
      </c>
      <c r="AH219" s="174">
        <v>288</v>
      </c>
      <c r="AI219">
        <f t="shared" si="40"/>
        <v>24</v>
      </c>
      <c r="AJ219">
        <f t="shared" si="41"/>
        <v>4</v>
      </c>
    </row>
    <row r="220" spans="2:36" x14ac:dyDescent="0.2">
      <c r="B220" s="88">
        <f t="shared" si="44"/>
        <v>50649</v>
      </c>
      <c r="C220" s="81">
        <v>4.8949209274314969</v>
      </c>
      <c r="D220" s="81">
        <v>4.330063852943165</v>
      </c>
      <c r="E220" s="89">
        <f t="shared" si="42"/>
        <v>2038</v>
      </c>
      <c r="K220" s="16">
        <f t="shared" si="45"/>
        <v>9</v>
      </c>
      <c r="L220" s="110">
        <f t="shared" si="46"/>
        <v>2038</v>
      </c>
      <c r="M220" s="84">
        <f t="shared" si="43"/>
        <v>50649</v>
      </c>
      <c r="N220" s="85">
        <v>52.264069999999997</v>
      </c>
      <c r="O220" s="85">
        <v>82.875979999999998</v>
      </c>
      <c r="P220" s="85">
        <v>36.501069999999999</v>
      </c>
      <c r="Q220" s="86">
        <v>71.365939999999995</v>
      </c>
      <c r="S220" s="107">
        <v>77.760406666666668</v>
      </c>
      <c r="T220" s="109">
        <f t="shared" si="47"/>
        <v>1.0657863500542393</v>
      </c>
      <c r="U220" s="109">
        <f t="shared" si="48"/>
        <v>0.91776706243220085</v>
      </c>
      <c r="AD220" s="177" t="str">
        <f t="shared" si="38"/>
        <v>Winter</v>
      </c>
      <c r="AE220">
        <f t="shared" si="39"/>
        <v>3</v>
      </c>
      <c r="AF220" s="175">
        <v>49369</v>
      </c>
      <c r="AG220" s="174">
        <v>432</v>
      </c>
      <c r="AH220" s="174">
        <v>312</v>
      </c>
      <c r="AI220">
        <f t="shared" si="40"/>
        <v>27</v>
      </c>
      <c r="AJ220">
        <f t="shared" si="41"/>
        <v>4</v>
      </c>
    </row>
    <row r="221" spans="2:36" x14ac:dyDescent="0.2">
      <c r="B221" s="88">
        <f t="shared" si="44"/>
        <v>50679</v>
      </c>
      <c r="C221" s="81">
        <v>5.0239985145036634</v>
      </c>
      <c r="D221" s="81">
        <v>4.594613863646793</v>
      </c>
      <c r="E221" s="89">
        <f t="shared" si="42"/>
        <v>2038</v>
      </c>
      <c r="K221" s="16">
        <f t="shared" si="45"/>
        <v>10</v>
      </c>
      <c r="L221" s="110">
        <f t="shared" si="46"/>
        <v>2038</v>
      </c>
      <c r="M221" s="84">
        <f t="shared" si="43"/>
        <v>50679</v>
      </c>
      <c r="N221" s="85">
        <v>53.010249999999999</v>
      </c>
      <c r="O221" s="85">
        <v>61.500019999999999</v>
      </c>
      <c r="P221" s="85">
        <v>42.69415</v>
      </c>
      <c r="Q221" s="86">
        <v>58.724919999999997</v>
      </c>
      <c r="S221" s="107">
        <v>60.276588817204299</v>
      </c>
      <c r="T221" s="109">
        <f t="shared" si="47"/>
        <v>1.0202969545357965</v>
      </c>
      <c r="U221" s="109">
        <f t="shared" si="48"/>
        <v>0.97425752107655073</v>
      </c>
      <c r="AD221" s="177" t="str">
        <f t="shared" si="38"/>
        <v>Winter</v>
      </c>
      <c r="AE221">
        <f t="shared" si="39"/>
        <v>4</v>
      </c>
      <c r="AF221" s="175">
        <v>49400</v>
      </c>
      <c r="AG221" s="174">
        <v>400</v>
      </c>
      <c r="AH221" s="174">
        <v>320</v>
      </c>
      <c r="AI221">
        <f t="shared" si="40"/>
        <v>25</v>
      </c>
      <c r="AJ221">
        <f t="shared" si="41"/>
        <v>5</v>
      </c>
    </row>
    <row r="222" spans="2:36" x14ac:dyDescent="0.2">
      <c r="B222" s="88">
        <f t="shared" si="44"/>
        <v>50710</v>
      </c>
      <c r="C222" s="81">
        <v>5.1671280939476061</v>
      </c>
      <c r="D222" s="81">
        <v>5.5203576670054684</v>
      </c>
      <c r="E222" s="89">
        <f t="shared" si="42"/>
        <v>2038</v>
      </c>
      <c r="K222" s="16">
        <f t="shared" si="45"/>
        <v>11</v>
      </c>
      <c r="L222" s="110">
        <f t="shared" si="46"/>
        <v>2038</v>
      </c>
      <c r="M222" s="84">
        <f t="shared" si="43"/>
        <v>50710</v>
      </c>
      <c r="N222" s="85">
        <v>55.984999999999999</v>
      </c>
      <c r="O222" s="85">
        <v>60.633319999999998</v>
      </c>
      <c r="P222" s="85">
        <v>46.97878</v>
      </c>
      <c r="Q222" s="86">
        <v>60.658790000000003</v>
      </c>
      <c r="S222" s="107">
        <v>60.644659625520113</v>
      </c>
      <c r="T222" s="109">
        <f t="shared" si="47"/>
        <v>0.99981301526646971</v>
      </c>
      <c r="U222" s="109">
        <f t="shared" si="48"/>
        <v>1.0002330027832154</v>
      </c>
      <c r="AD222" s="177" t="str">
        <f t="shared" si="38"/>
        <v>Winter</v>
      </c>
      <c r="AE222">
        <f t="shared" si="39"/>
        <v>5</v>
      </c>
      <c r="AF222" s="175">
        <v>49430</v>
      </c>
      <c r="AG222" s="174">
        <v>416</v>
      </c>
      <c r="AH222" s="174">
        <v>328</v>
      </c>
      <c r="AI222">
        <f t="shared" si="40"/>
        <v>26</v>
      </c>
      <c r="AJ222">
        <f t="shared" si="41"/>
        <v>5</v>
      </c>
    </row>
    <row r="223" spans="2:36" x14ac:dyDescent="0.2">
      <c r="B223" s="90">
        <f t="shared" si="44"/>
        <v>50740</v>
      </c>
      <c r="C223" s="91">
        <v>5.5029707116330426</v>
      </c>
      <c r="D223" s="91">
        <v>5.9964337676923263</v>
      </c>
      <c r="E223" s="92">
        <f t="shared" si="42"/>
        <v>2038</v>
      </c>
      <c r="K223" s="16">
        <f t="shared" si="45"/>
        <v>12</v>
      </c>
      <c r="L223" s="110">
        <f t="shared" si="46"/>
        <v>2038</v>
      </c>
      <c r="M223" s="93">
        <f t="shared" si="43"/>
        <v>50740</v>
      </c>
      <c r="N223" s="94">
        <v>75.141120000000001</v>
      </c>
      <c r="O223" s="94">
        <v>65.691280000000006</v>
      </c>
      <c r="P223" s="94">
        <v>54.355980000000002</v>
      </c>
      <c r="Q223" s="95">
        <v>63.27017</v>
      </c>
      <c r="S223" s="107">
        <v>64.623908924731182</v>
      </c>
      <c r="T223" s="109">
        <f t="shared" si="47"/>
        <v>1.0165166591286208</v>
      </c>
      <c r="U223" s="109">
        <f t="shared" si="48"/>
        <v>0.97905204208077368</v>
      </c>
      <c r="AD223" s="177" t="str">
        <f t="shared" si="38"/>
        <v>Summer</v>
      </c>
      <c r="AE223">
        <f t="shared" si="39"/>
        <v>6</v>
      </c>
      <c r="AF223" s="175">
        <v>49461</v>
      </c>
      <c r="AG223" s="174">
        <v>416</v>
      </c>
      <c r="AH223" s="174">
        <v>304</v>
      </c>
      <c r="AI223">
        <f t="shared" si="40"/>
        <v>26</v>
      </c>
      <c r="AJ223">
        <f t="shared" si="41"/>
        <v>4</v>
      </c>
    </row>
    <row r="224" spans="2:36" x14ac:dyDescent="0.2">
      <c r="B224" s="234">
        <f t="shared" si="44"/>
        <v>50771</v>
      </c>
      <c r="C224" s="81">
        <v>5.6285353006122651</v>
      </c>
      <c r="D224" s="81">
        <v>5.9988674828035169</v>
      </c>
      <c r="E224" s="233">
        <f t="shared" si="42"/>
        <v>2039</v>
      </c>
      <c r="K224" s="16">
        <f t="shared" si="45"/>
        <v>1</v>
      </c>
      <c r="L224" s="110">
        <f t="shared" si="46"/>
        <v>2039</v>
      </c>
      <c r="M224" s="84">
        <f t="shared" si="43"/>
        <v>50771</v>
      </c>
      <c r="N224" s="232">
        <v>65.875119999999995</v>
      </c>
      <c r="O224" s="232">
        <v>65.883189999999999</v>
      </c>
      <c r="P224" s="232">
        <v>45.369540000000001</v>
      </c>
      <c r="Q224" s="231">
        <v>61.654150000000001</v>
      </c>
      <c r="S224" s="107">
        <v>63.927827419354841</v>
      </c>
      <c r="T224" s="109">
        <f t="shared" si="47"/>
        <v>1.0305870332151026</v>
      </c>
      <c r="U224" s="109">
        <f t="shared" si="48"/>
        <v>0.96443368230802007</v>
      </c>
      <c r="AD224" s="177" t="str">
        <f t="shared" si="38"/>
        <v>Summer</v>
      </c>
      <c r="AE224">
        <f t="shared" si="39"/>
        <v>7</v>
      </c>
      <c r="AF224" s="175">
        <v>49491</v>
      </c>
      <c r="AG224" s="174">
        <v>400</v>
      </c>
      <c r="AH224" s="174">
        <v>344</v>
      </c>
      <c r="AI224">
        <f t="shared" si="40"/>
        <v>25</v>
      </c>
      <c r="AJ224">
        <f t="shared" si="41"/>
        <v>6</v>
      </c>
    </row>
    <row r="225" spans="2:36" x14ac:dyDescent="0.2">
      <c r="B225" s="88">
        <f t="shared" si="44"/>
        <v>50802</v>
      </c>
      <c r="C225" s="81">
        <v>5.594409033423668</v>
      </c>
      <c r="D225" s="81">
        <v>5.7372689989368642</v>
      </c>
      <c r="E225" s="89">
        <f t="shared" si="42"/>
        <v>2039</v>
      </c>
      <c r="K225" s="16">
        <f t="shared" si="45"/>
        <v>2</v>
      </c>
      <c r="L225" s="110">
        <f t="shared" si="46"/>
        <v>2039</v>
      </c>
      <c r="M225" s="84">
        <f t="shared" si="43"/>
        <v>50802</v>
      </c>
      <c r="N225" s="85">
        <v>62.875929999999997</v>
      </c>
      <c r="O225" s="85">
        <v>55.699919999999999</v>
      </c>
      <c r="P225" s="85">
        <v>49.465020000000003</v>
      </c>
      <c r="Q225" s="86">
        <v>59.381050000000002</v>
      </c>
      <c r="S225" s="107">
        <v>57.277547142857145</v>
      </c>
      <c r="T225" s="109">
        <f t="shared" si="47"/>
        <v>0.97245644721966962</v>
      </c>
      <c r="U225" s="109">
        <f t="shared" si="48"/>
        <v>1.0367247370404404</v>
      </c>
      <c r="AD225" s="177" t="str">
        <f t="shared" si="38"/>
        <v>Summer</v>
      </c>
      <c r="AE225">
        <f t="shared" si="39"/>
        <v>8</v>
      </c>
      <c r="AF225" s="175">
        <v>49522</v>
      </c>
      <c r="AG225" s="174">
        <v>432</v>
      </c>
      <c r="AH225" s="174">
        <v>312</v>
      </c>
      <c r="AI225">
        <f t="shared" si="40"/>
        <v>27</v>
      </c>
      <c r="AJ225">
        <f t="shared" si="41"/>
        <v>4</v>
      </c>
    </row>
    <row r="226" spans="2:36" x14ac:dyDescent="0.2">
      <c r="B226" s="88">
        <f t="shared" si="44"/>
        <v>50830</v>
      </c>
      <c r="C226" s="81">
        <v>5.3260159791227544</v>
      </c>
      <c r="D226" s="81">
        <v>5.5207719163860958</v>
      </c>
      <c r="E226" s="89">
        <f t="shared" si="42"/>
        <v>2039</v>
      </c>
      <c r="K226" s="16">
        <f t="shared" si="45"/>
        <v>3</v>
      </c>
      <c r="L226" s="110">
        <f t="shared" si="46"/>
        <v>2039</v>
      </c>
      <c r="M226" s="84">
        <f t="shared" si="43"/>
        <v>50830</v>
      </c>
      <c r="N226" s="85">
        <v>32.714759999999998</v>
      </c>
      <c r="O226" s="85">
        <v>40.402030000000003</v>
      </c>
      <c r="P226" s="85">
        <v>29.418489999999998</v>
      </c>
      <c r="Q226" s="86">
        <v>53.257579999999997</v>
      </c>
      <c r="S226" s="107">
        <v>45.783020646029613</v>
      </c>
      <c r="T226" s="109">
        <f t="shared" si="47"/>
        <v>0.88246754866541866</v>
      </c>
      <c r="U226" s="109">
        <f t="shared" si="48"/>
        <v>1.1632605111785823</v>
      </c>
      <c r="AD226" s="177" t="str">
        <f t="shared" si="38"/>
        <v>Summer</v>
      </c>
      <c r="AE226">
        <f t="shared" si="39"/>
        <v>9</v>
      </c>
      <c r="AF226" s="175">
        <v>49553</v>
      </c>
      <c r="AG226" s="174">
        <v>384</v>
      </c>
      <c r="AH226" s="174">
        <v>336</v>
      </c>
      <c r="AI226">
        <f t="shared" si="40"/>
        <v>24</v>
      </c>
      <c r="AJ226">
        <f t="shared" si="41"/>
        <v>6</v>
      </c>
    </row>
    <row r="227" spans="2:36" x14ac:dyDescent="0.2">
      <c r="B227" s="88">
        <f t="shared" si="44"/>
        <v>50861</v>
      </c>
      <c r="C227" s="81">
        <v>4.8611961457392354</v>
      </c>
      <c r="D227" s="81">
        <v>4.4654716192359789</v>
      </c>
      <c r="E227" s="89">
        <f t="shared" si="42"/>
        <v>2039</v>
      </c>
      <c r="K227" s="16">
        <f t="shared" si="45"/>
        <v>4</v>
      </c>
      <c r="L227" s="110">
        <f t="shared" si="46"/>
        <v>2039</v>
      </c>
      <c r="M227" s="84">
        <f t="shared" si="43"/>
        <v>50861</v>
      </c>
      <c r="N227" s="85">
        <v>13.784319999999999</v>
      </c>
      <c r="O227" s="85">
        <v>25.188469999999999</v>
      </c>
      <c r="P227" s="85">
        <v>16.250969999999999</v>
      </c>
      <c r="Q227" s="86">
        <v>39.617930000000001</v>
      </c>
      <c r="S227" s="107">
        <v>31.280908666666669</v>
      </c>
      <c r="T227" s="109">
        <f t="shared" si="47"/>
        <v>0.80523460070842345</v>
      </c>
      <c r="U227" s="109">
        <f t="shared" si="48"/>
        <v>1.2665210727147886</v>
      </c>
      <c r="AD227" s="177" t="str">
        <f t="shared" si="38"/>
        <v>Winter</v>
      </c>
      <c r="AE227">
        <f t="shared" si="39"/>
        <v>10</v>
      </c>
      <c r="AF227" s="175">
        <v>49583</v>
      </c>
      <c r="AG227" s="174">
        <v>432</v>
      </c>
      <c r="AH227" s="174">
        <v>312</v>
      </c>
      <c r="AI227">
        <f t="shared" si="40"/>
        <v>27</v>
      </c>
      <c r="AJ227">
        <f t="shared" si="41"/>
        <v>4</v>
      </c>
    </row>
    <row r="228" spans="2:36" x14ac:dyDescent="0.2">
      <c r="B228" s="88">
        <f t="shared" si="44"/>
        <v>50891</v>
      </c>
      <c r="C228" s="81">
        <v>4.7490813208872833</v>
      </c>
      <c r="D228" s="81">
        <v>4.4835432484658808</v>
      </c>
      <c r="E228" s="89">
        <f t="shared" si="42"/>
        <v>2039</v>
      </c>
      <c r="K228" s="16">
        <f t="shared" si="45"/>
        <v>5</v>
      </c>
      <c r="L228" s="110">
        <f t="shared" si="46"/>
        <v>2039</v>
      </c>
      <c r="M228" s="84">
        <f t="shared" si="43"/>
        <v>50891</v>
      </c>
      <c r="N228" s="85">
        <v>7.8491730000000004</v>
      </c>
      <c r="O228" s="85">
        <v>23.365590000000001</v>
      </c>
      <c r="P228" s="85">
        <v>9.7261919999999993</v>
      </c>
      <c r="Q228" s="86">
        <v>38.68938</v>
      </c>
      <c r="S228" s="107">
        <v>30.450783225806454</v>
      </c>
      <c r="T228" s="109">
        <f t="shared" si="47"/>
        <v>0.76732312028670946</v>
      </c>
      <c r="U228" s="109">
        <f t="shared" si="48"/>
        <v>1.2705545112945238</v>
      </c>
      <c r="AD228" s="177" t="str">
        <f t="shared" si="38"/>
        <v>Winter</v>
      </c>
      <c r="AE228">
        <f t="shared" si="39"/>
        <v>11</v>
      </c>
      <c r="AF228" s="175">
        <v>49614</v>
      </c>
      <c r="AG228" s="174">
        <v>400</v>
      </c>
      <c r="AH228" s="174">
        <v>320</v>
      </c>
      <c r="AI228">
        <f t="shared" si="40"/>
        <v>25</v>
      </c>
      <c r="AJ228">
        <f t="shared" si="41"/>
        <v>5</v>
      </c>
    </row>
    <row r="229" spans="2:36" x14ac:dyDescent="0.2">
      <c r="B229" s="88">
        <f t="shared" si="44"/>
        <v>50922</v>
      </c>
      <c r="C229" s="81">
        <v>4.9192107999598509</v>
      </c>
      <c r="D229" s="81">
        <v>4.4925531724945422</v>
      </c>
      <c r="E229" s="89">
        <f t="shared" si="42"/>
        <v>2039</v>
      </c>
      <c r="K229" s="16">
        <f t="shared" si="45"/>
        <v>6</v>
      </c>
      <c r="L229" s="110">
        <f t="shared" si="46"/>
        <v>2039</v>
      </c>
      <c r="M229" s="84">
        <f t="shared" si="43"/>
        <v>50922</v>
      </c>
      <c r="N229" s="85">
        <v>24.284140000000001</v>
      </c>
      <c r="O229" s="85">
        <v>43.70722</v>
      </c>
      <c r="P229" s="85">
        <v>15.71092</v>
      </c>
      <c r="Q229" s="86">
        <v>52.827910000000003</v>
      </c>
      <c r="S229" s="107">
        <v>47.558177999999998</v>
      </c>
      <c r="T229" s="109">
        <f t="shared" si="47"/>
        <v>0.91902637649407004</v>
      </c>
      <c r="U229" s="109">
        <f t="shared" si="48"/>
        <v>1.110806011113378</v>
      </c>
      <c r="AD229" s="177" t="str">
        <f t="shared" si="38"/>
        <v>Winter</v>
      </c>
      <c r="AE229">
        <f t="shared" si="39"/>
        <v>12</v>
      </c>
      <c r="AF229" s="175">
        <v>49644</v>
      </c>
      <c r="AG229" s="174">
        <v>400</v>
      </c>
      <c r="AH229" s="174">
        <v>344</v>
      </c>
      <c r="AI229">
        <f t="shared" si="40"/>
        <v>25</v>
      </c>
      <c r="AJ229">
        <f t="shared" si="41"/>
        <v>6</v>
      </c>
    </row>
    <row r="230" spans="2:36" x14ac:dyDescent="0.2">
      <c r="B230" s="88">
        <f t="shared" si="44"/>
        <v>50952</v>
      </c>
      <c r="C230" s="81">
        <v>5.1011841011743444</v>
      </c>
      <c r="D230" s="81">
        <v>4.5647361270689908</v>
      </c>
      <c r="E230" s="89">
        <f t="shared" si="42"/>
        <v>2039</v>
      </c>
      <c r="K230" s="16">
        <f t="shared" si="45"/>
        <v>7</v>
      </c>
      <c r="L230" s="110">
        <f t="shared" si="46"/>
        <v>2039</v>
      </c>
      <c r="M230" s="84">
        <f t="shared" si="43"/>
        <v>50952</v>
      </c>
      <c r="N230" s="85">
        <v>109.7393</v>
      </c>
      <c r="O230" s="85">
        <v>181.66290000000001</v>
      </c>
      <c r="P230" s="85">
        <v>31.58193</v>
      </c>
      <c r="Q230" s="86">
        <v>67.375519999999995</v>
      </c>
      <c r="S230" s="107">
        <v>128.82034795698925</v>
      </c>
      <c r="T230" s="109">
        <f t="shared" si="47"/>
        <v>1.410203456837843</v>
      </c>
      <c r="U230" s="109">
        <f t="shared" si="48"/>
        <v>0.52301923623506619</v>
      </c>
      <c r="AD230" s="177" t="str">
        <f t="shared" si="38"/>
        <v>Winter</v>
      </c>
      <c r="AE230">
        <f t="shared" si="39"/>
        <v>1</v>
      </c>
      <c r="AF230" s="175">
        <v>49675</v>
      </c>
      <c r="AG230" s="174">
        <v>416</v>
      </c>
      <c r="AH230" s="174">
        <v>328</v>
      </c>
      <c r="AI230">
        <f t="shared" si="40"/>
        <v>26</v>
      </c>
      <c r="AJ230">
        <f t="shared" si="41"/>
        <v>5</v>
      </c>
    </row>
    <row r="231" spans="2:36" x14ac:dyDescent="0.2">
      <c r="B231" s="88">
        <f t="shared" si="44"/>
        <v>50983</v>
      </c>
      <c r="C231" s="81">
        <v>5.2384921409214087</v>
      </c>
      <c r="D231" s="81">
        <v>4.6459290056721017</v>
      </c>
      <c r="E231" s="89">
        <f t="shared" si="42"/>
        <v>2039</v>
      </c>
      <c r="K231" s="16">
        <f t="shared" si="45"/>
        <v>8</v>
      </c>
      <c r="L231" s="110">
        <f t="shared" si="46"/>
        <v>2039</v>
      </c>
      <c r="M231" s="84">
        <f t="shared" si="43"/>
        <v>50983</v>
      </c>
      <c r="N231" s="85">
        <v>147.80840000000001</v>
      </c>
      <c r="O231" s="85">
        <v>193.92490000000001</v>
      </c>
      <c r="P231" s="85">
        <v>52.587499999999999</v>
      </c>
      <c r="Q231" s="86">
        <v>99.039100000000005</v>
      </c>
      <c r="S231" s="107">
        <v>154.1340806451613</v>
      </c>
      <c r="T231" s="109">
        <f t="shared" si="47"/>
        <v>1.2581571784013352</v>
      </c>
      <c r="U231" s="109">
        <f t="shared" si="48"/>
        <v>0.64255159913661264</v>
      </c>
      <c r="AD231" s="177" t="str">
        <f t="shared" si="38"/>
        <v>Winter</v>
      </c>
      <c r="AE231">
        <f t="shared" si="39"/>
        <v>2</v>
      </c>
      <c r="AF231" s="175">
        <v>49706</v>
      </c>
      <c r="AG231" s="174">
        <v>400</v>
      </c>
      <c r="AH231" s="174">
        <v>296</v>
      </c>
      <c r="AI231">
        <f t="shared" si="40"/>
        <v>25</v>
      </c>
      <c r="AJ231">
        <f t="shared" si="41"/>
        <v>4</v>
      </c>
    </row>
    <row r="232" spans="2:36" x14ac:dyDescent="0.2">
      <c r="B232" s="88">
        <f t="shared" si="44"/>
        <v>51014</v>
      </c>
      <c r="C232" s="81">
        <v>5.1686336645588682</v>
      </c>
      <c r="D232" s="81">
        <v>4.6458772244995226</v>
      </c>
      <c r="E232" s="89">
        <f t="shared" si="42"/>
        <v>2039</v>
      </c>
      <c r="K232" s="16">
        <f t="shared" si="45"/>
        <v>9</v>
      </c>
      <c r="L232" s="110">
        <f t="shared" si="46"/>
        <v>2039</v>
      </c>
      <c r="M232" s="84">
        <f t="shared" si="43"/>
        <v>51014</v>
      </c>
      <c r="N232" s="85">
        <v>46.916049999999998</v>
      </c>
      <c r="O232" s="85">
        <v>78.509439999999998</v>
      </c>
      <c r="P232" s="85">
        <v>36.442900000000002</v>
      </c>
      <c r="Q232" s="86">
        <v>76.454440000000005</v>
      </c>
      <c r="S232" s="107">
        <v>77.596106666666671</v>
      </c>
      <c r="T232" s="109">
        <f t="shared" si="47"/>
        <v>1.0117703499900681</v>
      </c>
      <c r="U232" s="109">
        <f t="shared" si="48"/>
        <v>0.98528706251241471</v>
      </c>
      <c r="AD232" s="177" t="str">
        <f t="shared" si="38"/>
        <v>Winter</v>
      </c>
      <c r="AE232">
        <f t="shared" si="39"/>
        <v>3</v>
      </c>
      <c r="AF232" s="175">
        <v>49735</v>
      </c>
      <c r="AG232" s="174">
        <v>416</v>
      </c>
      <c r="AH232" s="174">
        <v>328</v>
      </c>
      <c r="AI232">
        <f t="shared" si="40"/>
        <v>26</v>
      </c>
      <c r="AJ232">
        <f t="shared" si="41"/>
        <v>5</v>
      </c>
    </row>
    <row r="233" spans="2:36" x14ac:dyDescent="0.2">
      <c r="B233" s="88">
        <f t="shared" si="44"/>
        <v>51044</v>
      </c>
      <c r="C233" s="81">
        <v>5.2814510890294084</v>
      </c>
      <c r="D233" s="81">
        <v>4.8984657843375139</v>
      </c>
      <c r="E233" s="89">
        <f t="shared" si="42"/>
        <v>2039</v>
      </c>
      <c r="K233" s="16">
        <f t="shared" si="45"/>
        <v>10</v>
      </c>
      <c r="L233" s="110">
        <f t="shared" si="46"/>
        <v>2039</v>
      </c>
      <c r="M233" s="84">
        <f t="shared" si="43"/>
        <v>51044</v>
      </c>
      <c r="N233" s="85">
        <v>64.917379999999994</v>
      </c>
      <c r="O233" s="85">
        <v>67.49991</v>
      </c>
      <c r="P233" s="85">
        <v>49.18365</v>
      </c>
      <c r="Q233" s="86">
        <v>65.14479</v>
      </c>
      <c r="S233" s="107">
        <v>66.461631290322572</v>
      </c>
      <c r="T233" s="109">
        <f t="shared" si="47"/>
        <v>1.0156222272839188</v>
      </c>
      <c r="U233" s="109">
        <f t="shared" si="48"/>
        <v>0.98018644344478623</v>
      </c>
      <c r="AD233" s="177" t="str">
        <f t="shared" si="38"/>
        <v>Winter</v>
      </c>
      <c r="AE233">
        <f t="shared" si="39"/>
        <v>4</v>
      </c>
      <c r="AF233" s="175">
        <v>49766</v>
      </c>
      <c r="AG233" s="174">
        <v>416</v>
      </c>
      <c r="AH233" s="174">
        <v>304</v>
      </c>
      <c r="AI233">
        <f t="shared" si="40"/>
        <v>26</v>
      </c>
      <c r="AJ233">
        <f t="shared" si="41"/>
        <v>4</v>
      </c>
    </row>
    <row r="234" spans="2:36" x14ac:dyDescent="0.2">
      <c r="B234" s="88">
        <f t="shared" si="44"/>
        <v>51075</v>
      </c>
      <c r="C234" s="81">
        <v>5.4852049784201542</v>
      </c>
      <c r="D234" s="81">
        <v>5.8635632788558603</v>
      </c>
      <c r="E234" s="89">
        <f t="shared" si="42"/>
        <v>2039</v>
      </c>
      <c r="K234" s="16">
        <f t="shared" si="45"/>
        <v>11</v>
      </c>
      <c r="L234" s="110">
        <f t="shared" si="46"/>
        <v>2039</v>
      </c>
      <c r="M234" s="84">
        <f t="shared" si="43"/>
        <v>51075</v>
      </c>
      <c r="N234" s="85">
        <v>61.115000000000002</v>
      </c>
      <c r="O234" s="85">
        <v>61.43459</v>
      </c>
      <c r="P234" s="85">
        <v>49.317700000000002</v>
      </c>
      <c r="Q234" s="86">
        <v>61.105200000000004</v>
      </c>
      <c r="S234" s="107">
        <v>61.287940638002773</v>
      </c>
      <c r="T234" s="109">
        <f t="shared" si="47"/>
        <v>1.0023927931085728</v>
      </c>
      <c r="U234" s="109">
        <f t="shared" si="48"/>
        <v>0.99701832634445775</v>
      </c>
      <c r="AD234" s="177" t="str">
        <f t="shared" si="38"/>
        <v>Winter</v>
      </c>
      <c r="AE234">
        <f t="shared" si="39"/>
        <v>5</v>
      </c>
      <c r="AF234" s="175">
        <v>49796</v>
      </c>
      <c r="AG234" s="174">
        <v>416</v>
      </c>
      <c r="AH234" s="174">
        <v>328</v>
      </c>
      <c r="AI234">
        <f t="shared" si="40"/>
        <v>26</v>
      </c>
      <c r="AJ234">
        <f t="shared" si="41"/>
        <v>5</v>
      </c>
    </row>
    <row r="235" spans="2:36" x14ac:dyDescent="0.2">
      <c r="B235" s="90">
        <f t="shared" si="44"/>
        <v>51105</v>
      </c>
      <c r="C235" s="91">
        <v>5.7772856770049179</v>
      </c>
      <c r="D235" s="91">
        <v>6.2514042614689309</v>
      </c>
      <c r="E235" s="92">
        <f t="shared" si="42"/>
        <v>2039</v>
      </c>
      <c r="K235" s="16">
        <f t="shared" si="45"/>
        <v>12</v>
      </c>
      <c r="L235" s="110">
        <f t="shared" si="46"/>
        <v>2039</v>
      </c>
      <c r="M235" s="93">
        <f t="shared" si="43"/>
        <v>51105</v>
      </c>
      <c r="N235" s="94">
        <v>77.207130000000006</v>
      </c>
      <c r="O235" s="94">
        <v>68.605059999999995</v>
      </c>
      <c r="P235" s="94">
        <v>56.881869999999999</v>
      </c>
      <c r="Q235" s="95">
        <v>66.099810000000005</v>
      </c>
      <c r="S235" s="107">
        <v>67.500594946236561</v>
      </c>
      <c r="T235" s="109">
        <f t="shared" si="47"/>
        <v>1.0163623010233187</v>
      </c>
      <c r="U235" s="109">
        <f t="shared" si="48"/>
        <v>0.97924781333627853</v>
      </c>
      <c r="AD235" s="177" t="str">
        <f t="shared" si="38"/>
        <v>Summer</v>
      </c>
      <c r="AE235">
        <f t="shared" si="39"/>
        <v>6</v>
      </c>
      <c r="AF235" s="175">
        <v>49827</v>
      </c>
      <c r="AG235" s="174">
        <v>400</v>
      </c>
      <c r="AH235" s="174">
        <v>320</v>
      </c>
      <c r="AI235">
        <f t="shared" si="40"/>
        <v>25</v>
      </c>
      <c r="AJ235">
        <f t="shared" si="41"/>
        <v>5</v>
      </c>
    </row>
    <row r="236" spans="2:36" x14ac:dyDescent="0.2">
      <c r="B236" s="234">
        <f t="shared" si="44"/>
        <v>51136</v>
      </c>
      <c r="C236" s="81">
        <v>5.9432999297400384</v>
      </c>
      <c r="D236" s="81">
        <v>6.2011765240677716</v>
      </c>
      <c r="E236" s="233">
        <f t="shared" si="42"/>
        <v>2040</v>
      </c>
      <c r="K236" s="16">
        <f t="shared" si="45"/>
        <v>1</v>
      </c>
      <c r="L236" s="110">
        <f t="shared" si="46"/>
        <v>2040</v>
      </c>
      <c r="M236" s="84">
        <f t="shared" si="43"/>
        <v>51136</v>
      </c>
      <c r="N236" s="232">
        <v>67.361980000000003</v>
      </c>
      <c r="O236" s="232">
        <v>66.559119999999993</v>
      </c>
      <c r="P236" s="232">
        <v>46.290860000000002</v>
      </c>
      <c r="Q236" s="231">
        <v>64.080669999999998</v>
      </c>
      <c r="S236" s="107">
        <v>65.413169999999994</v>
      </c>
      <c r="T236" s="109">
        <f t="shared" si="47"/>
        <v>1.0175186434169143</v>
      </c>
      <c r="U236" s="109">
        <f t="shared" si="48"/>
        <v>0.97962948439893682</v>
      </c>
      <c r="AD236" s="177" t="str">
        <f t="shared" si="38"/>
        <v>Summer</v>
      </c>
      <c r="AE236">
        <f t="shared" si="39"/>
        <v>7</v>
      </c>
      <c r="AF236" s="175">
        <v>49857</v>
      </c>
      <c r="AG236" s="174">
        <v>416</v>
      </c>
      <c r="AH236" s="174">
        <v>328</v>
      </c>
      <c r="AI236">
        <f t="shared" si="40"/>
        <v>26</v>
      </c>
      <c r="AJ236">
        <f t="shared" si="41"/>
        <v>5</v>
      </c>
    </row>
    <row r="237" spans="2:36" x14ac:dyDescent="0.2">
      <c r="B237" s="88">
        <f t="shared" si="44"/>
        <v>51167</v>
      </c>
      <c r="C237" s="81">
        <v>5.8010736926628521</v>
      </c>
      <c r="D237" s="81">
        <v>5.6014469832634211</v>
      </c>
      <c r="E237" s="89">
        <f t="shared" si="42"/>
        <v>2040</v>
      </c>
      <c r="K237" s="16">
        <f t="shared" si="45"/>
        <v>2</v>
      </c>
      <c r="L237" s="110">
        <f t="shared" si="46"/>
        <v>2040</v>
      </c>
      <c r="M237" s="84">
        <f t="shared" si="43"/>
        <v>51167</v>
      </c>
      <c r="N237" s="85">
        <v>61.710470000000001</v>
      </c>
      <c r="O237" s="85">
        <v>55.214179999999999</v>
      </c>
      <c r="P237" s="85">
        <v>50.470680000000002</v>
      </c>
      <c r="Q237" s="86">
        <v>60.390529999999998</v>
      </c>
      <c r="S237" s="107">
        <v>57.415616206896551</v>
      </c>
      <c r="T237" s="109">
        <f t="shared" si="47"/>
        <v>0.96165788417277098</v>
      </c>
      <c r="U237" s="109">
        <f t="shared" si="48"/>
        <v>1.0518136700367959</v>
      </c>
      <c r="AD237" s="177" t="str">
        <f t="shared" si="38"/>
        <v>Summer</v>
      </c>
      <c r="AE237">
        <f t="shared" si="39"/>
        <v>8</v>
      </c>
      <c r="AF237" s="175">
        <v>49888</v>
      </c>
      <c r="AG237" s="174">
        <v>416</v>
      </c>
      <c r="AH237" s="174">
        <v>328</v>
      </c>
      <c r="AI237">
        <f t="shared" si="40"/>
        <v>26</v>
      </c>
      <c r="AJ237">
        <f t="shared" si="41"/>
        <v>5</v>
      </c>
    </row>
    <row r="238" spans="2:36" x14ac:dyDescent="0.2">
      <c r="B238" s="88">
        <f t="shared" si="44"/>
        <v>51196</v>
      </c>
      <c r="C238" s="81">
        <v>5.4713537287965472</v>
      </c>
      <c r="D238" s="81">
        <v>5.3523277619881906</v>
      </c>
      <c r="E238" s="89">
        <f t="shared" si="42"/>
        <v>2040</v>
      </c>
      <c r="K238" s="16">
        <f t="shared" si="45"/>
        <v>3</v>
      </c>
      <c r="L238" s="110">
        <f t="shared" si="46"/>
        <v>2040</v>
      </c>
      <c r="M238" s="84">
        <f t="shared" si="43"/>
        <v>51196</v>
      </c>
      <c r="N238" s="85">
        <v>33.55641</v>
      </c>
      <c r="O238" s="85">
        <v>42.041139999999999</v>
      </c>
      <c r="P238" s="85">
        <v>30.728639999999999</v>
      </c>
      <c r="Q238" s="86">
        <v>55.210479999999997</v>
      </c>
      <c r="S238" s="107">
        <v>47.55347477792732</v>
      </c>
      <c r="T238" s="109">
        <f t="shared" si="47"/>
        <v>0.88408134623874091</v>
      </c>
      <c r="U238" s="109">
        <f t="shared" si="48"/>
        <v>1.1610188373789836</v>
      </c>
      <c r="AD238" s="177" t="str">
        <f t="shared" si="38"/>
        <v>Summer</v>
      </c>
      <c r="AE238">
        <f t="shared" si="39"/>
        <v>9</v>
      </c>
      <c r="AF238" s="175">
        <v>49919</v>
      </c>
      <c r="AG238" s="174">
        <v>400</v>
      </c>
      <c r="AH238" s="174">
        <v>320</v>
      </c>
      <c r="AI238">
        <f t="shared" si="40"/>
        <v>25</v>
      </c>
      <c r="AJ238">
        <f t="shared" si="41"/>
        <v>5</v>
      </c>
    </row>
    <row r="239" spans="2:36" x14ac:dyDescent="0.2">
      <c r="B239" s="88">
        <f t="shared" si="44"/>
        <v>51227</v>
      </c>
      <c r="C239" s="81">
        <v>5.2599716149754085</v>
      </c>
      <c r="D239" s="81">
        <v>4.7524946588386827</v>
      </c>
      <c r="E239" s="89">
        <f t="shared" si="42"/>
        <v>2040</v>
      </c>
      <c r="K239" s="16">
        <f t="shared" si="45"/>
        <v>4</v>
      </c>
      <c r="L239" s="110">
        <f t="shared" si="46"/>
        <v>2040</v>
      </c>
      <c r="M239" s="84">
        <f t="shared" si="43"/>
        <v>51227</v>
      </c>
      <c r="N239" s="85">
        <v>14.993729999999999</v>
      </c>
      <c r="O239" s="85">
        <v>26.87706</v>
      </c>
      <c r="P239" s="85">
        <v>16.902370000000001</v>
      </c>
      <c r="Q239" s="86">
        <v>40.114359999999998</v>
      </c>
      <c r="S239" s="107">
        <v>32.760304444444444</v>
      </c>
      <c r="T239" s="109">
        <f t="shared" si="47"/>
        <v>0.82041545265791527</v>
      </c>
      <c r="U239" s="109">
        <f t="shared" si="48"/>
        <v>1.2244806841776059</v>
      </c>
      <c r="AD239" s="177" t="str">
        <f t="shared" si="38"/>
        <v>Winter</v>
      </c>
      <c r="AE239">
        <f t="shared" si="39"/>
        <v>10</v>
      </c>
      <c r="AF239" s="175">
        <v>49949</v>
      </c>
      <c r="AG239" s="174">
        <v>432</v>
      </c>
      <c r="AH239" s="174">
        <v>312</v>
      </c>
      <c r="AI239">
        <f t="shared" si="40"/>
        <v>27</v>
      </c>
      <c r="AJ239">
        <f t="shared" si="41"/>
        <v>4</v>
      </c>
    </row>
    <row r="240" spans="2:36" x14ac:dyDescent="0.2">
      <c r="B240" s="88">
        <f t="shared" si="44"/>
        <v>51257</v>
      </c>
      <c r="C240" s="81">
        <v>5.1302917996587372</v>
      </c>
      <c r="D240" s="81">
        <v>4.770980537449212</v>
      </c>
      <c r="E240" s="89">
        <f t="shared" si="42"/>
        <v>2040</v>
      </c>
      <c r="K240" s="16">
        <f t="shared" si="45"/>
        <v>5</v>
      </c>
      <c r="L240" s="110">
        <f t="shared" si="46"/>
        <v>2040</v>
      </c>
      <c r="M240" s="84">
        <f t="shared" si="43"/>
        <v>51257</v>
      </c>
      <c r="N240" s="85">
        <v>9.4371340000000004</v>
      </c>
      <c r="O240" s="85">
        <v>25.312239999999999</v>
      </c>
      <c r="P240" s="85">
        <v>9.8203019999999999</v>
      </c>
      <c r="Q240" s="86">
        <v>40.743299999999998</v>
      </c>
      <c r="S240" s="107">
        <v>32.115180430107529</v>
      </c>
      <c r="T240" s="109">
        <f t="shared" si="47"/>
        <v>0.78817056796822882</v>
      </c>
      <c r="U240" s="109">
        <f t="shared" si="48"/>
        <v>1.2686617186744413</v>
      </c>
      <c r="AD240" s="177" t="str">
        <f t="shared" si="38"/>
        <v>Winter</v>
      </c>
      <c r="AE240">
        <f t="shared" si="39"/>
        <v>11</v>
      </c>
      <c r="AF240" s="175">
        <v>49980</v>
      </c>
      <c r="AG240" s="174">
        <v>384</v>
      </c>
      <c r="AH240" s="174">
        <v>336</v>
      </c>
      <c r="AI240">
        <f t="shared" si="40"/>
        <v>24</v>
      </c>
      <c r="AJ240">
        <f t="shared" si="41"/>
        <v>6</v>
      </c>
    </row>
    <row r="241" spans="2:36" x14ac:dyDescent="0.2">
      <c r="B241" s="88">
        <f t="shared" si="44"/>
        <v>51288</v>
      </c>
      <c r="C241" s="81">
        <v>5.2670979825353808</v>
      </c>
      <c r="D241" s="81">
        <v>4.7894146348871631</v>
      </c>
      <c r="E241" s="89">
        <f t="shared" si="42"/>
        <v>2040</v>
      </c>
      <c r="K241" s="16">
        <f t="shared" si="45"/>
        <v>6</v>
      </c>
      <c r="L241" s="110">
        <f t="shared" si="46"/>
        <v>2040</v>
      </c>
      <c r="M241" s="84">
        <f t="shared" si="43"/>
        <v>51288</v>
      </c>
      <c r="N241" s="85">
        <v>26.69238</v>
      </c>
      <c r="O241" s="85">
        <v>47.043379999999999</v>
      </c>
      <c r="P241" s="85">
        <v>16.584599999999998</v>
      </c>
      <c r="Q241" s="86">
        <v>54.721229999999998</v>
      </c>
      <c r="S241" s="107">
        <v>50.285138888888881</v>
      </c>
      <c r="T241" s="109">
        <f t="shared" si="47"/>
        <v>0.93553246624113062</v>
      </c>
      <c r="U241" s="109">
        <f t="shared" si="48"/>
        <v>1.0882187304068742</v>
      </c>
      <c r="AD241" s="177" t="str">
        <f t="shared" si="38"/>
        <v>Winter</v>
      </c>
      <c r="AE241">
        <f t="shared" si="39"/>
        <v>12</v>
      </c>
      <c r="AF241" s="175">
        <v>50010</v>
      </c>
      <c r="AG241" s="174">
        <v>416</v>
      </c>
      <c r="AH241" s="174">
        <v>328</v>
      </c>
      <c r="AI241">
        <f t="shared" si="40"/>
        <v>26</v>
      </c>
      <c r="AJ241">
        <f t="shared" si="41"/>
        <v>5</v>
      </c>
    </row>
    <row r="242" spans="2:36" x14ac:dyDescent="0.2">
      <c r="B242" s="88">
        <f t="shared" si="44"/>
        <v>51318</v>
      </c>
      <c r="C242" s="81">
        <v>5.4909261467429484</v>
      </c>
      <c r="D242" s="81">
        <v>4.8816886844220759</v>
      </c>
      <c r="E242" s="89">
        <f t="shared" si="42"/>
        <v>2040</v>
      </c>
      <c r="K242" s="16">
        <f t="shared" si="45"/>
        <v>7</v>
      </c>
      <c r="L242" s="110">
        <f t="shared" si="46"/>
        <v>2040</v>
      </c>
      <c r="M242" s="84">
        <f t="shared" si="43"/>
        <v>51318</v>
      </c>
      <c r="N242" s="85">
        <v>129.3648</v>
      </c>
      <c r="O242" s="85">
        <v>209.4323</v>
      </c>
      <c r="P242" s="85">
        <v>33.63109</v>
      </c>
      <c r="Q242" s="86">
        <v>70.248390000000001</v>
      </c>
      <c r="S242" s="107">
        <v>145.07844913978494</v>
      </c>
      <c r="T242" s="109">
        <f t="shared" si="47"/>
        <v>1.4435796718381606</v>
      </c>
      <c r="U242" s="109">
        <f t="shared" si="48"/>
        <v>0.48420968390911584</v>
      </c>
      <c r="AD242" s="177" t="str">
        <f t="shared" si="38"/>
        <v>Winter</v>
      </c>
      <c r="AE242">
        <f t="shared" si="39"/>
        <v>1</v>
      </c>
      <c r="AF242" s="175">
        <v>50041</v>
      </c>
      <c r="AG242" s="174">
        <v>416</v>
      </c>
      <c r="AH242" s="174">
        <v>328</v>
      </c>
      <c r="AI242">
        <f t="shared" si="40"/>
        <v>26</v>
      </c>
      <c r="AJ242">
        <f t="shared" si="41"/>
        <v>5</v>
      </c>
    </row>
    <row r="243" spans="2:36" x14ac:dyDescent="0.2">
      <c r="B243" s="88">
        <f t="shared" si="44"/>
        <v>51349</v>
      </c>
      <c r="C243" s="81">
        <v>5.6314460704607043</v>
      </c>
      <c r="D243" s="81">
        <v>4.9555286365190359</v>
      </c>
      <c r="E243" s="89">
        <f t="shared" si="42"/>
        <v>2040</v>
      </c>
      <c r="K243" s="16">
        <f t="shared" si="45"/>
        <v>8</v>
      </c>
      <c r="L243" s="110">
        <f t="shared" si="46"/>
        <v>2040</v>
      </c>
      <c r="M243" s="84">
        <f t="shared" si="43"/>
        <v>51349</v>
      </c>
      <c r="N243" s="85">
        <v>142.56010000000001</v>
      </c>
      <c r="O243" s="85">
        <v>185.0763</v>
      </c>
      <c r="P243" s="85">
        <v>55.989440000000002</v>
      </c>
      <c r="Q243" s="86">
        <v>98.013000000000005</v>
      </c>
      <c r="S243" s="107">
        <v>148.56588387096775</v>
      </c>
      <c r="T243" s="109">
        <f t="shared" si="47"/>
        <v>1.2457523569862259</v>
      </c>
      <c r="U243" s="109">
        <f t="shared" si="48"/>
        <v>0.65972750571137939</v>
      </c>
      <c r="AD243" s="177" t="str">
        <f t="shared" si="38"/>
        <v>Winter</v>
      </c>
      <c r="AE243">
        <f t="shared" si="39"/>
        <v>2</v>
      </c>
      <c r="AF243" s="175">
        <v>50072</v>
      </c>
      <c r="AG243" s="174">
        <v>384</v>
      </c>
      <c r="AH243" s="174">
        <v>288</v>
      </c>
      <c r="AI243">
        <f t="shared" si="40"/>
        <v>24</v>
      </c>
      <c r="AJ243">
        <f t="shared" si="41"/>
        <v>4</v>
      </c>
    </row>
    <row r="244" spans="2:36" x14ac:dyDescent="0.2">
      <c r="B244" s="88">
        <f t="shared" si="44"/>
        <v>51380</v>
      </c>
      <c r="C244" s="81">
        <v>5.4880153768945092</v>
      </c>
      <c r="D244" s="81">
        <v>4.9186086604705554</v>
      </c>
      <c r="E244" s="89">
        <f t="shared" si="42"/>
        <v>2040</v>
      </c>
      <c r="K244" s="16">
        <f t="shared" si="45"/>
        <v>9</v>
      </c>
      <c r="L244" s="110">
        <f t="shared" si="46"/>
        <v>2040</v>
      </c>
      <c r="M244" s="84">
        <f t="shared" si="43"/>
        <v>51380</v>
      </c>
      <c r="N244" s="85">
        <v>45.233969999999999</v>
      </c>
      <c r="O244" s="85">
        <v>73.731219999999993</v>
      </c>
      <c r="P244" s="85">
        <v>37.52073</v>
      </c>
      <c r="Q244" s="86">
        <v>75.033500000000004</v>
      </c>
      <c r="S244" s="107">
        <v>74.338950666666662</v>
      </c>
      <c r="T244" s="109">
        <f t="shared" si="47"/>
        <v>0.99182486891169996</v>
      </c>
      <c r="U244" s="109">
        <f t="shared" si="48"/>
        <v>1.0093430069580573</v>
      </c>
      <c r="AD244" s="177" t="str">
        <f t="shared" si="38"/>
        <v>Winter</v>
      </c>
      <c r="AE244">
        <f t="shared" si="39"/>
        <v>3</v>
      </c>
      <c r="AF244" s="175">
        <v>50100</v>
      </c>
      <c r="AG244" s="174">
        <v>416</v>
      </c>
      <c r="AH244" s="174">
        <v>328</v>
      </c>
      <c r="AI244">
        <f t="shared" si="40"/>
        <v>26</v>
      </c>
      <c r="AJ244">
        <f t="shared" si="41"/>
        <v>5</v>
      </c>
    </row>
    <row r="245" spans="2:36" x14ac:dyDescent="0.2">
      <c r="B245" s="88">
        <f t="shared" si="44"/>
        <v>51410</v>
      </c>
      <c r="C245" s="81">
        <v>5.6552340861186394</v>
      </c>
      <c r="D245" s="81">
        <v>5.2231337364047974</v>
      </c>
      <c r="E245" s="89">
        <f t="shared" si="42"/>
        <v>2040</v>
      </c>
      <c r="K245" s="16">
        <f t="shared" si="45"/>
        <v>10</v>
      </c>
      <c r="L245" s="110">
        <f t="shared" si="46"/>
        <v>2040</v>
      </c>
      <c r="M245" s="84">
        <f t="shared" si="43"/>
        <v>51410</v>
      </c>
      <c r="N245" s="85">
        <v>60.815249999999999</v>
      </c>
      <c r="O245" s="85">
        <v>61.797510000000003</v>
      </c>
      <c r="P245" s="85">
        <v>47.609169999999999</v>
      </c>
      <c r="Q245" s="86">
        <v>62.468620000000001</v>
      </c>
      <c r="S245" s="107">
        <v>62.078943225806448</v>
      </c>
      <c r="T245" s="109">
        <f t="shared" si="47"/>
        <v>0.99546652679342884</v>
      </c>
      <c r="U245" s="109">
        <f t="shared" si="48"/>
        <v>1.0062771167475604</v>
      </c>
      <c r="AD245" s="177" t="str">
        <f t="shared" si="38"/>
        <v>Winter</v>
      </c>
      <c r="AE245">
        <f t="shared" si="39"/>
        <v>4</v>
      </c>
      <c r="AF245" s="175">
        <v>50131</v>
      </c>
      <c r="AG245" s="174">
        <v>416</v>
      </c>
      <c r="AH245" s="174">
        <v>304</v>
      </c>
      <c r="AI245">
        <f t="shared" si="40"/>
        <v>26</v>
      </c>
      <c r="AJ245">
        <f t="shared" si="41"/>
        <v>4</v>
      </c>
    </row>
    <row r="246" spans="2:36" x14ac:dyDescent="0.2">
      <c r="B246" s="88">
        <f t="shared" si="44"/>
        <v>51441</v>
      </c>
      <c r="C246" s="81">
        <v>5.8687239987955433</v>
      </c>
      <c r="D246" s="81">
        <v>6.2935023547752618</v>
      </c>
      <c r="E246" s="89">
        <f t="shared" si="42"/>
        <v>2040</v>
      </c>
      <c r="K246" s="16">
        <f t="shared" si="45"/>
        <v>11</v>
      </c>
      <c r="L246" s="110">
        <f t="shared" si="46"/>
        <v>2040</v>
      </c>
      <c r="M246" s="84">
        <f t="shared" si="43"/>
        <v>51441</v>
      </c>
      <c r="N246" s="85">
        <v>63.518009999999997</v>
      </c>
      <c r="O246" s="85">
        <v>62.782679999999999</v>
      </c>
      <c r="P246" s="85">
        <v>53.164709999999999</v>
      </c>
      <c r="Q246" s="86">
        <v>64.559870000000004</v>
      </c>
      <c r="S246" s="107">
        <v>63.573911608876564</v>
      </c>
      <c r="T246" s="109">
        <f t="shared" si="47"/>
        <v>0.98755414620789062</v>
      </c>
      <c r="U246" s="109">
        <f t="shared" si="48"/>
        <v>1.0155088520773947</v>
      </c>
      <c r="AD246" s="177" t="str">
        <f t="shared" si="38"/>
        <v>Winter</v>
      </c>
      <c r="AE246">
        <f t="shared" si="39"/>
        <v>5</v>
      </c>
      <c r="AF246" s="175">
        <v>50161</v>
      </c>
      <c r="AG246" s="174">
        <v>400</v>
      </c>
      <c r="AH246" s="174">
        <v>344</v>
      </c>
      <c r="AI246">
        <f t="shared" si="40"/>
        <v>25</v>
      </c>
      <c r="AJ246">
        <f t="shared" si="41"/>
        <v>6</v>
      </c>
    </row>
    <row r="247" spans="2:36" x14ac:dyDescent="0.2">
      <c r="B247" s="90">
        <f t="shared" si="44"/>
        <v>51471</v>
      </c>
      <c r="C247" s="91">
        <v>6.1862990263976716</v>
      </c>
      <c r="D247" s="91">
        <v>6.6625467717423321</v>
      </c>
      <c r="E247" s="92">
        <f t="shared" si="42"/>
        <v>2040</v>
      </c>
      <c r="K247" s="16">
        <f t="shared" si="45"/>
        <v>12</v>
      </c>
      <c r="L247" s="110">
        <f t="shared" si="46"/>
        <v>2040</v>
      </c>
      <c r="M247" s="93">
        <f t="shared" si="43"/>
        <v>51471</v>
      </c>
      <c r="N247" s="94">
        <v>84.078900000000004</v>
      </c>
      <c r="O247" s="94">
        <v>72.169160000000005</v>
      </c>
      <c r="P247" s="94">
        <v>62.08963</v>
      </c>
      <c r="Q247" s="95">
        <v>69.435820000000007</v>
      </c>
      <c r="S247" s="107">
        <v>70.905357634408603</v>
      </c>
      <c r="T247" s="109">
        <f t="shared" si="47"/>
        <v>1.0178237922740285</v>
      </c>
      <c r="U247" s="109">
        <f t="shared" si="48"/>
        <v>0.97927466014647857</v>
      </c>
      <c r="AD247" s="177" t="str">
        <f t="shared" si="38"/>
        <v>Summer</v>
      </c>
      <c r="AE247">
        <f t="shared" si="39"/>
        <v>6</v>
      </c>
      <c r="AF247" s="175">
        <v>50192</v>
      </c>
      <c r="AG247" s="174">
        <v>416</v>
      </c>
      <c r="AH247" s="174">
        <v>304</v>
      </c>
      <c r="AI247">
        <f t="shared" si="40"/>
        <v>26</v>
      </c>
      <c r="AJ247">
        <f t="shared" si="41"/>
        <v>4</v>
      </c>
    </row>
    <row r="248" spans="2:36" x14ac:dyDescent="0.2">
      <c r="AD248" s="177" t="str">
        <f t="shared" si="38"/>
        <v>Summer</v>
      </c>
      <c r="AE248">
        <f t="shared" si="39"/>
        <v>7</v>
      </c>
      <c r="AF248" s="175">
        <v>50222</v>
      </c>
      <c r="AG248" s="174">
        <v>416</v>
      </c>
      <c r="AH248" s="174">
        <v>328</v>
      </c>
      <c r="AI248">
        <f t="shared" si="40"/>
        <v>26</v>
      </c>
      <c r="AJ248">
        <f t="shared" si="41"/>
        <v>5</v>
      </c>
    </row>
    <row r="249" spans="2:36" x14ac:dyDescent="0.2">
      <c r="C249" s="100" t="s">
        <v>87</v>
      </c>
      <c r="D249" s="100" t="s">
        <v>134</v>
      </c>
      <c r="N249" s="100" t="s">
        <v>62</v>
      </c>
      <c r="O249" s="100" t="s">
        <v>63</v>
      </c>
      <c r="P249" s="100" t="s">
        <v>62</v>
      </c>
      <c r="Q249" s="100" t="s">
        <v>63</v>
      </c>
      <c r="AD249" s="177" t="str">
        <f t="shared" si="38"/>
        <v>Summer</v>
      </c>
      <c r="AE249">
        <f t="shared" si="39"/>
        <v>8</v>
      </c>
      <c r="AF249" s="175">
        <v>50253</v>
      </c>
      <c r="AG249" s="174">
        <v>416</v>
      </c>
      <c r="AH249" s="174">
        <v>328</v>
      </c>
      <c r="AI249">
        <f t="shared" si="40"/>
        <v>26</v>
      </c>
      <c r="AJ249">
        <f t="shared" si="41"/>
        <v>5</v>
      </c>
    </row>
    <row r="250" spans="2:36" x14ac:dyDescent="0.2">
      <c r="C250" s="102">
        <v>46</v>
      </c>
      <c r="D250" s="102">
        <v>43</v>
      </c>
      <c r="N250" s="102">
        <v>7</v>
      </c>
      <c r="O250" s="102">
        <v>6</v>
      </c>
      <c r="P250" s="102">
        <f>N250+8</f>
        <v>15</v>
      </c>
      <c r="Q250" s="102">
        <f>O250+8</f>
        <v>14</v>
      </c>
      <c r="AD250" s="177" t="str">
        <f t="shared" si="38"/>
        <v>Summer</v>
      </c>
      <c r="AE250">
        <f t="shared" si="39"/>
        <v>9</v>
      </c>
      <c r="AF250" s="175">
        <v>50284</v>
      </c>
      <c r="AG250" s="174">
        <v>400</v>
      </c>
      <c r="AH250" s="174">
        <v>320</v>
      </c>
      <c r="AI250">
        <f t="shared" si="40"/>
        <v>25</v>
      </c>
      <c r="AJ250">
        <f t="shared" si="41"/>
        <v>5</v>
      </c>
    </row>
    <row r="251" spans="2:36" x14ac:dyDescent="0.2">
      <c r="M251" s="103"/>
      <c r="AD251" s="177" t="str">
        <f t="shared" si="38"/>
        <v>Winter</v>
      </c>
      <c r="AE251">
        <f t="shared" si="39"/>
        <v>10</v>
      </c>
      <c r="AF251" s="175">
        <v>50314</v>
      </c>
      <c r="AG251" s="174">
        <v>432</v>
      </c>
      <c r="AH251" s="174">
        <v>312</v>
      </c>
      <c r="AI251">
        <f t="shared" si="40"/>
        <v>27</v>
      </c>
      <c r="AJ251">
        <f t="shared" si="41"/>
        <v>4</v>
      </c>
    </row>
    <row r="252" spans="2:36" x14ac:dyDescent="0.2">
      <c r="B252" s="105" t="s">
        <v>65</v>
      </c>
      <c r="C252" s="64">
        <v>143.74838856296492</v>
      </c>
      <c r="D252" s="64">
        <v>104.19220969493688</v>
      </c>
      <c r="M252" s="101" t="s">
        <v>65</v>
      </c>
      <c r="N252" s="106">
        <v>998.55663335327881</v>
      </c>
      <c r="O252" s="106">
        <v>1369.6235373789132</v>
      </c>
      <c r="P252" s="106">
        <v>425.77601609779322</v>
      </c>
      <c r="Q252" s="106">
        <v>1238.352182331213</v>
      </c>
      <c r="AD252" s="177" t="str">
        <f t="shared" si="38"/>
        <v>Winter</v>
      </c>
      <c r="AE252">
        <f t="shared" si="39"/>
        <v>11</v>
      </c>
      <c r="AF252" s="175">
        <v>50345</v>
      </c>
      <c r="AG252" s="174">
        <v>384</v>
      </c>
      <c r="AH252" s="174">
        <v>336</v>
      </c>
      <c r="AI252">
        <f t="shared" si="40"/>
        <v>24</v>
      </c>
      <c r="AJ252">
        <f t="shared" si="41"/>
        <v>6</v>
      </c>
    </row>
    <row r="253" spans="2:36" x14ac:dyDescent="0.2">
      <c r="AD253" s="177" t="str">
        <f t="shared" si="38"/>
        <v>Winter</v>
      </c>
      <c r="AE253">
        <f t="shared" si="39"/>
        <v>12</v>
      </c>
      <c r="AF253" s="175">
        <v>50375</v>
      </c>
      <c r="AG253" s="174">
        <v>416</v>
      </c>
      <c r="AH253" s="174">
        <v>328</v>
      </c>
      <c r="AI253">
        <f t="shared" si="40"/>
        <v>26</v>
      </c>
      <c r="AJ253">
        <f t="shared" si="41"/>
        <v>5</v>
      </c>
    </row>
  </sheetData>
  <printOptions horizontalCentered="1"/>
  <pageMargins left="0.3" right="0.3" top="0.8" bottom="0.4" header="0.5" footer="0.2"/>
  <pageSetup scale="33"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view="pageBreakPreview" topLeftCell="B11" zoomScale="80" zoomScaleNormal="60" zoomScaleSheetLayoutView="80" workbookViewId="0">
      <selection activeCell="D5" sqref="D5"/>
    </sheetView>
  </sheetViews>
  <sheetFormatPr defaultRowHeight="12.75" x14ac:dyDescent="0.2"/>
  <cols>
    <col min="1" max="1" width="9.33203125" hidden="1" customWidth="1"/>
    <col min="3" max="3" width="45" customWidth="1"/>
    <col min="4" max="4" width="18.83203125" customWidth="1"/>
    <col min="5" max="5" width="13.1640625" customWidth="1"/>
    <col min="6" max="6" width="17.33203125" customWidth="1"/>
    <col min="7" max="7" width="13" customWidth="1"/>
    <col min="8" max="8" width="18.1640625" customWidth="1"/>
  </cols>
  <sheetData>
    <row r="2" spans="2:7" x14ac:dyDescent="0.2">
      <c r="B2" s="352" t="s">
        <v>212</v>
      </c>
      <c r="C2" s="353"/>
      <c r="D2" s="353"/>
      <c r="E2" s="353"/>
      <c r="F2" s="353"/>
      <c r="G2" s="353"/>
    </row>
    <row r="3" spans="2:7" ht="25.5" x14ac:dyDescent="0.2">
      <c r="B3" s="343" t="s">
        <v>98</v>
      </c>
      <c r="C3" s="344" t="s">
        <v>213</v>
      </c>
      <c r="D3" s="345" t="s">
        <v>99</v>
      </c>
      <c r="E3" s="345" t="s">
        <v>100</v>
      </c>
      <c r="F3" s="346" t="s">
        <v>30</v>
      </c>
      <c r="G3" s="345" t="s">
        <v>101</v>
      </c>
    </row>
    <row r="4" spans="2:7" x14ac:dyDescent="0.2">
      <c r="B4" s="304"/>
      <c r="C4" s="305"/>
      <c r="D4" s="304"/>
      <c r="E4" s="304"/>
      <c r="F4" s="306"/>
      <c r="G4" s="307"/>
    </row>
    <row r="5" spans="2:7" x14ac:dyDescent="0.2">
      <c r="B5" s="142"/>
      <c r="C5" s="144"/>
      <c r="D5" s="308"/>
      <c r="E5" s="308"/>
      <c r="F5" s="309"/>
      <c r="G5" s="143"/>
    </row>
    <row r="6" spans="2:7" x14ac:dyDescent="0.2">
      <c r="B6" s="142">
        <v>1</v>
      </c>
      <c r="C6" s="144" t="s">
        <v>214</v>
      </c>
      <c r="D6" s="250">
        <v>-1.49</v>
      </c>
      <c r="E6" s="250">
        <v>-10</v>
      </c>
      <c r="F6" s="252">
        <v>0.14899999999999999</v>
      </c>
      <c r="G6" s="143">
        <v>43831</v>
      </c>
    </row>
    <row r="7" spans="2:7" x14ac:dyDescent="0.2">
      <c r="B7" s="142">
        <f t="shared" ref="B7:B28" si="0">B6+1</f>
        <v>2</v>
      </c>
      <c r="C7" s="144" t="s">
        <v>250</v>
      </c>
      <c r="D7" s="250">
        <v>-1.49</v>
      </c>
      <c r="E7" s="250">
        <v>-10</v>
      </c>
      <c r="F7" s="252">
        <v>0.14899999999999999</v>
      </c>
      <c r="G7" s="143">
        <v>43831</v>
      </c>
    </row>
    <row r="8" spans="2:7" x14ac:dyDescent="0.2">
      <c r="B8" s="142">
        <f t="shared" si="0"/>
        <v>3</v>
      </c>
      <c r="C8" s="144" t="s">
        <v>215</v>
      </c>
      <c r="D8" s="250">
        <v>5.67</v>
      </c>
      <c r="E8" s="250">
        <v>80</v>
      </c>
      <c r="F8" s="252">
        <v>7.0999999999999994E-2</v>
      </c>
      <c r="G8" s="143">
        <v>44562</v>
      </c>
    </row>
    <row r="9" spans="2:7" x14ac:dyDescent="0.2">
      <c r="B9" s="142">
        <f t="shared" si="0"/>
        <v>4</v>
      </c>
      <c r="C9" s="144" t="s">
        <v>216</v>
      </c>
      <c r="D9" s="250">
        <v>-5.75</v>
      </c>
      <c r="E9" s="250">
        <v>-10</v>
      </c>
      <c r="F9" s="252">
        <v>0.57499999999999996</v>
      </c>
      <c r="G9" s="143">
        <v>43831</v>
      </c>
    </row>
    <row r="10" spans="2:7" x14ac:dyDescent="0.2">
      <c r="B10" s="142">
        <f t="shared" si="0"/>
        <v>5</v>
      </c>
      <c r="C10" s="144" t="s">
        <v>217</v>
      </c>
      <c r="D10" s="250">
        <v>-5.75</v>
      </c>
      <c r="E10" s="250">
        <v>-10</v>
      </c>
      <c r="F10" s="252">
        <v>0.57499999999999996</v>
      </c>
      <c r="G10" s="143">
        <v>43831</v>
      </c>
    </row>
    <row r="11" spans="2:7" x14ac:dyDescent="0.2">
      <c r="B11" s="142">
        <f t="shared" si="0"/>
        <v>6</v>
      </c>
      <c r="C11" s="144" t="s">
        <v>251</v>
      </c>
      <c r="D11" s="250">
        <v>6.22</v>
      </c>
      <c r="E11" s="250">
        <v>75</v>
      </c>
      <c r="F11" s="252">
        <v>8.3000000000000004E-2</v>
      </c>
      <c r="G11" s="143">
        <v>44866</v>
      </c>
    </row>
    <row r="12" spans="2:7" x14ac:dyDescent="0.2">
      <c r="B12" s="142">
        <f t="shared" si="0"/>
        <v>7</v>
      </c>
      <c r="C12" s="144" t="s">
        <v>252</v>
      </c>
      <c r="D12" s="250">
        <v>6.58</v>
      </c>
      <c r="E12" s="250">
        <v>80</v>
      </c>
      <c r="F12" s="252">
        <v>8.2000000000000003E-2</v>
      </c>
      <c r="G12" s="143">
        <v>44866</v>
      </c>
    </row>
    <row r="13" spans="2:7" x14ac:dyDescent="0.2">
      <c r="B13" s="142">
        <f t="shared" si="0"/>
        <v>8</v>
      </c>
      <c r="C13" s="144" t="s">
        <v>253</v>
      </c>
      <c r="D13" s="250">
        <v>6.38</v>
      </c>
      <c r="E13" s="250">
        <v>55</v>
      </c>
      <c r="F13" s="252">
        <v>0.11600000000000001</v>
      </c>
      <c r="G13" s="143">
        <v>44986</v>
      </c>
    </row>
    <row r="14" spans="2:7" x14ac:dyDescent="0.2">
      <c r="B14" s="142">
        <f t="shared" si="0"/>
        <v>9</v>
      </c>
      <c r="C14" s="144" t="s">
        <v>254</v>
      </c>
      <c r="D14" s="250">
        <v>8.49</v>
      </c>
      <c r="E14" s="250">
        <v>120</v>
      </c>
      <c r="F14" s="252">
        <v>7.0999999999999994E-2</v>
      </c>
      <c r="G14" s="143">
        <v>45200</v>
      </c>
    </row>
    <row r="15" spans="2:7" x14ac:dyDescent="0.2">
      <c r="B15" s="142">
        <f t="shared" si="0"/>
        <v>10</v>
      </c>
      <c r="C15" s="144" t="s">
        <v>255</v>
      </c>
      <c r="D15" s="250">
        <v>5.66</v>
      </c>
      <c r="E15" s="250">
        <v>80</v>
      </c>
      <c r="F15" s="252">
        <v>7.0999999999999994E-2</v>
      </c>
      <c r="G15" s="143">
        <v>45200</v>
      </c>
    </row>
    <row r="16" spans="2:7" x14ac:dyDescent="0.2">
      <c r="B16" s="142">
        <f t="shared" si="0"/>
        <v>11</v>
      </c>
      <c r="C16" s="144" t="s">
        <v>256</v>
      </c>
      <c r="D16" s="347">
        <v>1.4082323114686413</v>
      </c>
      <c r="E16" s="250">
        <v>2.65</v>
      </c>
      <c r="F16" s="252">
        <v>0.53100000000000003</v>
      </c>
      <c r="G16" s="143">
        <v>44652</v>
      </c>
    </row>
    <row r="17" spans="2:7" x14ac:dyDescent="0.2">
      <c r="B17" s="142">
        <f t="shared" si="0"/>
        <v>12</v>
      </c>
      <c r="C17" s="144" t="s">
        <v>257</v>
      </c>
      <c r="D17" s="347">
        <v>3.95899272469486</v>
      </c>
      <c r="E17" s="250">
        <v>7.45</v>
      </c>
      <c r="F17" s="252">
        <v>0.53100000000000003</v>
      </c>
      <c r="G17" s="143">
        <v>44287</v>
      </c>
    </row>
    <row r="18" spans="2:7" x14ac:dyDescent="0.2">
      <c r="B18" s="142">
        <f t="shared" si="0"/>
        <v>13</v>
      </c>
      <c r="C18" s="144" t="s">
        <v>258</v>
      </c>
      <c r="D18" s="347">
        <v>0.39840470874771722</v>
      </c>
      <c r="E18" s="250">
        <v>2.7</v>
      </c>
      <c r="F18" s="252">
        <v>0.14799999999999999</v>
      </c>
      <c r="G18" s="143">
        <v>44470</v>
      </c>
    </row>
    <row r="19" spans="2:7" x14ac:dyDescent="0.2">
      <c r="B19" s="142">
        <f t="shared" si="0"/>
        <v>14</v>
      </c>
      <c r="C19" s="144" t="s">
        <v>259</v>
      </c>
      <c r="D19" s="250">
        <v>1.02</v>
      </c>
      <c r="E19" s="250">
        <v>10.24</v>
      </c>
      <c r="F19" s="252">
        <v>0.1</v>
      </c>
      <c r="G19" s="143">
        <v>44926</v>
      </c>
    </row>
    <row r="20" spans="2:7" x14ac:dyDescent="0.2">
      <c r="B20" s="142">
        <f t="shared" si="0"/>
        <v>15</v>
      </c>
      <c r="C20" s="144" t="s">
        <v>260</v>
      </c>
      <c r="D20" s="250">
        <v>6.93</v>
      </c>
      <c r="E20" s="250">
        <v>69.760000000000005</v>
      </c>
      <c r="F20" s="252">
        <v>9.9000000000000005E-2</v>
      </c>
      <c r="G20" s="143">
        <v>44926</v>
      </c>
    </row>
    <row r="21" spans="2:7" x14ac:dyDescent="0.2">
      <c r="B21" s="142">
        <f t="shared" si="0"/>
        <v>16</v>
      </c>
      <c r="C21" s="144" t="s">
        <v>261</v>
      </c>
      <c r="D21" s="250">
        <v>1.99</v>
      </c>
      <c r="E21" s="250">
        <v>20</v>
      </c>
      <c r="F21" s="252">
        <v>0.1</v>
      </c>
      <c r="G21" s="143">
        <v>44561</v>
      </c>
    </row>
    <row r="22" spans="2:7" x14ac:dyDescent="0.2">
      <c r="B22" s="142">
        <f t="shared" si="0"/>
        <v>17</v>
      </c>
      <c r="C22" s="144" t="s">
        <v>262</v>
      </c>
      <c r="D22" s="250">
        <v>0</v>
      </c>
      <c r="E22" s="250">
        <v>25</v>
      </c>
      <c r="F22" s="252">
        <v>0</v>
      </c>
      <c r="G22" s="143">
        <v>44197</v>
      </c>
    </row>
    <row r="23" spans="2:7" x14ac:dyDescent="0.2">
      <c r="B23" s="142">
        <f t="shared" si="0"/>
        <v>18</v>
      </c>
      <c r="C23" s="144" t="s">
        <v>263</v>
      </c>
      <c r="D23" s="250">
        <v>0</v>
      </c>
      <c r="E23" s="250">
        <v>31.8</v>
      </c>
      <c r="F23" s="252">
        <v>0</v>
      </c>
      <c r="G23" s="143">
        <v>44197</v>
      </c>
    </row>
    <row r="24" spans="2:7" x14ac:dyDescent="0.2">
      <c r="B24" s="142">
        <f t="shared" si="0"/>
        <v>19</v>
      </c>
      <c r="C24" s="144" t="s">
        <v>264</v>
      </c>
      <c r="D24" s="250">
        <v>0</v>
      </c>
      <c r="E24" s="250">
        <v>6.2</v>
      </c>
      <c r="F24" s="252">
        <v>0</v>
      </c>
      <c r="G24" s="143">
        <v>44197</v>
      </c>
    </row>
    <row r="25" spans="2:7" x14ac:dyDescent="0.2">
      <c r="B25" s="142">
        <f t="shared" si="0"/>
        <v>20</v>
      </c>
      <c r="C25" s="144" t="s">
        <v>265</v>
      </c>
      <c r="D25" s="250">
        <v>0</v>
      </c>
      <c r="E25" s="250">
        <v>98</v>
      </c>
      <c r="F25" s="252">
        <v>0</v>
      </c>
      <c r="G25" s="143">
        <v>43831</v>
      </c>
    </row>
    <row r="26" spans="2:7" x14ac:dyDescent="0.2">
      <c r="B26" s="142">
        <f t="shared" si="0"/>
        <v>21</v>
      </c>
      <c r="C26" s="144" t="s">
        <v>266</v>
      </c>
      <c r="D26" s="250">
        <v>0</v>
      </c>
      <c r="E26" s="250">
        <v>36</v>
      </c>
      <c r="F26" s="252">
        <v>0</v>
      </c>
      <c r="G26" s="143">
        <v>44197</v>
      </c>
    </row>
    <row r="27" spans="2:7" x14ac:dyDescent="0.2">
      <c r="B27" s="142">
        <f t="shared" si="0"/>
        <v>22</v>
      </c>
      <c r="C27" s="141" t="s">
        <v>267</v>
      </c>
      <c r="D27" s="250">
        <v>0.39</v>
      </c>
      <c r="E27" s="308">
        <v>1.47</v>
      </c>
      <c r="F27" s="252">
        <v>0.26500000000000001</v>
      </c>
      <c r="G27" s="143">
        <v>44197</v>
      </c>
    </row>
    <row r="28" spans="2:7" x14ac:dyDescent="0.2">
      <c r="B28" s="142">
        <f t="shared" si="0"/>
        <v>23</v>
      </c>
      <c r="C28" s="144" t="s">
        <v>268</v>
      </c>
      <c r="D28" s="308">
        <v>0.35</v>
      </c>
      <c r="E28" s="308">
        <v>1.44</v>
      </c>
      <c r="F28" s="252">
        <v>0.24299999999999999</v>
      </c>
      <c r="G28" s="143">
        <v>44197</v>
      </c>
    </row>
    <row r="29" spans="2:7" x14ac:dyDescent="0.2">
      <c r="B29" s="142"/>
      <c r="C29" s="342"/>
      <c r="D29" s="250"/>
      <c r="E29" s="250"/>
      <c r="F29" s="252"/>
      <c r="G29" s="143"/>
    </row>
    <row r="30" spans="2:7" x14ac:dyDescent="0.2">
      <c r="B30" s="145"/>
      <c r="C30" s="146"/>
      <c r="D30" s="310"/>
      <c r="E30" s="310"/>
      <c r="F30" s="311"/>
      <c r="G30" s="147"/>
    </row>
    <row r="31" spans="2:7" x14ac:dyDescent="0.2">
      <c r="B31" s="247"/>
      <c r="C31" s="141"/>
      <c r="D31" s="141"/>
      <c r="E31" s="141"/>
      <c r="F31" s="248"/>
      <c r="G31" s="141"/>
    </row>
    <row r="32" spans="2:7" x14ac:dyDescent="0.2">
      <c r="B32" s="354" t="s">
        <v>102</v>
      </c>
      <c r="C32" s="355"/>
      <c r="D32" s="148">
        <f>ROUND(SUM(D5:D30),2)</f>
        <v>40.97</v>
      </c>
      <c r="E32" s="148">
        <f>ROUND(SUM(E5:E10),2)</f>
        <v>40</v>
      </c>
      <c r="F32" s="249"/>
      <c r="G32" s="149"/>
    </row>
    <row r="34" spans="2:10" x14ac:dyDescent="0.2">
      <c r="B34" s="334"/>
    </row>
    <row r="35" spans="2:10" ht="15.75" thickBot="1" x14ac:dyDescent="0.3">
      <c r="B35" s="312" t="s">
        <v>241</v>
      </c>
      <c r="C35" s="48"/>
      <c r="D35" s="48"/>
      <c r="E35" s="48"/>
      <c r="F35" s="48"/>
      <c r="G35" s="48"/>
      <c r="I35" s="247"/>
      <c r="J35" s="247"/>
    </row>
    <row r="36" spans="2:10" ht="33.75" customHeight="1" thickBot="1" x14ac:dyDescent="0.3">
      <c r="B36" s="48"/>
      <c r="C36" s="313"/>
      <c r="D36" s="348" t="s">
        <v>218</v>
      </c>
      <c r="E36" s="356" t="s">
        <v>219</v>
      </c>
      <c r="F36" s="357"/>
      <c r="G36" s="48"/>
      <c r="I36" s="247"/>
      <c r="J36" s="247"/>
    </row>
    <row r="37" spans="2:10" ht="15.75" x14ac:dyDescent="0.25">
      <c r="B37" s="48"/>
      <c r="C37" s="315"/>
      <c r="D37" s="316"/>
      <c r="E37" s="317"/>
      <c r="F37" s="318"/>
      <c r="G37" s="48"/>
      <c r="I37" s="247"/>
      <c r="J37" s="247"/>
    </row>
    <row r="38" spans="2:10" ht="16.5" thickBot="1" x14ac:dyDescent="0.3">
      <c r="B38" s="48"/>
      <c r="C38" s="315" t="s">
        <v>220</v>
      </c>
      <c r="D38" s="319" t="s">
        <v>97</v>
      </c>
      <c r="E38" s="320" t="s">
        <v>221</v>
      </c>
      <c r="F38" s="321" t="s">
        <v>222</v>
      </c>
      <c r="G38" s="48"/>
      <c r="I38" s="247"/>
      <c r="J38" s="247"/>
    </row>
    <row r="39" spans="2:10" ht="16.5" thickBot="1" x14ac:dyDescent="0.3">
      <c r="B39" s="48"/>
      <c r="C39" s="322" t="s">
        <v>223</v>
      </c>
      <c r="D39" s="323"/>
      <c r="E39" s="351"/>
      <c r="F39" s="351"/>
      <c r="G39" s="48"/>
      <c r="I39" s="247"/>
      <c r="J39" s="247"/>
    </row>
    <row r="40" spans="2:10" ht="15.75" x14ac:dyDescent="0.25">
      <c r="B40" s="48"/>
      <c r="C40" s="324" t="s">
        <v>224</v>
      </c>
      <c r="D40" s="325">
        <v>0.276998184147358</v>
      </c>
      <c r="E40" s="325">
        <v>0.32688163021800565</v>
      </c>
      <c r="F40" s="326">
        <v>0.3748742320839818</v>
      </c>
      <c r="G40" s="48"/>
      <c r="I40" s="247"/>
      <c r="J40" s="247"/>
    </row>
    <row r="41" spans="2:10" ht="15.75" x14ac:dyDescent="0.25">
      <c r="B41" s="48"/>
      <c r="C41" s="327" t="s">
        <v>225</v>
      </c>
      <c r="D41" s="328">
        <v>0.29290282834110981</v>
      </c>
      <c r="E41" s="328">
        <v>0.35161226356897352</v>
      </c>
      <c r="F41" s="329">
        <v>0.38610470717835482</v>
      </c>
      <c r="G41" s="48"/>
      <c r="I41" s="247"/>
      <c r="J41" s="247"/>
    </row>
    <row r="42" spans="2:10" ht="15.75" x14ac:dyDescent="0.25">
      <c r="B42" s="48"/>
      <c r="C42" s="327" t="s">
        <v>226</v>
      </c>
      <c r="D42" s="328">
        <v>0.32083195838172313</v>
      </c>
      <c r="E42" s="328">
        <v>0.30222943999568985</v>
      </c>
      <c r="F42" s="329">
        <v>0.47590079510968264</v>
      </c>
      <c r="G42" s="48"/>
      <c r="I42" s="247"/>
      <c r="J42" s="247"/>
    </row>
    <row r="43" spans="2:10" ht="15.75" x14ac:dyDescent="0.25">
      <c r="B43" s="48"/>
      <c r="C43" s="327" t="s">
        <v>227</v>
      </c>
      <c r="D43" s="328">
        <v>0.25370162731981039</v>
      </c>
      <c r="E43" s="328">
        <v>0.3269329984960806</v>
      </c>
      <c r="F43" s="329">
        <v>0.34284314517526121</v>
      </c>
      <c r="G43" s="48"/>
      <c r="I43" s="247"/>
      <c r="J43" s="247"/>
    </row>
    <row r="44" spans="2:10" ht="16.5" thickBot="1" x14ac:dyDescent="0.3">
      <c r="B44" s="48"/>
      <c r="C44" s="330" t="s">
        <v>228</v>
      </c>
      <c r="D44" s="331">
        <v>0.29507163670594933</v>
      </c>
      <c r="E44" s="331">
        <v>0.31403713524649896</v>
      </c>
      <c r="F44" s="332">
        <v>0.43352175240315316</v>
      </c>
      <c r="G44" s="48"/>
      <c r="I44" s="247"/>
      <c r="J44" s="247"/>
    </row>
    <row r="45" spans="2:10" ht="16.5" thickBot="1" x14ac:dyDescent="0.3">
      <c r="B45" s="48"/>
      <c r="C45" s="322" t="s">
        <v>229</v>
      </c>
      <c r="D45" s="333"/>
      <c r="E45" s="351"/>
      <c r="F45" s="351"/>
      <c r="G45" s="48"/>
      <c r="I45" s="247"/>
      <c r="J45" s="247"/>
    </row>
    <row r="46" spans="2:10" ht="15.75" x14ac:dyDescent="0.25">
      <c r="B46" s="48"/>
      <c r="C46" s="324" t="s">
        <v>230</v>
      </c>
      <c r="D46" s="325">
        <v>0.370499999999924</v>
      </c>
      <c r="E46" s="325">
        <v>0.38371436341206699</v>
      </c>
      <c r="F46" s="326">
        <v>0.50123159175460119</v>
      </c>
      <c r="G46" s="48"/>
      <c r="I46" s="247"/>
      <c r="J46" s="247"/>
    </row>
    <row r="47" spans="2:10" ht="15.75" x14ac:dyDescent="0.25">
      <c r="B47" s="48"/>
      <c r="C47" s="327" t="s">
        <v>231</v>
      </c>
      <c r="D47" s="328">
        <v>0.3704999972025832</v>
      </c>
      <c r="E47" s="328">
        <v>0.76725997778638377</v>
      </c>
      <c r="F47" s="329">
        <v>0.43768248683149708</v>
      </c>
      <c r="G47" s="48"/>
      <c r="I47" s="247"/>
      <c r="J47" s="247"/>
    </row>
    <row r="48" spans="2:10" ht="15.75" x14ac:dyDescent="0.25">
      <c r="B48" s="48"/>
      <c r="C48" s="327" t="s">
        <v>232</v>
      </c>
      <c r="D48" s="328">
        <v>0.29454999999999887</v>
      </c>
      <c r="E48" s="328">
        <v>0.37203643343500969</v>
      </c>
      <c r="F48" s="329">
        <v>0.44488002602988508</v>
      </c>
      <c r="G48" s="48"/>
      <c r="I48" s="247"/>
      <c r="J48" s="247"/>
    </row>
    <row r="49" spans="2:10" ht="15.75" x14ac:dyDescent="0.25">
      <c r="B49" s="48"/>
      <c r="C49" s="327" t="s">
        <v>233</v>
      </c>
      <c r="D49" s="328">
        <v>0.37049999924587024</v>
      </c>
      <c r="E49" s="328">
        <v>0.76028737403417868</v>
      </c>
      <c r="F49" s="329">
        <v>0.44161681787818619</v>
      </c>
      <c r="G49" s="48"/>
      <c r="I49" s="247"/>
      <c r="J49" s="247"/>
    </row>
    <row r="50" spans="2:10" ht="16.5" thickBot="1" x14ac:dyDescent="0.3">
      <c r="B50" s="48"/>
      <c r="C50" s="330" t="s">
        <v>234</v>
      </c>
      <c r="D50" s="331">
        <v>0.43619999999869058</v>
      </c>
      <c r="E50" s="331">
        <v>0.31972044871430383</v>
      </c>
      <c r="F50" s="332">
        <v>0.57730421355365336</v>
      </c>
      <c r="G50" s="48"/>
      <c r="I50" s="247"/>
      <c r="J50" s="247"/>
    </row>
    <row r="51" spans="2:10" x14ac:dyDescent="0.2">
      <c r="B51" s="247"/>
      <c r="C51" s="247"/>
      <c r="D51" s="247"/>
      <c r="E51" s="247"/>
      <c r="F51" s="247"/>
      <c r="G51" s="247"/>
      <c r="H51" s="247"/>
      <c r="I51" s="247"/>
      <c r="J51" s="247"/>
    </row>
    <row r="52" spans="2:10" x14ac:dyDescent="0.2">
      <c r="B52" s="247"/>
      <c r="C52" s="247"/>
      <c r="D52" s="247"/>
      <c r="E52" s="247"/>
      <c r="F52" s="247"/>
      <c r="G52" s="247"/>
      <c r="H52" s="247"/>
      <c r="I52" s="247"/>
      <c r="J52" s="247"/>
    </row>
    <row r="53" spans="2:10" ht="15.75" thickBot="1" x14ac:dyDescent="0.3">
      <c r="B53" s="312" t="s">
        <v>235</v>
      </c>
      <c r="C53" s="48"/>
      <c r="D53" s="48"/>
      <c r="E53" s="48"/>
      <c r="F53" s="48"/>
      <c r="G53" s="48"/>
      <c r="I53" s="247"/>
      <c r="J53" s="247"/>
    </row>
    <row r="54" spans="2:10" ht="36" customHeight="1" thickBot="1" x14ac:dyDescent="0.3">
      <c r="B54" s="48"/>
      <c r="C54" s="313"/>
      <c r="D54" s="314" t="s">
        <v>218</v>
      </c>
      <c r="E54" s="356" t="s">
        <v>219</v>
      </c>
      <c r="F54" s="357"/>
      <c r="G54" s="48"/>
      <c r="I54" s="247"/>
      <c r="J54" s="247"/>
    </row>
    <row r="55" spans="2:10" ht="15.75" x14ac:dyDescent="0.25">
      <c r="B55" s="48"/>
      <c r="C55" s="315"/>
      <c r="D55" s="316"/>
      <c r="E55" s="317"/>
      <c r="F55" s="318"/>
      <c r="G55" s="48"/>
      <c r="I55" s="247"/>
      <c r="J55" s="247"/>
    </row>
    <row r="56" spans="2:10" ht="16.5" thickBot="1" x14ac:dyDescent="0.3">
      <c r="B56" s="48"/>
      <c r="C56" s="315" t="s">
        <v>220</v>
      </c>
      <c r="D56" s="319" t="s">
        <v>97</v>
      </c>
      <c r="E56" s="320" t="s">
        <v>221</v>
      </c>
      <c r="F56" s="321" t="s">
        <v>222</v>
      </c>
      <c r="G56" s="48"/>
      <c r="I56" s="247"/>
      <c r="J56" s="247"/>
    </row>
    <row r="57" spans="2:10" ht="16.5" thickBot="1" x14ac:dyDescent="0.3">
      <c r="B57" s="48"/>
      <c r="C57" s="322" t="s">
        <v>33</v>
      </c>
      <c r="D57" s="323"/>
      <c r="E57" s="351"/>
      <c r="F57" s="351"/>
      <c r="G57" s="48"/>
      <c r="I57" s="247"/>
      <c r="J57" s="247"/>
    </row>
    <row r="58" spans="2:10" ht="15.75" x14ac:dyDescent="0.25">
      <c r="B58" s="48"/>
      <c r="C58" s="324" t="s">
        <v>224</v>
      </c>
      <c r="D58" s="325">
        <v>0.276998184147358</v>
      </c>
      <c r="E58" s="325">
        <v>0.12395418523683388</v>
      </c>
      <c r="F58" s="326">
        <v>0.12839362222535991</v>
      </c>
      <c r="G58" s="48"/>
      <c r="I58" s="247"/>
      <c r="J58" s="247"/>
    </row>
    <row r="59" spans="2:10" ht="15.75" x14ac:dyDescent="0.25">
      <c r="B59" s="48"/>
      <c r="C59" s="327" t="s">
        <v>225</v>
      </c>
      <c r="D59" s="328">
        <v>0.29290282834110981</v>
      </c>
      <c r="E59" s="328">
        <v>0.14868481858780172</v>
      </c>
      <c r="F59" s="329">
        <v>0.13962409731973294</v>
      </c>
      <c r="G59" s="48"/>
      <c r="I59" s="247"/>
      <c r="J59" s="247"/>
    </row>
    <row r="60" spans="2:10" ht="15.75" x14ac:dyDescent="0.25">
      <c r="B60" s="48"/>
      <c r="C60" s="327" t="s">
        <v>226</v>
      </c>
      <c r="D60" s="328">
        <v>0.32083195838172313</v>
      </c>
      <c r="E60" s="328">
        <v>9.930199501451803E-2</v>
      </c>
      <c r="F60" s="329">
        <v>0.22942018525106078</v>
      </c>
      <c r="G60" s="48"/>
      <c r="I60" s="247"/>
      <c r="J60" s="247"/>
    </row>
    <row r="61" spans="2:10" ht="15.75" x14ac:dyDescent="0.25">
      <c r="B61" s="48"/>
      <c r="C61" s="327" t="s">
        <v>227</v>
      </c>
      <c r="D61" s="328">
        <v>0.25370162731981039</v>
      </c>
      <c r="E61" s="328">
        <v>0.12400555351490881</v>
      </c>
      <c r="F61" s="329">
        <v>9.6362535316639311E-2</v>
      </c>
      <c r="G61" s="48"/>
      <c r="I61" s="247"/>
      <c r="J61" s="247"/>
    </row>
    <row r="62" spans="2:10" ht="16.5" thickBot="1" x14ac:dyDescent="0.3">
      <c r="B62" s="48"/>
      <c r="C62" s="330" t="s">
        <v>228</v>
      </c>
      <c r="D62" s="331">
        <v>0.29507163670594933</v>
      </c>
      <c r="E62" s="331">
        <v>0.11110969026532717</v>
      </c>
      <c r="F62" s="332">
        <v>0.1870411425445313</v>
      </c>
      <c r="G62" s="48"/>
      <c r="I62" s="247"/>
      <c r="J62" s="247"/>
    </row>
    <row r="63" spans="2:10" ht="16.5" thickBot="1" x14ac:dyDescent="0.3">
      <c r="B63" s="48"/>
      <c r="C63" s="322" t="s">
        <v>31</v>
      </c>
      <c r="D63" s="333"/>
      <c r="E63" s="351"/>
      <c r="F63" s="351"/>
      <c r="G63" s="48"/>
      <c r="I63" s="247"/>
      <c r="J63" s="247"/>
    </row>
    <row r="64" spans="2:10" ht="15.75" x14ac:dyDescent="0.25">
      <c r="B64" s="48"/>
      <c r="C64" s="324" t="s">
        <v>230</v>
      </c>
      <c r="D64" s="325">
        <v>0.370499999999924</v>
      </c>
      <c r="E64" s="325">
        <v>0.19110185946338937</v>
      </c>
      <c r="F64" s="326">
        <v>0.27182226875308646</v>
      </c>
      <c r="G64" s="48"/>
      <c r="I64" s="247"/>
      <c r="J64" s="247"/>
    </row>
    <row r="65" spans="2:10" ht="15.75" x14ac:dyDescent="0.25">
      <c r="B65" s="48"/>
      <c r="C65" s="327" t="s">
        <v>231</v>
      </c>
      <c r="D65" s="328">
        <v>0.3704999972025832</v>
      </c>
      <c r="E65" s="328">
        <v>0.5746474738377062</v>
      </c>
      <c r="F65" s="329">
        <v>0.20827316382998237</v>
      </c>
      <c r="G65" s="48"/>
      <c r="I65" s="247"/>
      <c r="J65" s="247"/>
    </row>
    <row r="66" spans="2:10" ht="15.75" x14ac:dyDescent="0.25">
      <c r="B66" s="48"/>
      <c r="C66" s="327" t="s">
        <v>232</v>
      </c>
      <c r="D66" s="328">
        <v>0.29454999999999887</v>
      </c>
      <c r="E66" s="328">
        <v>0.17942392948633207</v>
      </c>
      <c r="F66" s="329">
        <v>0.21547070302837035</v>
      </c>
      <c r="G66" s="48"/>
      <c r="I66" s="247"/>
      <c r="J66" s="247"/>
    </row>
    <row r="67" spans="2:10" ht="15.75" x14ac:dyDescent="0.25">
      <c r="B67" s="48"/>
      <c r="C67" s="327" t="s">
        <v>233</v>
      </c>
      <c r="D67" s="328">
        <v>0.37049999924587024</v>
      </c>
      <c r="E67" s="328">
        <v>0.5676748700855011</v>
      </c>
      <c r="F67" s="329">
        <v>0.21220749487667145</v>
      </c>
      <c r="G67" s="48"/>
      <c r="I67" s="247"/>
      <c r="J67" s="247"/>
    </row>
    <row r="68" spans="2:10" ht="16.5" thickBot="1" x14ac:dyDescent="0.3">
      <c r="B68" s="48"/>
      <c r="C68" s="330" t="s">
        <v>234</v>
      </c>
      <c r="D68" s="331">
        <v>0.43619999999869058</v>
      </c>
      <c r="E68" s="331">
        <v>0.1271079447656262</v>
      </c>
      <c r="F68" s="332">
        <v>0.34789489055213862</v>
      </c>
      <c r="G68" s="48"/>
      <c r="I68" s="247"/>
      <c r="J68" s="247"/>
    </row>
    <row r="69" spans="2:10" ht="16.5" thickBot="1" x14ac:dyDescent="0.3">
      <c r="B69" s="48"/>
      <c r="C69" s="322" t="s">
        <v>236</v>
      </c>
      <c r="D69" s="333"/>
      <c r="E69" s="333"/>
      <c r="F69" s="333"/>
      <c r="G69" s="48"/>
      <c r="I69" s="247"/>
      <c r="J69" s="247"/>
    </row>
    <row r="70" spans="2:10" ht="15.75" x14ac:dyDescent="0.25">
      <c r="B70" s="48"/>
      <c r="C70" s="324" t="s">
        <v>237</v>
      </c>
      <c r="D70" s="325"/>
      <c r="E70" s="325">
        <v>0.77831046931407943</v>
      </c>
      <c r="F70" s="326">
        <v>0.89032258064516134</v>
      </c>
      <c r="G70" s="48"/>
      <c r="I70" s="247"/>
      <c r="J70" s="247"/>
    </row>
    <row r="71" spans="2:10" ht="15.75" x14ac:dyDescent="0.25">
      <c r="B71" s="48"/>
      <c r="C71" s="327" t="s">
        <v>238</v>
      </c>
      <c r="D71" s="328"/>
      <c r="E71" s="328">
        <v>0.93926353790613726</v>
      </c>
      <c r="F71" s="329">
        <v>1</v>
      </c>
      <c r="G71" s="48"/>
      <c r="I71" s="247"/>
      <c r="J71" s="247"/>
    </row>
    <row r="72" spans="2:10" ht="16.5" thickBot="1" x14ac:dyDescent="0.3">
      <c r="B72" s="48"/>
      <c r="C72" s="330" t="s">
        <v>239</v>
      </c>
      <c r="D72" s="331"/>
      <c r="E72" s="331">
        <v>0.97906137184115527</v>
      </c>
      <c r="F72" s="332">
        <v>1</v>
      </c>
      <c r="G72" s="48"/>
      <c r="I72" s="247"/>
      <c r="J72" s="247"/>
    </row>
  </sheetData>
  <mergeCells count="8">
    <mergeCell ref="E57:F57"/>
    <mergeCell ref="E63:F63"/>
    <mergeCell ref="B2:G2"/>
    <mergeCell ref="B32:C32"/>
    <mergeCell ref="E36:F36"/>
    <mergeCell ref="E39:F39"/>
    <mergeCell ref="E45:F45"/>
    <mergeCell ref="E54:F54"/>
  </mergeCells>
  <conditionalFormatting sqref="E29">
    <cfRule type="expression" dxfId="21" priority="33">
      <formula>AND(ISLOGICAL(#REF!),#REF!=FALSE)</formula>
    </cfRule>
  </conditionalFormatting>
  <conditionalFormatting sqref="B29">
    <cfRule type="expression" dxfId="20" priority="34">
      <formula>AND(#REF!&gt;0,$O29=1)</formula>
    </cfRule>
  </conditionalFormatting>
  <conditionalFormatting sqref="E15:E18">
    <cfRule type="expression" dxfId="19" priority="30">
      <formula>AND(ISLOGICAL(#REF!),#REF!=FALSE)</formula>
    </cfRule>
  </conditionalFormatting>
  <conditionalFormatting sqref="E11">
    <cfRule type="expression" dxfId="18" priority="29">
      <formula>AND(ISLOGICAL(#REF!),#REF!=FALSE)</formula>
    </cfRule>
  </conditionalFormatting>
  <conditionalFormatting sqref="E20:E26 E6:E10">
    <cfRule type="expression" dxfId="17" priority="27">
      <formula>AND(ISLOGICAL(#REF!),#REF!=FALSE)</formula>
    </cfRule>
  </conditionalFormatting>
  <conditionalFormatting sqref="B6:B10">
    <cfRule type="expression" dxfId="16" priority="31">
      <formula>AND(#REF!&gt;0,$O6=1)</formula>
    </cfRule>
  </conditionalFormatting>
  <conditionalFormatting sqref="E21">
    <cfRule type="expression" dxfId="15" priority="19">
      <formula>AND(ISLOGICAL(#REF!),#REF!=FALSE)</formula>
    </cfRule>
  </conditionalFormatting>
  <conditionalFormatting sqref="G29">
    <cfRule type="expression" dxfId="14" priority="14">
      <formula>AND(ISLOGICAL(#REF!),#REF!=FALSE)</formula>
    </cfRule>
  </conditionalFormatting>
  <conditionalFormatting sqref="G29">
    <cfRule type="expression" dxfId="13" priority="13">
      <formula>AND(ISLOGICAL(#REF!),#REF!=FALSE)</formula>
    </cfRule>
  </conditionalFormatting>
  <conditionalFormatting sqref="G6:G13">
    <cfRule type="expression" dxfId="12" priority="12">
      <formula>AND(ISLOGICAL(#REF!),#REF!=FALSE)</formula>
    </cfRule>
  </conditionalFormatting>
  <conditionalFormatting sqref="G6:G13">
    <cfRule type="expression" dxfId="11" priority="11">
      <formula>AND(ISLOGICAL(#REF!),#REF!=FALSE)</formula>
    </cfRule>
  </conditionalFormatting>
  <conditionalFormatting sqref="G20:G26">
    <cfRule type="expression" dxfId="10" priority="10">
      <formula>AND(ISLOGICAL(#REF!),#REF!=FALSE)</formula>
    </cfRule>
  </conditionalFormatting>
  <conditionalFormatting sqref="G20:G26">
    <cfRule type="expression" dxfId="9" priority="9">
      <formula>AND(ISLOGICAL(#REF!),#REF!=FALSE)</formula>
    </cfRule>
  </conditionalFormatting>
  <conditionalFormatting sqref="G14">
    <cfRule type="expression" dxfId="8" priority="8">
      <formula>AND(ISLOGICAL(#REF!),#REF!=FALSE)</formula>
    </cfRule>
  </conditionalFormatting>
  <conditionalFormatting sqref="G14">
    <cfRule type="expression" dxfId="7" priority="7">
      <formula>AND(ISLOGICAL(#REF!),#REF!=FALSE)</formula>
    </cfRule>
  </conditionalFormatting>
  <conditionalFormatting sqref="G15:G18">
    <cfRule type="expression" dxfId="6" priority="6">
      <formula>AND(ISLOGICAL(#REF!),#REF!=FALSE)</formula>
    </cfRule>
  </conditionalFormatting>
  <conditionalFormatting sqref="G15:G18">
    <cfRule type="expression" dxfId="5" priority="5">
      <formula>AND(ISLOGICAL(#REF!),#REF!=FALSE)</formula>
    </cfRule>
  </conditionalFormatting>
  <conditionalFormatting sqref="G21">
    <cfRule type="expression" dxfId="4" priority="4">
      <formula>AND(ISLOGICAL(#REF!),#REF!=FALSE)</formula>
    </cfRule>
  </conditionalFormatting>
  <conditionalFormatting sqref="G21">
    <cfRule type="expression" dxfId="3" priority="3">
      <formula>AND(ISLOGICAL(#REF!),#REF!=FALSE)</formula>
    </cfRule>
  </conditionalFormatting>
  <conditionalFormatting sqref="G27:G28">
    <cfRule type="expression" dxfId="2" priority="2">
      <formula>AND(ISLOGICAL(#REF!),#REF!=FALSE)</formula>
    </cfRule>
  </conditionalFormatting>
  <conditionalFormatting sqref="G27:G28">
    <cfRule type="expression" dxfId="1" priority="1">
      <formula>AND(ISLOGICAL(#REF!),#REF!=FALSE)</formula>
    </cfRule>
  </conditionalFormatting>
  <conditionalFormatting sqref="B5 B11:B28">
    <cfRule type="expression" dxfId="0" priority="35">
      <formula>AND($E5&gt;0,$O5=1)</formula>
    </cfRule>
  </conditionalFormatting>
  <printOptions horizontalCentered="1"/>
  <pageMargins left="0.25" right="0.25" top="0.75" bottom="0.75" header="0.3" footer="0.3"/>
  <pageSetup scale="51" orientation="portrait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60"/>
  <sheetViews>
    <sheetView showGridLines="0" tabSelected="1" view="pageBreakPreview" zoomScale="80" zoomScaleNormal="80" zoomScaleSheetLayoutView="80" workbookViewId="0">
      <selection activeCell="D5" sqref="D5"/>
    </sheetView>
  </sheetViews>
  <sheetFormatPr defaultColWidth="9.33203125" defaultRowHeight="12.75" x14ac:dyDescent="0.2"/>
  <cols>
    <col min="1" max="1" width="1.6640625" style="64" customWidth="1"/>
    <col min="2" max="2" width="22.5" style="64" customWidth="1"/>
    <col min="3" max="3" width="10.6640625" style="64" customWidth="1"/>
    <col min="4" max="4" width="12.83203125" style="64" customWidth="1"/>
    <col min="5" max="5" width="10.33203125" style="64" customWidth="1"/>
    <col min="6" max="6" width="9.33203125" style="64" customWidth="1"/>
    <col min="7" max="7" width="12.83203125" style="64" customWidth="1"/>
    <col min="8" max="8" width="11.5" style="64" customWidth="1"/>
    <col min="9" max="9" width="9.33203125" style="64" customWidth="1"/>
    <col min="10" max="10" width="12.83203125" style="64" customWidth="1"/>
    <col min="11" max="11" width="10.5" style="64" customWidth="1"/>
    <col min="12" max="12" width="8.83203125" style="64" customWidth="1"/>
    <col min="13" max="13" width="12.83203125" style="64" customWidth="1"/>
    <col min="14" max="14" width="9.5" style="64" customWidth="1"/>
    <col min="15" max="15" width="4.5" style="64" customWidth="1"/>
    <col min="16" max="16384" width="9.33203125" style="64"/>
  </cols>
  <sheetData>
    <row r="1" spans="2:19" s="4" customFormat="1" ht="15.75" x14ac:dyDescent="0.25">
      <c r="B1" s="1" t="s">
        <v>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3"/>
    </row>
    <row r="2" spans="2:19" s="6" customFormat="1" ht="15" x14ac:dyDescent="0.25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pans="2:19" s="6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3"/>
    </row>
    <row r="4" spans="2:19" x14ac:dyDescent="0.2">
      <c r="C4" s="131" t="s">
        <v>71</v>
      </c>
      <c r="D4" s="132"/>
      <c r="E4" s="132"/>
      <c r="F4" s="131" t="s">
        <v>72</v>
      </c>
      <c r="G4" s="132"/>
      <c r="H4" s="132"/>
      <c r="I4" s="131" t="s">
        <v>73</v>
      </c>
      <c r="J4" s="132"/>
      <c r="K4" s="132"/>
      <c r="L4" s="131" t="s">
        <v>74</v>
      </c>
      <c r="M4" s="132"/>
      <c r="N4" s="132"/>
      <c r="O4" s="43"/>
    </row>
    <row r="5" spans="2:19" x14ac:dyDescent="0.2">
      <c r="B5" s="43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43"/>
    </row>
    <row r="6" spans="2:19" ht="38.25" x14ac:dyDescent="0.2">
      <c r="B6" s="130"/>
      <c r="C6" s="98" t="s">
        <v>119</v>
      </c>
      <c r="D6" s="182" t="s">
        <v>11</v>
      </c>
      <c r="E6" s="181" t="s">
        <v>120</v>
      </c>
      <c r="F6" s="98" t="s">
        <v>119</v>
      </c>
      <c r="G6" s="182" t="s">
        <v>11</v>
      </c>
      <c r="H6" s="181" t="s">
        <v>120</v>
      </c>
      <c r="I6" s="98" t="s">
        <v>119</v>
      </c>
      <c r="J6" s="182" t="s">
        <v>11</v>
      </c>
      <c r="K6" s="181" t="s">
        <v>120</v>
      </c>
      <c r="L6" s="98" t="s">
        <v>119</v>
      </c>
      <c r="M6" s="182" t="s">
        <v>11</v>
      </c>
      <c r="N6" s="181" t="s">
        <v>120</v>
      </c>
      <c r="O6" s="43"/>
    </row>
    <row r="7" spans="2:19" hidden="1" x14ac:dyDescent="0.2">
      <c r="B7" s="111"/>
      <c r="C7" s="183" t="s">
        <v>12</v>
      </c>
      <c r="D7" s="184" t="s">
        <v>12</v>
      </c>
      <c r="E7" s="182"/>
      <c r="F7" s="183" t="s">
        <v>12</v>
      </c>
      <c r="G7" s="184" t="s">
        <v>12</v>
      </c>
      <c r="H7" s="182"/>
      <c r="I7" s="183" t="s">
        <v>12</v>
      </c>
      <c r="J7" s="184" t="s">
        <v>12</v>
      </c>
      <c r="K7" s="182"/>
      <c r="L7" s="183" t="s">
        <v>12</v>
      </c>
      <c r="M7" s="184" t="s">
        <v>12</v>
      </c>
      <c r="N7" s="182"/>
      <c r="O7" s="43"/>
    </row>
    <row r="8" spans="2:19" x14ac:dyDescent="0.2">
      <c r="B8" s="111" t="s">
        <v>0</v>
      </c>
      <c r="C8" s="98" t="s">
        <v>17</v>
      </c>
      <c r="D8" s="182" t="s">
        <v>17</v>
      </c>
      <c r="E8" s="182" t="s">
        <v>17</v>
      </c>
      <c r="F8" s="98" t="s">
        <v>17</v>
      </c>
      <c r="G8" s="182" t="s">
        <v>17</v>
      </c>
      <c r="H8" s="182" t="s">
        <v>17</v>
      </c>
      <c r="I8" s="98" t="s">
        <v>17</v>
      </c>
      <c r="J8" s="182" t="s">
        <v>17</v>
      </c>
      <c r="K8" s="182" t="s">
        <v>17</v>
      </c>
      <c r="L8" s="98" t="s">
        <v>17</v>
      </c>
      <c r="M8" s="182" t="s">
        <v>17</v>
      </c>
      <c r="N8" s="182" t="s">
        <v>17</v>
      </c>
      <c r="O8" s="43"/>
    </row>
    <row r="9" spans="2:19" x14ac:dyDescent="0.2">
      <c r="B9" s="201"/>
      <c r="C9" s="202" t="s">
        <v>1</v>
      </c>
      <c r="D9" s="203" t="s">
        <v>2</v>
      </c>
      <c r="E9" s="203" t="s">
        <v>3</v>
      </c>
      <c r="F9" s="200" t="s">
        <v>4</v>
      </c>
      <c r="G9" s="203" t="s">
        <v>111</v>
      </c>
      <c r="H9" s="203" t="s">
        <v>112</v>
      </c>
      <c r="I9" s="200" t="s">
        <v>113</v>
      </c>
      <c r="J9" s="200" t="s">
        <v>114</v>
      </c>
      <c r="K9" s="200" t="s">
        <v>115</v>
      </c>
      <c r="L9" s="200" t="s">
        <v>116</v>
      </c>
      <c r="M9" s="200" t="s">
        <v>117</v>
      </c>
      <c r="N9" s="242" t="s">
        <v>118</v>
      </c>
      <c r="O9" s="43"/>
    </row>
    <row r="10" spans="2:19" s="16" customFormat="1" x14ac:dyDescent="0.2">
      <c r="B10" s="189"/>
      <c r="C10" s="185"/>
      <c r="D10" s="185"/>
      <c r="E10" s="192" t="str">
        <f>C9&amp;" - "&amp;D9</f>
        <v>(a) - (b)</v>
      </c>
      <c r="F10" s="186"/>
      <c r="G10" s="185"/>
      <c r="H10" s="192" t="str">
        <f>F9&amp;" - "&amp;G9</f>
        <v>(d) - (e)</v>
      </c>
      <c r="I10" s="186"/>
      <c r="J10" s="185"/>
      <c r="K10" s="192" t="str">
        <f>I9&amp;" - "&amp;J9</f>
        <v>(g) - (h)</v>
      </c>
      <c r="L10" s="186"/>
      <c r="M10" s="185"/>
      <c r="N10" s="243" t="str">
        <f>L9&amp;" - "&amp;M9</f>
        <v>(j) - (k)</v>
      </c>
      <c r="O10" s="187"/>
    </row>
    <row r="11" spans="2:19" x14ac:dyDescent="0.2">
      <c r="B11" s="188"/>
      <c r="C11" s="112"/>
      <c r="D11" s="112"/>
      <c r="E11" s="112"/>
      <c r="F11" s="113"/>
      <c r="G11" s="112"/>
      <c r="H11" s="112"/>
      <c r="I11" s="113"/>
      <c r="J11" s="112"/>
      <c r="K11" s="112"/>
      <c r="L11" s="113"/>
      <c r="M11" s="112"/>
      <c r="N11" s="244"/>
      <c r="O11" s="43"/>
    </row>
    <row r="12" spans="2:19" x14ac:dyDescent="0.2">
      <c r="B12" s="190">
        <v>2021</v>
      </c>
      <c r="C12" s="115">
        <f>($D$47*INDEX('Tariff Page'!$D$9:$D$30,MATCH($B12,'Tariff Page'!$B$9:$B$30,0))+$D$48*INDEX('Tariff Page'!$C$9:$C$30,MATCH($B12,'Tariff Page'!$B$9:$B$30,0))+$D$49*INDEX('Tariff Page'!$F$9:$F$30,MATCH($B12,'Tariff Page'!$B$9:$B$30,0))+$D$50*INDEX('Tariff Page'!$E$9:$E$30,MATCH($B12,'Tariff Page'!$B$9:$B$30,0)))*10</f>
        <v>23.867151768587526</v>
      </c>
      <c r="D12" s="115">
        <v>16.701834793441574</v>
      </c>
      <c r="E12" s="116">
        <f t="shared" ref="E12:E29" si="0">C12-D12</f>
        <v>7.1653169751459522</v>
      </c>
      <c r="F12" s="117">
        <f>($G$47*INDEX('Tariff Page Wind'!$D$9:$D$32,MATCH($B12,'Tariff Page Wind'!$B$9:$B$32,0))+$G$48*INDEX('Tariff Page Wind'!$C$9:$C$32,MATCH($B12,'Tariff Page Wind'!$B$9:$B$32,0))+$G$49*INDEX('Tariff Page Wind'!$F$9:$F$32,MATCH($B12,'Tariff Page Wind'!$B$9:$B$32,0))+$G$50*INDEX('Tariff Page Wind'!$E$9:$E$32,MATCH($B12,'Tariff Page Wind'!$B$9:$B$32,0)))*10</f>
        <v>21.353048171392743</v>
      </c>
      <c r="G12" s="115">
        <v>13.251350987410044</v>
      </c>
      <c r="H12" s="116">
        <f t="shared" ref="H12:H29" si="1">F12-G12</f>
        <v>8.101697183982699</v>
      </c>
      <c r="I12" s="117">
        <f>($J$47*INDEX('Tariff Page Solar Fixed'!$D$9:$D$31,MATCH($B12,'Tariff Page Solar Fixed'!$B$9:$B$31,0))+$J$48*INDEX('Tariff Page Solar Fixed'!$C$9:$C$31,MATCH($B12,'Tariff Page Solar Fixed'!$B$9:$B$31,0))+$J$49*INDEX('Tariff Page Solar Fixed'!$F$9:$F$31,MATCH($B12,'Tariff Page Solar Fixed'!$B$9:$B$31,0))+$J$50*INDEX('Tariff Page Solar Fixed'!$E$9:$E$31,MATCH($B12,'Tariff Page Solar Fixed'!$B$9:$B$31,0)))*10</f>
        <v>18.022131490144751</v>
      </c>
      <c r="J12" s="115">
        <v>13.02310281467083</v>
      </c>
      <c r="K12" s="116">
        <f t="shared" ref="K12:K29" si="2">I12-J12</f>
        <v>4.9990286754739213</v>
      </c>
      <c r="L12" s="117">
        <f>($M$47*INDEX('Tariff Page Solar Tracking'!$D$9:$D$31,MATCH($B12,'Tariff Page Solar Tracking'!$B$9:$B$31,0))+$M$48*INDEX('Tariff Page Solar Tracking'!$C$9:$C$31,MATCH($B12,'Tariff Page Solar Tracking'!$B$9:$B$31,0))+$M$49*INDEX('Tariff Page Solar Tracking'!$F$9:$F$31,MATCH($B12,'Tariff Page Solar Tracking'!$B$9:$B$31,0))+$M$50*INDEX('Tariff Page Solar Tracking'!$E$9:$E$31,MATCH($B12,'Tariff Page Solar Tracking'!$B$9:$B$31,0)))*10</f>
        <v>18.386368761380762</v>
      </c>
      <c r="M12" s="115">
        <v>13.168382956322924</v>
      </c>
      <c r="N12" s="245">
        <f t="shared" ref="N12:N29" si="3">L12-M12</f>
        <v>5.2179858050578378</v>
      </c>
      <c r="O12" s="43"/>
      <c r="Q12" s="109"/>
      <c r="R12" s="109"/>
      <c r="S12"/>
    </row>
    <row r="13" spans="2:19" s="43" customFormat="1" x14ac:dyDescent="0.2">
      <c r="B13" s="190">
        <f>B12+1</f>
        <v>2022</v>
      </c>
      <c r="C13" s="115">
        <f>($D$47*INDEX('Tariff Page'!$D$9:$D$30,MATCH($B13,'Tariff Page'!$B$9:$B$30,0))+$D$48*INDEX('Tariff Page'!$C$9:$C$30,MATCH($B13,'Tariff Page'!$B$9:$B$30,0))+$D$49*INDEX('Tariff Page'!$F$9:$F$30,MATCH($B13,'Tariff Page'!$B$9:$B$30,0))+$D$50*INDEX('Tariff Page'!$E$9:$E$30,MATCH($B13,'Tariff Page'!$B$9:$B$30,0)))*10</f>
        <v>23.086459458531408</v>
      </c>
      <c r="D13" s="115">
        <v>16.677449041085726</v>
      </c>
      <c r="E13" s="116">
        <f t="shared" si="0"/>
        <v>6.4090104174456819</v>
      </c>
      <c r="F13" s="117">
        <f>($G$47*INDEX('Tariff Page Wind'!$D$9:$D$32,MATCH($B13,'Tariff Page Wind'!$B$9:$B$32,0))+$G$48*INDEX('Tariff Page Wind'!$C$9:$C$32,MATCH($B13,'Tariff Page Wind'!$B$9:$B$32,0))+$G$49*INDEX('Tariff Page Wind'!$F$9:$F$32,MATCH($B13,'Tariff Page Wind'!$B$9:$B$32,0))+$G$50*INDEX('Tariff Page Wind'!$E$9:$E$32,MATCH($B13,'Tariff Page Wind'!$B$9:$B$32,0)))*10</f>
        <v>20.950962667086284</v>
      </c>
      <c r="G13" s="115">
        <v>14.2564520642884</v>
      </c>
      <c r="H13" s="116">
        <f t="shared" si="1"/>
        <v>6.6945106027978838</v>
      </c>
      <c r="I13" s="117">
        <f>($J$47*INDEX('Tariff Page Solar Fixed'!$D$9:$D$31,MATCH($B13,'Tariff Page Solar Fixed'!$B$9:$B$31,0))+$J$48*INDEX('Tariff Page Solar Fixed'!$C$9:$C$31,MATCH($B13,'Tariff Page Solar Fixed'!$B$9:$B$31,0))+$J$49*INDEX('Tariff Page Solar Fixed'!$F$9:$F$31,MATCH($B13,'Tariff Page Solar Fixed'!$B$9:$B$31,0))+$J$50*INDEX('Tariff Page Solar Fixed'!$E$9:$E$31,MATCH($B13,'Tariff Page Solar Fixed'!$B$9:$B$31,0)))*10</f>
        <v>17.674513510508145</v>
      </c>
      <c r="J13" s="115">
        <v>13.767676675242704</v>
      </c>
      <c r="K13" s="116">
        <f t="shared" si="2"/>
        <v>3.906836835265441</v>
      </c>
      <c r="L13" s="117">
        <f>($M$47*INDEX('Tariff Page Solar Tracking'!$D$9:$D$31,MATCH($B13,'Tariff Page Solar Tracking'!$B$9:$B$31,0))+$M$48*INDEX('Tariff Page Solar Tracking'!$C$9:$C$31,MATCH($B13,'Tariff Page Solar Tracking'!$B$9:$B$31,0))+$M$49*INDEX('Tariff Page Solar Tracking'!$F$9:$F$31,MATCH($B13,'Tariff Page Solar Tracking'!$B$9:$B$31,0))+$M$50*INDEX('Tariff Page Solar Tracking'!$E$9:$E$31,MATCH($B13,'Tariff Page Solar Tracking'!$B$9:$B$31,0)))*10</f>
        <v>18.031235769718595</v>
      </c>
      <c r="M13" s="115">
        <v>13.695730846738847</v>
      </c>
      <c r="N13" s="245">
        <f t="shared" si="3"/>
        <v>4.335504922979748</v>
      </c>
      <c r="S13"/>
    </row>
    <row r="14" spans="2:19" x14ac:dyDescent="0.2">
      <c r="B14" s="190">
        <f t="shared" ref="B14:B29" si="4">B13+1</f>
        <v>2023</v>
      </c>
      <c r="C14" s="115">
        <f>($D$47*INDEX('Tariff Page'!$D$9:$D$30,MATCH($B14,'Tariff Page'!$B$9:$B$30,0))+$D$48*INDEX('Tariff Page'!$C$9:$C$30,MATCH($B14,'Tariff Page'!$B$9:$B$30,0))+$D$49*INDEX('Tariff Page'!$F$9:$F$30,MATCH($B14,'Tariff Page'!$B$9:$B$30,0))+$D$50*INDEX('Tariff Page'!$E$9:$E$30,MATCH($B14,'Tariff Page'!$B$9:$B$30,0)))*10</f>
        <v>21.857472119794199</v>
      </c>
      <c r="D14" s="115">
        <v>17.35859566636411</v>
      </c>
      <c r="E14" s="116">
        <f t="shared" si="0"/>
        <v>4.4988764534300891</v>
      </c>
      <c r="F14" s="117">
        <f>($G$47*INDEX('Tariff Page Wind'!$D$9:$D$32,MATCH($B14,'Tariff Page Wind'!$B$9:$B$32,0))+$G$48*INDEX('Tariff Page Wind'!$C$9:$C$32,MATCH($B14,'Tariff Page Wind'!$B$9:$B$32,0))+$G$49*INDEX('Tariff Page Wind'!$F$9:$F$32,MATCH($B14,'Tariff Page Wind'!$B$9:$B$32,0))+$G$50*INDEX('Tariff Page Wind'!$E$9:$E$32,MATCH($B14,'Tariff Page Wind'!$B$9:$B$32,0)))*10</f>
        <v>26.252222097362043</v>
      </c>
      <c r="G14" s="115">
        <v>25.691220205723205</v>
      </c>
      <c r="H14" s="116">
        <f t="shared" si="1"/>
        <v>0.5610018916388384</v>
      </c>
      <c r="I14" s="117">
        <f>($J$47*INDEX('Tariff Page Solar Fixed'!$D$9:$D$31,MATCH($B14,'Tariff Page Solar Fixed'!$B$9:$B$31,0))+$J$48*INDEX('Tariff Page Solar Fixed'!$C$9:$C$31,MATCH($B14,'Tariff Page Solar Fixed'!$B$9:$B$31,0))+$J$49*INDEX('Tariff Page Solar Fixed'!$F$9:$F$31,MATCH($B14,'Tariff Page Solar Fixed'!$B$9:$B$31,0))+$J$50*INDEX('Tariff Page Solar Fixed'!$E$9:$E$31,MATCH($B14,'Tariff Page Solar Fixed'!$B$9:$B$31,0)))*10</f>
        <v>16.859738528765298</v>
      </c>
      <c r="J14" s="115">
        <v>14.274242196430295</v>
      </c>
      <c r="K14" s="116">
        <f t="shared" si="2"/>
        <v>2.5854963323350031</v>
      </c>
      <c r="L14" s="117">
        <f>($M$47*INDEX('Tariff Page Solar Tracking'!$D$9:$D$31,MATCH($B14,'Tariff Page Solar Tracking'!$B$9:$B$31,0))+$M$48*INDEX('Tariff Page Solar Tracking'!$C$9:$C$31,MATCH($B14,'Tariff Page Solar Tracking'!$B$9:$B$31,0))+$M$49*INDEX('Tariff Page Solar Tracking'!$F$9:$F$31,MATCH($B14,'Tariff Page Solar Tracking'!$B$9:$B$31,0))+$M$50*INDEX('Tariff Page Solar Tracking'!$E$9:$E$31,MATCH($B14,'Tariff Page Solar Tracking'!$B$9:$B$31,0)))*10</f>
        <v>17.063731461017248</v>
      </c>
      <c r="M14" s="115">
        <v>14.294538180893397</v>
      </c>
      <c r="N14" s="245">
        <f t="shared" si="3"/>
        <v>2.7691932801238508</v>
      </c>
      <c r="S14"/>
    </row>
    <row r="15" spans="2:19" x14ac:dyDescent="0.2">
      <c r="B15" s="190">
        <f t="shared" si="4"/>
        <v>2024</v>
      </c>
      <c r="C15" s="115">
        <f>($D$47*INDEX('Tariff Page'!$D$9:$D$30,MATCH($B15,'Tariff Page'!$B$9:$B$30,0))+$D$48*INDEX('Tariff Page'!$C$9:$C$30,MATCH($B15,'Tariff Page'!$B$9:$B$30,0))+$D$49*INDEX('Tariff Page'!$F$9:$F$30,MATCH($B15,'Tariff Page'!$B$9:$B$30,0))+$D$50*INDEX('Tariff Page'!$E$9:$E$30,MATCH($B15,'Tariff Page'!$B$9:$B$30,0)))*10</f>
        <v>19.20091400760796</v>
      </c>
      <c r="D15" s="115">
        <v>11.998920088849323</v>
      </c>
      <c r="E15" s="116">
        <f t="shared" si="0"/>
        <v>7.201993918758637</v>
      </c>
      <c r="F15" s="117">
        <f>($G$47*INDEX('Tariff Page Wind'!$D$9:$D$32,MATCH($B15,'Tariff Page Wind'!$B$9:$B$32,0))+$G$48*INDEX('Tariff Page Wind'!$C$9:$C$32,MATCH($B15,'Tariff Page Wind'!$B$9:$B$32,0))+$G$49*INDEX('Tariff Page Wind'!$F$9:$F$32,MATCH($B15,'Tariff Page Wind'!$B$9:$B$32,0))+$G$50*INDEX('Tariff Page Wind'!$E$9:$E$32,MATCH($B15,'Tariff Page Wind'!$B$9:$B$32,0)))*10</f>
        <v>26.917540436670766</v>
      </c>
      <c r="G15" s="115">
        <v>26.912402841740391</v>
      </c>
      <c r="H15" s="116">
        <f t="shared" si="1"/>
        <v>5.1375949303746893E-3</v>
      </c>
      <c r="I15" s="117">
        <f>($J$47*INDEX('Tariff Page Solar Fixed'!$D$9:$D$31,MATCH($B15,'Tariff Page Solar Fixed'!$B$9:$B$31,0))+$J$48*INDEX('Tariff Page Solar Fixed'!$C$9:$C$31,MATCH($B15,'Tariff Page Solar Fixed'!$B$9:$B$31,0))+$J$49*INDEX('Tariff Page Solar Fixed'!$F$9:$F$31,MATCH($B15,'Tariff Page Solar Fixed'!$B$9:$B$31,0))+$J$50*INDEX('Tariff Page Solar Fixed'!$E$9:$E$31,MATCH($B15,'Tariff Page Solar Fixed'!$B$9:$B$31,0)))*10</f>
        <v>12.255169922588625</v>
      </c>
      <c r="J15" s="115">
        <v>9.7722985679100756</v>
      </c>
      <c r="K15" s="116">
        <f t="shared" si="2"/>
        <v>2.482871354678549</v>
      </c>
      <c r="L15" s="117">
        <f>($M$47*INDEX('Tariff Page Solar Tracking'!$D$9:$D$31,MATCH($B15,'Tariff Page Solar Tracking'!$B$9:$B$31,0))+$M$48*INDEX('Tariff Page Solar Tracking'!$C$9:$C$31,MATCH($B15,'Tariff Page Solar Tracking'!$B$9:$B$31,0))+$M$49*INDEX('Tariff Page Solar Tracking'!$F$9:$F$31,MATCH($B15,'Tariff Page Solar Tracking'!$B$9:$B$31,0))+$M$50*INDEX('Tariff Page Solar Tracking'!$E$9:$E$31,MATCH($B15,'Tariff Page Solar Tracking'!$B$9:$B$31,0)))*10</f>
        <v>16.427703288305384</v>
      </c>
      <c r="M15" s="115">
        <v>14.275857837130221</v>
      </c>
      <c r="N15" s="245">
        <f t="shared" si="3"/>
        <v>2.1518454511751628</v>
      </c>
      <c r="S15"/>
    </row>
    <row r="16" spans="2:19" x14ac:dyDescent="0.2">
      <c r="B16" s="190">
        <f t="shared" si="4"/>
        <v>2025</v>
      </c>
      <c r="C16" s="115">
        <f>($D$47*INDEX('Tariff Page'!$D$9:$D$30,MATCH($B16,'Tariff Page'!$B$9:$B$30,0))+$D$48*INDEX('Tariff Page'!$C$9:$C$30,MATCH($B16,'Tariff Page'!$B$9:$B$30,0))+$D$49*INDEX('Tariff Page'!$F$9:$F$30,MATCH($B16,'Tariff Page'!$B$9:$B$30,0))+$D$50*INDEX('Tariff Page'!$E$9:$E$30,MATCH($B16,'Tariff Page'!$B$9:$B$30,0)))*10</f>
        <v>21.311071741123353</v>
      </c>
      <c r="D16" s="115">
        <v>12.981621526362915</v>
      </c>
      <c r="E16" s="116">
        <f t="shared" si="0"/>
        <v>8.3294502147604383</v>
      </c>
      <c r="F16" s="117">
        <f>($G$47*INDEX('Tariff Page Wind'!$D$9:$D$32,MATCH($B16,'Tariff Page Wind'!$B$9:$B$32,0))+$G$48*INDEX('Tariff Page Wind'!$C$9:$C$32,MATCH($B16,'Tariff Page Wind'!$B$9:$B$32,0))+$G$49*INDEX('Tariff Page Wind'!$F$9:$F$32,MATCH($B16,'Tariff Page Wind'!$B$9:$B$32,0))+$G$50*INDEX('Tariff Page Wind'!$E$9:$E$32,MATCH($B16,'Tariff Page Wind'!$B$9:$B$32,0)))*10</f>
        <v>26.807273555290429</v>
      </c>
      <c r="G16" s="115">
        <v>27.132561178649599</v>
      </c>
      <c r="H16" s="116">
        <f t="shared" si="1"/>
        <v>-0.32528762335916994</v>
      </c>
      <c r="I16" s="117">
        <f>($J$47*INDEX('Tariff Page Solar Fixed'!$D$9:$D$31,MATCH($B16,'Tariff Page Solar Fixed'!$B$9:$B$31,0))+$J$48*INDEX('Tariff Page Solar Fixed'!$C$9:$C$31,MATCH($B16,'Tariff Page Solar Fixed'!$B$9:$B$31,0))+$J$49*INDEX('Tariff Page Solar Fixed'!$F$9:$F$31,MATCH($B16,'Tariff Page Solar Fixed'!$B$9:$B$31,0))+$J$50*INDEX('Tariff Page Solar Fixed'!$E$9:$E$31,MATCH($B16,'Tariff Page Solar Fixed'!$B$9:$B$31,0)))*10</f>
        <v>13.566222486063406</v>
      </c>
      <c r="J16" s="115">
        <v>10.383186643726123</v>
      </c>
      <c r="K16" s="116">
        <f t="shared" si="2"/>
        <v>3.1830358423372829</v>
      </c>
      <c r="L16" s="117">
        <f>($M$47*INDEX('Tariff Page Solar Tracking'!$D$9:$D$31,MATCH($B16,'Tariff Page Solar Tracking'!$B$9:$B$31,0))+$M$48*INDEX('Tariff Page Solar Tracking'!$C$9:$C$31,MATCH($B16,'Tariff Page Solar Tracking'!$B$9:$B$31,0))+$M$49*INDEX('Tariff Page Solar Tracking'!$F$9:$F$31,MATCH($B16,'Tariff Page Solar Tracking'!$B$9:$B$31,0))+$M$50*INDEX('Tariff Page Solar Tracking'!$E$9:$E$31,MATCH($B16,'Tariff Page Solar Tracking'!$B$9:$B$31,0)))*10</f>
        <v>17.411029134487002</v>
      </c>
      <c r="M16" s="115">
        <v>14.714296110482367</v>
      </c>
      <c r="N16" s="245">
        <f t="shared" si="3"/>
        <v>2.6967330240046348</v>
      </c>
      <c r="S16"/>
    </row>
    <row r="17" spans="1:19" x14ac:dyDescent="0.2">
      <c r="B17" s="190">
        <f t="shared" si="4"/>
        <v>2026</v>
      </c>
      <c r="C17" s="115">
        <f>($D$47*INDEX('Tariff Page'!$D$9:$D$30,MATCH($B17,'Tariff Page'!$B$9:$B$30,0))+$D$48*INDEX('Tariff Page'!$C$9:$C$30,MATCH($B17,'Tariff Page'!$B$9:$B$30,0))+$D$49*INDEX('Tariff Page'!$F$9:$F$30,MATCH($B17,'Tariff Page'!$B$9:$B$30,0))+$D$50*INDEX('Tariff Page'!$E$9:$E$30,MATCH($B17,'Tariff Page'!$B$9:$B$30,0)))*10</f>
        <v>33.772140523079983</v>
      </c>
      <c r="D17" s="115">
        <v>31.463130089981441</v>
      </c>
      <c r="E17" s="116">
        <f t="shared" si="0"/>
        <v>2.3090104330985426</v>
      </c>
      <c r="F17" s="117">
        <f>($G$47*INDEX('Tariff Page Wind'!$D$9:$D$32,MATCH($B17,'Tariff Page Wind'!$B$9:$B$32,0))+$G$48*INDEX('Tariff Page Wind'!$C$9:$C$32,MATCH($B17,'Tariff Page Wind'!$B$9:$B$32,0))+$G$49*INDEX('Tariff Page Wind'!$F$9:$F$32,MATCH($B17,'Tariff Page Wind'!$B$9:$B$32,0))+$G$50*INDEX('Tariff Page Wind'!$E$9:$E$32,MATCH($B17,'Tariff Page Wind'!$B$9:$B$32,0)))*10</f>
        <v>28.210757919568209</v>
      </c>
      <c r="G17" s="115">
        <v>28.337463582398481</v>
      </c>
      <c r="H17" s="116">
        <f t="shared" si="1"/>
        <v>-0.12670566283027185</v>
      </c>
      <c r="I17" s="117">
        <f>($J$47*INDEX('Tariff Page Solar Fixed'!$D$9:$D$31,MATCH($B17,'Tariff Page Solar Fixed'!$B$9:$B$31,0))+$J$48*INDEX('Tariff Page Solar Fixed'!$C$9:$C$31,MATCH($B17,'Tariff Page Solar Fixed'!$B$9:$B$31,0))+$J$49*INDEX('Tariff Page Solar Fixed'!$F$9:$F$31,MATCH($B17,'Tariff Page Solar Fixed'!$B$9:$B$31,0))+$J$50*INDEX('Tariff Page Solar Fixed'!$E$9:$E$31,MATCH($B17,'Tariff Page Solar Fixed'!$B$9:$B$31,0)))*10</f>
        <v>14.077674148825947</v>
      </c>
      <c r="J17" s="115">
        <v>11.407467699756817</v>
      </c>
      <c r="K17" s="116">
        <f t="shared" si="2"/>
        <v>2.6702064490691306</v>
      </c>
      <c r="L17" s="117">
        <f>($M$47*INDEX('Tariff Page Solar Tracking'!$D$9:$D$31,MATCH($B17,'Tariff Page Solar Tracking'!$B$9:$B$31,0))+$M$48*INDEX('Tariff Page Solar Tracking'!$C$9:$C$31,MATCH($B17,'Tariff Page Solar Tracking'!$B$9:$B$31,0))+$M$49*INDEX('Tariff Page Solar Tracking'!$F$9:$F$31,MATCH($B17,'Tariff Page Solar Tracking'!$B$9:$B$31,0))+$M$50*INDEX('Tariff Page Solar Tracking'!$E$9:$E$31,MATCH($B17,'Tariff Page Solar Tracking'!$B$9:$B$31,0)))*10</f>
        <v>18.132907880570258</v>
      </c>
      <c r="M17" s="115">
        <v>15.893102509891147</v>
      </c>
      <c r="N17" s="245">
        <f t="shared" si="3"/>
        <v>2.239805370679111</v>
      </c>
      <c r="S17"/>
    </row>
    <row r="18" spans="1:19" x14ac:dyDescent="0.2">
      <c r="B18" s="190">
        <f t="shared" si="4"/>
        <v>2027</v>
      </c>
      <c r="C18" s="115">
        <f>($D$47*INDEX('Tariff Page'!$D$9:$D$30,MATCH($B18,'Tariff Page'!$B$9:$B$30,0))+$D$48*INDEX('Tariff Page'!$C$9:$C$30,MATCH($B18,'Tariff Page'!$B$9:$B$30,0))+$D$49*INDEX('Tariff Page'!$F$9:$F$30,MATCH($B18,'Tariff Page'!$B$9:$B$30,0))+$D$50*INDEX('Tariff Page'!$E$9:$E$30,MATCH($B18,'Tariff Page'!$B$9:$B$30,0)))*10</f>
        <v>35.711264550431821</v>
      </c>
      <c r="D18" s="115">
        <v>32.825761146920499</v>
      </c>
      <c r="E18" s="116">
        <f t="shared" si="0"/>
        <v>2.8855034035113221</v>
      </c>
      <c r="F18" s="117">
        <f>($G$47*INDEX('Tariff Page Wind'!$D$9:$D$32,MATCH($B18,'Tariff Page Wind'!$B$9:$B$32,0))+$G$48*INDEX('Tariff Page Wind'!$C$9:$C$32,MATCH($B18,'Tariff Page Wind'!$B$9:$B$32,0))+$G$49*INDEX('Tariff Page Wind'!$F$9:$F$32,MATCH($B18,'Tariff Page Wind'!$B$9:$B$32,0))+$G$50*INDEX('Tariff Page Wind'!$E$9:$E$32,MATCH($B18,'Tariff Page Wind'!$B$9:$B$32,0)))*10</f>
        <v>29.002429001957829</v>
      </c>
      <c r="G18" s="115">
        <v>28.906375606029687</v>
      </c>
      <c r="H18" s="116">
        <f t="shared" si="1"/>
        <v>9.6053395928141327E-2</v>
      </c>
      <c r="I18" s="117">
        <f>($J$47*INDEX('Tariff Page Solar Fixed'!$D$9:$D$31,MATCH($B18,'Tariff Page Solar Fixed'!$B$9:$B$31,0))+$J$48*INDEX('Tariff Page Solar Fixed'!$C$9:$C$31,MATCH($B18,'Tariff Page Solar Fixed'!$B$9:$B$31,0))+$J$49*INDEX('Tariff Page Solar Fixed'!$F$9:$F$31,MATCH($B18,'Tariff Page Solar Fixed'!$B$9:$B$31,0))+$J$50*INDEX('Tariff Page Solar Fixed'!$E$9:$E$31,MATCH($B18,'Tariff Page Solar Fixed'!$B$9:$B$31,0)))*10</f>
        <v>15.104412542295893</v>
      </c>
      <c r="J18" s="115">
        <v>13.082759709639003</v>
      </c>
      <c r="K18" s="116">
        <f t="shared" si="2"/>
        <v>2.0216528326568906</v>
      </c>
      <c r="L18" s="117">
        <f>($M$47*INDEX('Tariff Page Solar Tracking'!$D$9:$D$31,MATCH($B18,'Tariff Page Solar Tracking'!$B$9:$B$31,0))+$M$48*INDEX('Tariff Page Solar Tracking'!$C$9:$C$31,MATCH($B18,'Tariff Page Solar Tracking'!$B$9:$B$31,0))+$M$49*INDEX('Tariff Page Solar Tracking'!$F$9:$F$31,MATCH($B18,'Tariff Page Solar Tracking'!$B$9:$B$31,0))+$M$50*INDEX('Tariff Page Solar Tracking'!$E$9:$E$31,MATCH($B18,'Tariff Page Solar Tracking'!$B$9:$B$31,0)))*10</f>
        <v>18.643645439891856</v>
      </c>
      <c r="M18" s="115">
        <v>17.140035165276185</v>
      </c>
      <c r="N18" s="245">
        <f t="shared" si="3"/>
        <v>1.5036102746156708</v>
      </c>
      <c r="S18"/>
    </row>
    <row r="19" spans="1:19" x14ac:dyDescent="0.2">
      <c r="B19" s="190">
        <f t="shared" si="4"/>
        <v>2028</v>
      </c>
      <c r="C19" s="115">
        <f>($D$47*INDEX('Tariff Page'!$D$9:$D$30,MATCH($B19,'Tariff Page'!$B$9:$B$30,0))+$D$48*INDEX('Tariff Page'!$C$9:$C$30,MATCH($B19,'Tariff Page'!$B$9:$B$30,0))+$D$49*INDEX('Tariff Page'!$F$9:$F$30,MATCH($B19,'Tariff Page'!$B$9:$B$30,0))+$D$50*INDEX('Tariff Page'!$E$9:$E$30,MATCH($B19,'Tariff Page'!$B$9:$B$30,0)))*10</f>
        <v>38.62158324649085</v>
      </c>
      <c r="D19" s="115">
        <v>36.515057122335719</v>
      </c>
      <c r="E19" s="116">
        <f t="shared" si="0"/>
        <v>2.1065261241551312</v>
      </c>
      <c r="F19" s="117">
        <f>($G$47*INDEX('Tariff Page Wind'!$D$9:$D$32,MATCH($B19,'Tariff Page Wind'!$B$9:$B$32,0))+$G$48*INDEX('Tariff Page Wind'!$C$9:$C$32,MATCH($B19,'Tariff Page Wind'!$B$9:$B$32,0))+$G$49*INDEX('Tariff Page Wind'!$F$9:$F$32,MATCH($B19,'Tariff Page Wind'!$B$9:$B$32,0))+$G$50*INDEX('Tariff Page Wind'!$E$9:$E$32,MATCH($B19,'Tariff Page Wind'!$B$9:$B$32,0)))*10</f>
        <v>30.021457058946297</v>
      </c>
      <c r="G19" s="115">
        <v>29.970702028001419</v>
      </c>
      <c r="H19" s="116">
        <f t="shared" si="1"/>
        <v>5.0755030944877433E-2</v>
      </c>
      <c r="I19" s="117">
        <f>($J$47*INDEX('Tariff Page Solar Fixed'!$D$9:$D$31,MATCH($B19,'Tariff Page Solar Fixed'!$B$9:$B$31,0))+$J$48*INDEX('Tariff Page Solar Fixed'!$C$9:$C$31,MATCH($B19,'Tariff Page Solar Fixed'!$B$9:$B$31,0))+$J$49*INDEX('Tariff Page Solar Fixed'!$F$9:$F$31,MATCH($B19,'Tariff Page Solar Fixed'!$B$9:$B$31,0))+$J$50*INDEX('Tariff Page Solar Fixed'!$E$9:$E$31,MATCH($B19,'Tariff Page Solar Fixed'!$B$9:$B$31,0)))*10</f>
        <v>18.384734548392036</v>
      </c>
      <c r="J19" s="115">
        <v>15.570936086951836</v>
      </c>
      <c r="K19" s="116">
        <f t="shared" si="2"/>
        <v>2.8137984614402001</v>
      </c>
      <c r="L19" s="117">
        <f>($M$47*INDEX('Tariff Page Solar Tracking'!$D$9:$D$31,MATCH($B19,'Tariff Page Solar Tracking'!$B$9:$B$31,0))+$M$48*INDEX('Tariff Page Solar Tracking'!$C$9:$C$31,MATCH($B19,'Tariff Page Solar Tracking'!$B$9:$B$31,0))+$M$49*INDEX('Tariff Page Solar Tracking'!$F$9:$F$31,MATCH($B19,'Tariff Page Solar Tracking'!$B$9:$B$31,0))+$M$50*INDEX('Tariff Page Solar Tracking'!$E$9:$E$31,MATCH($B19,'Tariff Page Solar Tracking'!$B$9:$B$31,0)))*10</f>
        <v>20.664207223015577</v>
      </c>
      <c r="M19" s="115">
        <v>19.430078880197915</v>
      </c>
      <c r="N19" s="245">
        <f t="shared" si="3"/>
        <v>1.2341283428176624</v>
      </c>
      <c r="S19"/>
    </row>
    <row r="20" spans="1:19" x14ac:dyDescent="0.2">
      <c r="B20" s="190">
        <f t="shared" si="4"/>
        <v>2029</v>
      </c>
      <c r="C20" s="115">
        <f>($D$47*INDEX('Tariff Page'!$D$9:$D$30,MATCH($B20,'Tariff Page'!$B$9:$B$30,0))+$D$48*INDEX('Tariff Page'!$C$9:$C$30,MATCH($B20,'Tariff Page'!$B$9:$B$30,0))+$D$49*INDEX('Tariff Page'!$F$9:$F$30,MATCH($B20,'Tariff Page'!$B$9:$B$30,0))+$D$50*INDEX('Tariff Page'!$E$9:$E$30,MATCH($B20,'Tariff Page'!$B$9:$B$30,0)))*10</f>
        <v>41.042425211104842</v>
      </c>
      <c r="D20" s="115">
        <v>38.548625924228077</v>
      </c>
      <c r="E20" s="116">
        <f t="shared" si="0"/>
        <v>2.4937992868767651</v>
      </c>
      <c r="F20" s="117">
        <f>($G$47*INDEX('Tariff Page Wind'!$D$9:$D$32,MATCH($B20,'Tariff Page Wind'!$B$9:$B$32,0))+$G$48*INDEX('Tariff Page Wind'!$C$9:$C$32,MATCH($B20,'Tariff Page Wind'!$B$9:$B$32,0))+$G$49*INDEX('Tariff Page Wind'!$F$9:$F$32,MATCH($B20,'Tariff Page Wind'!$B$9:$B$32,0))+$G$50*INDEX('Tariff Page Wind'!$E$9:$E$32,MATCH($B20,'Tariff Page Wind'!$B$9:$B$32,0)))*10</f>
        <v>30.637371636969984</v>
      </c>
      <c r="G20" s="115">
        <v>30.423515268727918</v>
      </c>
      <c r="H20" s="116">
        <f t="shared" si="1"/>
        <v>0.213856368242066</v>
      </c>
      <c r="I20" s="117">
        <f>($J$47*INDEX('Tariff Page Solar Fixed'!$D$9:$D$31,MATCH($B20,'Tariff Page Solar Fixed'!$B$9:$B$31,0))+$J$48*INDEX('Tariff Page Solar Fixed'!$C$9:$C$31,MATCH($B20,'Tariff Page Solar Fixed'!$B$9:$B$31,0))+$J$49*INDEX('Tariff Page Solar Fixed'!$F$9:$F$31,MATCH($B20,'Tariff Page Solar Fixed'!$B$9:$B$31,0))+$J$50*INDEX('Tariff Page Solar Fixed'!$E$9:$E$31,MATCH($B20,'Tariff Page Solar Fixed'!$B$9:$B$31,0)))*10</f>
        <v>19.946087719685721</v>
      </c>
      <c r="J20" s="115">
        <v>17.763094044739528</v>
      </c>
      <c r="K20" s="116">
        <f t="shared" si="2"/>
        <v>2.1829936749461929</v>
      </c>
      <c r="L20" s="117">
        <f>($M$47*INDEX('Tariff Page Solar Tracking'!$D$9:$D$31,MATCH($B20,'Tariff Page Solar Tracking'!$B$9:$B$31,0))+$M$48*INDEX('Tariff Page Solar Tracking'!$C$9:$C$31,MATCH($B20,'Tariff Page Solar Tracking'!$B$9:$B$31,0))+$M$49*INDEX('Tariff Page Solar Tracking'!$F$9:$F$31,MATCH($B20,'Tariff Page Solar Tracking'!$B$9:$B$31,0))+$M$50*INDEX('Tariff Page Solar Tracking'!$E$9:$E$31,MATCH($B20,'Tariff Page Solar Tracking'!$B$9:$B$31,0)))*10</f>
        <v>22.405062066930256</v>
      </c>
      <c r="M20" s="115">
        <v>21.17881478800815</v>
      </c>
      <c r="N20" s="245">
        <f t="shared" si="3"/>
        <v>1.2262472789221057</v>
      </c>
      <c r="S20"/>
    </row>
    <row r="21" spans="1:19" x14ac:dyDescent="0.2">
      <c r="B21" s="190">
        <f t="shared" si="4"/>
        <v>2030</v>
      </c>
      <c r="C21" s="115">
        <f>($D$47*INDEX('Tariff Page'!$D$9:$D$30,MATCH($B21,'Tariff Page'!$B$9:$B$30,0))+$D$48*INDEX('Tariff Page'!$C$9:$C$30,MATCH($B21,'Tariff Page'!$B$9:$B$30,0))+$D$49*INDEX('Tariff Page'!$F$9:$F$30,MATCH($B21,'Tariff Page'!$B$9:$B$30,0))+$D$50*INDEX('Tariff Page'!$E$9:$E$30,MATCH($B21,'Tariff Page'!$B$9:$B$30,0)))*10</f>
        <v>40.656139715275081</v>
      </c>
      <c r="D21" s="115">
        <v>38.316060951614055</v>
      </c>
      <c r="E21" s="116">
        <f t="shared" si="0"/>
        <v>2.3400787636610261</v>
      </c>
      <c r="F21" s="117">
        <f>($G$47*INDEX('Tariff Page Wind'!$D$9:$D$32,MATCH($B21,'Tariff Page Wind'!$B$9:$B$32,0))+$G$48*INDEX('Tariff Page Wind'!$C$9:$C$32,MATCH($B21,'Tariff Page Wind'!$B$9:$B$32,0))+$G$49*INDEX('Tariff Page Wind'!$F$9:$F$32,MATCH($B21,'Tariff Page Wind'!$B$9:$B$32,0))+$G$50*INDEX('Tariff Page Wind'!$E$9:$E$32,MATCH($B21,'Tariff Page Wind'!$B$9:$B$32,0)))*10</f>
        <v>31.457252037217568</v>
      </c>
      <c r="G21" s="115">
        <v>31.034367560742673</v>
      </c>
      <c r="H21" s="116">
        <f t="shared" si="1"/>
        <v>0.42288447647489491</v>
      </c>
      <c r="I21" s="117">
        <f>($J$47*INDEX('Tariff Page Solar Fixed'!$D$9:$D$31,MATCH($B21,'Tariff Page Solar Fixed'!$B$9:$B$31,0))+$J$48*INDEX('Tariff Page Solar Fixed'!$C$9:$C$31,MATCH($B21,'Tariff Page Solar Fixed'!$B$9:$B$31,0))+$J$49*INDEX('Tariff Page Solar Fixed'!$F$9:$F$31,MATCH($B21,'Tariff Page Solar Fixed'!$B$9:$B$31,0))+$J$50*INDEX('Tariff Page Solar Fixed'!$E$9:$E$31,MATCH($B21,'Tariff Page Solar Fixed'!$B$9:$B$31,0)))*10</f>
        <v>17.311179253995608</v>
      </c>
      <c r="J21" s="115">
        <v>14.209135084502961</v>
      </c>
      <c r="K21" s="116">
        <f t="shared" si="2"/>
        <v>3.1020441694926468</v>
      </c>
      <c r="L21" s="117">
        <f>($M$47*INDEX('Tariff Page Solar Tracking'!$D$9:$D$31,MATCH($B21,'Tariff Page Solar Tracking'!$B$9:$B$31,0))+$M$48*INDEX('Tariff Page Solar Tracking'!$C$9:$C$31,MATCH($B21,'Tariff Page Solar Tracking'!$B$9:$B$31,0))+$M$49*INDEX('Tariff Page Solar Tracking'!$F$9:$F$31,MATCH($B21,'Tariff Page Solar Tracking'!$B$9:$B$31,0))+$M$50*INDEX('Tariff Page Solar Tracking'!$E$9:$E$31,MATCH($B21,'Tariff Page Solar Tracking'!$B$9:$B$31,0)))*10</f>
        <v>20.578583482378296</v>
      </c>
      <c r="M21" s="115">
        <v>18.16203919916785</v>
      </c>
      <c r="N21" s="245">
        <f t="shared" si="3"/>
        <v>2.4165442832104453</v>
      </c>
      <c r="S21"/>
    </row>
    <row r="22" spans="1:19" x14ac:dyDescent="0.2">
      <c r="B22" s="190">
        <f t="shared" si="4"/>
        <v>2031</v>
      </c>
      <c r="C22" s="115">
        <f>($D$47*INDEX('Tariff Page'!$D$9:$D$30,MATCH($B22,'Tariff Page'!$B$9:$B$30,0))+$D$48*INDEX('Tariff Page'!$C$9:$C$30,MATCH($B22,'Tariff Page'!$B$9:$B$30,0))+$D$49*INDEX('Tariff Page'!$F$9:$F$30,MATCH($B22,'Tariff Page'!$B$9:$B$30,0))+$D$50*INDEX('Tariff Page'!$E$9:$E$30,MATCH($B22,'Tariff Page'!$B$9:$B$30,0)))*10</f>
        <v>42.569241611103763</v>
      </c>
      <c r="D22" s="115">
        <v>42.280894224793883</v>
      </c>
      <c r="E22" s="116">
        <f t="shared" si="0"/>
        <v>0.28834738630987999</v>
      </c>
      <c r="F22" s="117">
        <f>($G$47*INDEX('Tariff Page Wind'!$D$9:$D$32,MATCH($B22,'Tariff Page Wind'!$B$9:$B$32,0))+$G$48*INDEX('Tariff Page Wind'!$C$9:$C$32,MATCH($B22,'Tariff Page Wind'!$B$9:$B$32,0))+$G$49*INDEX('Tariff Page Wind'!$F$9:$F$32,MATCH($B22,'Tariff Page Wind'!$B$9:$B$32,0))+$G$50*INDEX('Tariff Page Wind'!$E$9:$E$32,MATCH($B22,'Tariff Page Wind'!$B$9:$B$32,0)))*10</f>
        <v>32.638914182672693</v>
      </c>
      <c r="G22" s="115">
        <v>32.158838168829227</v>
      </c>
      <c r="H22" s="116">
        <f t="shared" si="1"/>
        <v>0.48007601384346543</v>
      </c>
      <c r="I22" s="117">
        <f>($J$47*INDEX('Tariff Page Solar Fixed'!$D$9:$D$31,MATCH($B22,'Tariff Page Solar Fixed'!$B$9:$B$31,0))+$J$48*INDEX('Tariff Page Solar Fixed'!$C$9:$C$31,MATCH($B22,'Tariff Page Solar Fixed'!$B$9:$B$31,0))+$J$49*INDEX('Tariff Page Solar Fixed'!$F$9:$F$31,MATCH($B22,'Tariff Page Solar Fixed'!$B$9:$B$31,0))+$J$50*INDEX('Tariff Page Solar Fixed'!$E$9:$E$31,MATCH($B22,'Tariff Page Solar Fixed'!$B$9:$B$31,0)))*10</f>
        <v>17.960642354381985</v>
      </c>
      <c r="J22" s="115">
        <v>17.125496732915344</v>
      </c>
      <c r="K22" s="116">
        <f t="shared" si="2"/>
        <v>0.83514562146664062</v>
      </c>
      <c r="L22" s="117">
        <f>($M$47*INDEX('Tariff Page Solar Tracking'!$D$9:$D$31,MATCH($B22,'Tariff Page Solar Tracking'!$B$9:$B$31,0))+$M$48*INDEX('Tariff Page Solar Tracking'!$C$9:$C$31,MATCH($B22,'Tariff Page Solar Tracking'!$B$9:$B$31,0))+$M$49*INDEX('Tariff Page Solar Tracking'!$F$9:$F$31,MATCH($B22,'Tariff Page Solar Tracking'!$B$9:$B$31,0))+$M$50*INDEX('Tariff Page Solar Tracking'!$E$9:$E$31,MATCH($B22,'Tariff Page Solar Tracking'!$B$9:$B$31,0)))*10</f>
        <v>21.806602607003054</v>
      </c>
      <c r="M22" s="115">
        <v>21.296327856776255</v>
      </c>
      <c r="N22" s="245">
        <f t="shared" si="3"/>
        <v>0.5102747502267988</v>
      </c>
      <c r="S22"/>
    </row>
    <row r="23" spans="1:19" x14ac:dyDescent="0.2">
      <c r="B23" s="190">
        <f t="shared" si="4"/>
        <v>2032</v>
      </c>
      <c r="C23" s="115">
        <f>($D$47*INDEX('Tariff Page'!$D$9:$D$30,MATCH($B23,'Tariff Page'!$B$9:$B$30,0))+$D$48*INDEX('Tariff Page'!$C$9:$C$30,MATCH($B23,'Tariff Page'!$B$9:$B$30,0))+$D$49*INDEX('Tariff Page'!$F$9:$F$30,MATCH($B23,'Tariff Page'!$B$9:$B$30,0))+$D$50*INDEX('Tariff Page'!$E$9:$E$30,MATCH($B23,'Tariff Page'!$B$9:$B$30,0)))*10</f>
        <v>44.029874470129982</v>
      </c>
      <c r="D23" s="115">
        <v>47.092116439872868</v>
      </c>
      <c r="E23" s="116">
        <f t="shared" si="0"/>
        <v>-3.0622419697428853</v>
      </c>
      <c r="F23" s="117">
        <f>($G$47*INDEX('Tariff Page Wind'!$D$9:$D$32,MATCH($B23,'Tariff Page Wind'!$B$9:$B$32,0))+$G$48*INDEX('Tariff Page Wind'!$C$9:$C$32,MATCH($B23,'Tariff Page Wind'!$B$9:$B$32,0))+$G$49*INDEX('Tariff Page Wind'!$F$9:$F$32,MATCH($B23,'Tariff Page Wind'!$B$9:$B$32,0))+$G$50*INDEX('Tariff Page Wind'!$E$9:$E$32,MATCH($B23,'Tariff Page Wind'!$B$9:$B$32,0)))*10</f>
        <v>33.347422630556238</v>
      </c>
      <c r="G23" s="115">
        <v>32.634833455381084</v>
      </c>
      <c r="H23" s="116">
        <f t="shared" si="1"/>
        <v>0.71258917517515385</v>
      </c>
      <c r="I23" s="117">
        <f>($J$47*INDEX('Tariff Page Solar Fixed'!$D$9:$D$31,MATCH($B23,'Tariff Page Solar Fixed'!$B$9:$B$31,0))+$J$48*INDEX('Tariff Page Solar Fixed'!$C$9:$C$31,MATCH($B23,'Tariff Page Solar Fixed'!$B$9:$B$31,0))+$J$49*INDEX('Tariff Page Solar Fixed'!$F$9:$F$31,MATCH($B23,'Tariff Page Solar Fixed'!$B$9:$B$31,0))+$J$50*INDEX('Tariff Page Solar Fixed'!$E$9:$E$31,MATCH($B23,'Tariff Page Solar Fixed'!$B$9:$B$31,0)))*10</f>
        <v>19.516579733513339</v>
      </c>
      <c r="J23" s="115">
        <v>20.040434608548338</v>
      </c>
      <c r="K23" s="116">
        <f t="shared" si="2"/>
        <v>-0.52385487503499917</v>
      </c>
      <c r="L23" s="117">
        <f>($M$47*INDEX('Tariff Page Solar Tracking'!$D$9:$D$31,MATCH($B23,'Tariff Page Solar Tracking'!$B$9:$B$31,0))+$M$48*INDEX('Tariff Page Solar Tracking'!$C$9:$C$31,MATCH($B23,'Tariff Page Solar Tracking'!$B$9:$B$31,0))+$M$49*INDEX('Tariff Page Solar Tracking'!$F$9:$F$31,MATCH($B23,'Tariff Page Solar Tracking'!$B$9:$B$31,0))+$M$50*INDEX('Tariff Page Solar Tracking'!$E$9:$E$31,MATCH($B23,'Tariff Page Solar Tracking'!$B$9:$B$31,0)))*10</f>
        <v>23.891875859123463</v>
      </c>
      <c r="M23" s="115">
        <v>23.351901260916634</v>
      </c>
      <c r="N23" s="245">
        <f t="shared" si="3"/>
        <v>0.53997459820682892</v>
      </c>
      <c r="S23"/>
    </row>
    <row r="24" spans="1:19" x14ac:dyDescent="0.2">
      <c r="B24" s="190">
        <f t="shared" si="4"/>
        <v>2033</v>
      </c>
      <c r="C24" s="115">
        <f>($D$47*INDEX('Tariff Page'!$D$9:$D$30,MATCH($B24,'Tariff Page'!$B$9:$B$30,0))+$D$48*INDEX('Tariff Page'!$C$9:$C$30,MATCH($B24,'Tariff Page'!$B$9:$B$30,0))+$D$49*INDEX('Tariff Page'!$F$9:$F$30,MATCH($B24,'Tariff Page'!$B$9:$B$30,0))+$D$50*INDEX('Tariff Page'!$E$9:$E$30,MATCH($B24,'Tariff Page'!$B$9:$B$30,0)))*10</f>
        <v>45.728191382248426</v>
      </c>
      <c r="D24" s="115">
        <v>47.981393633532065</v>
      </c>
      <c r="E24" s="116">
        <f t="shared" si="0"/>
        <v>-2.2532022512836392</v>
      </c>
      <c r="F24" s="117">
        <f>($G$47*INDEX('Tariff Page Wind'!$D$9:$D$32,MATCH($B24,'Tariff Page Wind'!$B$9:$B$32,0))+$G$48*INDEX('Tariff Page Wind'!$C$9:$C$32,MATCH($B24,'Tariff Page Wind'!$B$9:$B$32,0))+$G$49*INDEX('Tariff Page Wind'!$F$9:$F$32,MATCH($B24,'Tariff Page Wind'!$B$9:$B$32,0))+$G$50*INDEX('Tariff Page Wind'!$E$9:$E$32,MATCH($B24,'Tariff Page Wind'!$B$9:$B$32,0)))*10</f>
        <v>60.908246846654365</v>
      </c>
      <c r="G24" s="115">
        <v>60.441121776087492</v>
      </c>
      <c r="H24" s="116">
        <f t="shared" si="1"/>
        <v>0.46712507056687258</v>
      </c>
      <c r="I24" s="117">
        <f>($J$47*INDEX('Tariff Page Solar Fixed'!$D$9:$D$31,MATCH($B24,'Tariff Page Solar Fixed'!$B$9:$B$31,0))+$J$48*INDEX('Tariff Page Solar Fixed'!$C$9:$C$31,MATCH($B24,'Tariff Page Solar Fixed'!$B$9:$B$31,0))+$J$49*INDEX('Tariff Page Solar Fixed'!$F$9:$F$31,MATCH($B24,'Tariff Page Solar Fixed'!$B$9:$B$31,0))+$J$50*INDEX('Tariff Page Solar Fixed'!$E$9:$E$31,MATCH($B24,'Tariff Page Solar Fixed'!$B$9:$B$31,0)))*10</f>
        <v>18.807605835258432</v>
      </c>
      <c r="J24" s="115">
        <v>21.227050632428043</v>
      </c>
      <c r="K24" s="116">
        <f t="shared" si="2"/>
        <v>-2.4194447971696107</v>
      </c>
      <c r="L24" s="117">
        <f>($M$47*INDEX('Tariff Page Solar Tracking'!$D$9:$D$31,MATCH($B24,'Tariff Page Solar Tracking'!$B$9:$B$31,0))+$M$48*INDEX('Tariff Page Solar Tracking'!$C$9:$C$31,MATCH($B24,'Tariff Page Solar Tracking'!$B$9:$B$31,0))+$M$49*INDEX('Tariff Page Solar Tracking'!$F$9:$F$31,MATCH($B24,'Tariff Page Solar Tracking'!$B$9:$B$31,0))+$M$50*INDEX('Tariff Page Solar Tracking'!$E$9:$E$31,MATCH($B24,'Tariff Page Solar Tracking'!$B$9:$B$31,0)))*10</f>
        <v>22.799391605647507</v>
      </c>
      <c r="M24" s="115">
        <v>24.215734669614285</v>
      </c>
      <c r="N24" s="245">
        <f t="shared" si="3"/>
        <v>-1.416343063966778</v>
      </c>
      <c r="P24" s="140"/>
      <c r="S24"/>
    </row>
    <row r="25" spans="1:19" x14ac:dyDescent="0.2">
      <c r="B25" s="190">
        <f t="shared" si="4"/>
        <v>2034</v>
      </c>
      <c r="C25" s="115">
        <f>($D$47*INDEX('Tariff Page'!$D$9:$D$30,MATCH($B25,'Tariff Page'!$B$9:$B$30,0))+$D$48*INDEX('Tariff Page'!$C$9:$C$30,MATCH($B25,'Tariff Page'!$B$9:$B$30,0))+$D$49*INDEX('Tariff Page'!$F$9:$F$30,MATCH($B25,'Tariff Page'!$B$9:$B$30,0))+$D$50*INDEX('Tariff Page'!$E$9:$E$30,MATCH($B25,'Tariff Page'!$B$9:$B$30,0)))*10</f>
        <v>46.83597795411422</v>
      </c>
      <c r="D25" s="115">
        <v>49.923239476371307</v>
      </c>
      <c r="E25" s="116">
        <f t="shared" si="0"/>
        <v>-3.0872615222570872</v>
      </c>
      <c r="F25" s="117">
        <f>($G$47*INDEX('Tariff Page Wind'!$D$9:$D$32,MATCH($B25,'Tariff Page Wind'!$B$9:$B$32,0))+$G$48*INDEX('Tariff Page Wind'!$C$9:$C$32,MATCH($B25,'Tariff Page Wind'!$B$9:$B$32,0))+$G$49*INDEX('Tariff Page Wind'!$F$9:$F$32,MATCH($B25,'Tariff Page Wind'!$B$9:$B$32,0))+$G$50*INDEX('Tariff Page Wind'!$E$9:$E$32,MATCH($B25,'Tariff Page Wind'!$B$9:$B$32,0)))*10</f>
        <v>62.652227604085923</v>
      </c>
      <c r="G25" s="115">
        <v>61.199147406426761</v>
      </c>
      <c r="H25" s="116">
        <f t="shared" si="1"/>
        <v>1.4530801976591619</v>
      </c>
      <c r="I25" s="117">
        <f>($J$47*INDEX('Tariff Page Solar Fixed'!$D$9:$D$31,MATCH($B25,'Tariff Page Solar Fixed'!$B$9:$B$31,0))+$J$48*INDEX('Tariff Page Solar Fixed'!$C$9:$C$31,MATCH($B25,'Tariff Page Solar Fixed'!$B$9:$B$31,0))+$J$49*INDEX('Tariff Page Solar Fixed'!$F$9:$F$31,MATCH($B25,'Tariff Page Solar Fixed'!$B$9:$B$31,0))+$J$50*INDEX('Tariff Page Solar Fixed'!$E$9:$E$31,MATCH($B25,'Tariff Page Solar Fixed'!$B$9:$B$31,0)))*10</f>
        <v>19.113872482496614</v>
      </c>
      <c r="J25" s="115">
        <v>21.665255871993491</v>
      </c>
      <c r="K25" s="116">
        <f t="shared" si="2"/>
        <v>-2.5513833894968769</v>
      </c>
      <c r="L25" s="117">
        <f>($M$47*INDEX('Tariff Page Solar Tracking'!$D$9:$D$31,MATCH($B25,'Tariff Page Solar Tracking'!$B$9:$B$31,0))+$M$48*INDEX('Tariff Page Solar Tracking'!$C$9:$C$31,MATCH($B25,'Tariff Page Solar Tracking'!$B$9:$B$31,0))+$M$49*INDEX('Tariff Page Solar Tracking'!$F$9:$F$31,MATCH($B25,'Tariff Page Solar Tracking'!$B$9:$B$31,0))+$M$50*INDEX('Tariff Page Solar Tracking'!$E$9:$E$31,MATCH($B25,'Tariff Page Solar Tracking'!$B$9:$B$31,0)))*10</f>
        <v>23.510171894328117</v>
      </c>
      <c r="M25" s="115">
        <v>24.678683256954734</v>
      </c>
      <c r="N25" s="245">
        <f t="shared" si="3"/>
        <v>-1.1685113626266173</v>
      </c>
      <c r="P25" s="140"/>
      <c r="S25"/>
    </row>
    <row r="26" spans="1:19" x14ac:dyDescent="0.2">
      <c r="B26" s="190">
        <f t="shared" si="4"/>
        <v>2035</v>
      </c>
      <c r="C26" s="115">
        <f>($D$47*INDEX('Tariff Page'!$D$9:$D$30,MATCH($B26,'Tariff Page'!$B$9:$B$30,0))+$D$48*INDEX('Tariff Page'!$C$9:$C$30,MATCH($B26,'Tariff Page'!$B$9:$B$30,0))+$D$49*INDEX('Tariff Page'!$F$9:$F$30,MATCH($B26,'Tariff Page'!$B$9:$B$30,0))+$D$50*INDEX('Tariff Page'!$E$9:$E$30,MATCH($B26,'Tariff Page'!$B$9:$B$30,0)))*10</f>
        <v>48.208992508547517</v>
      </c>
      <c r="D26" s="115">
        <v>52.084088780089424</v>
      </c>
      <c r="E26" s="116">
        <f t="shared" si="0"/>
        <v>-3.8750962715419064</v>
      </c>
      <c r="F26" s="117">
        <f>($G$47*INDEX('Tariff Page Wind'!$D$9:$D$32,MATCH($B26,'Tariff Page Wind'!$B$9:$B$32,0))+$G$48*INDEX('Tariff Page Wind'!$C$9:$C$32,MATCH($B26,'Tariff Page Wind'!$B$9:$B$32,0))+$G$49*INDEX('Tariff Page Wind'!$F$9:$F$32,MATCH($B26,'Tariff Page Wind'!$B$9:$B$32,0))+$G$50*INDEX('Tariff Page Wind'!$E$9:$E$32,MATCH($B26,'Tariff Page Wind'!$B$9:$B$32,0)))*10</f>
        <v>64.163596374116821</v>
      </c>
      <c r="G26" s="115">
        <v>62.355900087796542</v>
      </c>
      <c r="H26" s="116">
        <f t="shared" si="1"/>
        <v>1.8076962863202795</v>
      </c>
      <c r="I26" s="117">
        <f>($J$47*INDEX('Tariff Page Solar Fixed'!$D$9:$D$31,MATCH($B26,'Tariff Page Solar Fixed'!$B$9:$B$31,0))+$J$48*INDEX('Tariff Page Solar Fixed'!$C$9:$C$31,MATCH($B26,'Tariff Page Solar Fixed'!$B$9:$B$31,0))+$J$49*INDEX('Tariff Page Solar Fixed'!$F$9:$F$31,MATCH($B26,'Tariff Page Solar Fixed'!$B$9:$B$31,0))+$J$50*INDEX('Tariff Page Solar Fixed'!$E$9:$E$31,MATCH($B26,'Tariff Page Solar Fixed'!$B$9:$B$31,0)))*10</f>
        <v>19.851813094691462</v>
      </c>
      <c r="J26" s="115">
        <v>22.1752143999495</v>
      </c>
      <c r="K26" s="116">
        <f t="shared" si="2"/>
        <v>-2.323401305258038</v>
      </c>
      <c r="L26" s="117">
        <f>($M$47*INDEX('Tariff Page Solar Tracking'!$D$9:$D$31,MATCH($B26,'Tariff Page Solar Tracking'!$B$9:$B$31,0))+$M$48*INDEX('Tariff Page Solar Tracking'!$C$9:$C$31,MATCH($B26,'Tariff Page Solar Tracking'!$B$9:$B$31,0))+$M$49*INDEX('Tariff Page Solar Tracking'!$F$9:$F$31,MATCH($B26,'Tariff Page Solar Tracking'!$B$9:$B$31,0))+$M$50*INDEX('Tariff Page Solar Tracking'!$E$9:$E$31,MATCH($B26,'Tariff Page Solar Tracking'!$B$9:$B$31,0)))*10</f>
        <v>23.661176099861304</v>
      </c>
      <c r="M26" s="115">
        <v>26.253904322985985</v>
      </c>
      <c r="N26" s="245">
        <f t="shared" si="3"/>
        <v>-2.5927282231246807</v>
      </c>
      <c r="P26" s="140"/>
      <c r="S26"/>
    </row>
    <row r="27" spans="1:19" x14ac:dyDescent="0.2">
      <c r="B27" s="190">
        <f t="shared" si="4"/>
        <v>2036</v>
      </c>
      <c r="C27" s="115">
        <f>($D$47*INDEX('Tariff Page'!$D$9:$D$30,MATCH($B27,'Tariff Page'!$B$9:$B$30,0))+$D$48*INDEX('Tariff Page'!$C$9:$C$30,MATCH($B27,'Tariff Page'!$B$9:$B$30,0))+$D$49*INDEX('Tariff Page'!$F$9:$F$30,MATCH($B27,'Tariff Page'!$B$9:$B$30,0))+$D$50*INDEX('Tariff Page'!$E$9:$E$30,MATCH($B27,'Tariff Page'!$B$9:$B$30,0)))*10</f>
        <v>50.525384982734217</v>
      </c>
      <c r="D27" s="115">
        <v>53.438803336320802</v>
      </c>
      <c r="E27" s="116">
        <f t="shared" si="0"/>
        <v>-2.9134183535865859</v>
      </c>
      <c r="F27" s="117">
        <f>($G$47*INDEX('Tariff Page Wind'!$D$9:$D$32,MATCH($B27,'Tariff Page Wind'!$B$9:$B$32,0))+$G$48*INDEX('Tariff Page Wind'!$C$9:$C$32,MATCH($B27,'Tariff Page Wind'!$B$9:$B$32,0))+$G$49*INDEX('Tariff Page Wind'!$F$9:$F$32,MATCH($B27,'Tariff Page Wind'!$B$9:$B$32,0))+$G$50*INDEX('Tariff Page Wind'!$E$9:$E$32,MATCH($B27,'Tariff Page Wind'!$B$9:$B$32,0)))*10</f>
        <v>65.187881800636802</v>
      </c>
      <c r="G27" s="115">
        <v>63.810772798829909</v>
      </c>
      <c r="H27" s="116">
        <f t="shared" si="1"/>
        <v>1.3771090018068932</v>
      </c>
      <c r="I27" s="117">
        <f>($J$47*INDEX('Tariff Page Solar Fixed'!$D$9:$D$31,MATCH($B27,'Tariff Page Solar Fixed'!$B$9:$B$31,0))+$J$48*INDEX('Tariff Page Solar Fixed'!$C$9:$C$31,MATCH($B27,'Tariff Page Solar Fixed'!$B$9:$B$31,0))+$J$49*INDEX('Tariff Page Solar Fixed'!$F$9:$F$31,MATCH($B27,'Tariff Page Solar Fixed'!$B$9:$B$31,0))+$J$50*INDEX('Tariff Page Solar Fixed'!$E$9:$E$31,MATCH($B27,'Tariff Page Solar Fixed'!$B$9:$B$31,0)))*10</f>
        <v>22.86054704781327</v>
      </c>
      <c r="J27" s="115">
        <v>25.39005128125811</v>
      </c>
      <c r="K27" s="116">
        <f t="shared" si="2"/>
        <v>-2.5295042334448397</v>
      </c>
      <c r="L27" s="117">
        <f>($M$47*INDEX('Tariff Page Solar Tracking'!$D$9:$D$31,MATCH($B27,'Tariff Page Solar Tracking'!$B$9:$B$31,0))+$M$48*INDEX('Tariff Page Solar Tracking'!$C$9:$C$31,MATCH($B27,'Tariff Page Solar Tracking'!$B$9:$B$31,0))+$M$49*INDEX('Tariff Page Solar Tracking'!$F$9:$F$31,MATCH($B27,'Tariff Page Solar Tracking'!$B$9:$B$31,0))+$M$50*INDEX('Tariff Page Solar Tracking'!$E$9:$E$31,MATCH($B27,'Tariff Page Solar Tracking'!$B$9:$B$31,0)))*10</f>
        <v>26.079980159695985</v>
      </c>
      <c r="M27" s="115">
        <v>26.918294009572222</v>
      </c>
      <c r="N27" s="245">
        <f t="shared" si="3"/>
        <v>-0.83831384987623636</v>
      </c>
      <c r="P27" s="140"/>
      <c r="S27"/>
    </row>
    <row r="28" spans="1:19" x14ac:dyDescent="0.2">
      <c r="B28" s="190">
        <f t="shared" si="4"/>
        <v>2037</v>
      </c>
      <c r="C28" s="115">
        <f>($D$47*INDEX('Tariff Page'!$D$9:$D$30,MATCH($B28,'Tariff Page'!$B$9:$B$30,0))+$D$48*INDEX('Tariff Page'!$C$9:$C$30,MATCH($B28,'Tariff Page'!$B$9:$B$30,0))+$D$49*INDEX('Tariff Page'!$F$9:$F$30,MATCH($B28,'Tariff Page'!$B$9:$B$30,0))+$D$50*INDEX('Tariff Page'!$E$9:$E$30,MATCH($B28,'Tariff Page'!$B$9:$B$30,0)))*10</f>
        <v>51.913519052998794</v>
      </c>
      <c r="D28" s="115">
        <v>54.805848010993621</v>
      </c>
      <c r="E28" s="116">
        <f t="shared" si="0"/>
        <v>-2.8923289579948275</v>
      </c>
      <c r="F28" s="117">
        <f>($G$47*INDEX('Tariff Page Wind'!$D$9:$D$32,MATCH($B28,'Tariff Page Wind'!$B$9:$B$32,0))+$G$48*INDEX('Tariff Page Wind'!$C$9:$C$32,MATCH($B28,'Tariff Page Wind'!$B$9:$B$32,0))+$G$49*INDEX('Tariff Page Wind'!$F$9:$F$32,MATCH($B28,'Tariff Page Wind'!$B$9:$B$32,0))+$G$50*INDEX('Tariff Page Wind'!$E$9:$E$32,MATCH($B28,'Tariff Page Wind'!$B$9:$B$32,0)))*10</f>
        <v>66.888463593638591</v>
      </c>
      <c r="G28" s="115">
        <v>65.365406071456533</v>
      </c>
      <c r="H28" s="116">
        <f t="shared" si="1"/>
        <v>1.5230575221820573</v>
      </c>
      <c r="I28" s="117">
        <f>($J$47*INDEX('Tariff Page Solar Fixed'!$D$9:$D$31,MATCH($B28,'Tariff Page Solar Fixed'!$B$9:$B$31,0))+$J$48*INDEX('Tariff Page Solar Fixed'!$C$9:$C$31,MATCH($B28,'Tariff Page Solar Fixed'!$B$9:$B$31,0))+$J$49*INDEX('Tariff Page Solar Fixed'!$F$9:$F$31,MATCH($B28,'Tariff Page Solar Fixed'!$B$9:$B$31,0))+$J$50*INDEX('Tariff Page Solar Fixed'!$E$9:$E$31,MATCH($B28,'Tariff Page Solar Fixed'!$B$9:$B$31,0)))*10</f>
        <v>25.657792825828732</v>
      </c>
      <c r="J28" s="115">
        <v>23.534297788978428</v>
      </c>
      <c r="K28" s="116">
        <f t="shared" si="2"/>
        <v>2.1234950368503043</v>
      </c>
      <c r="L28" s="117">
        <f>($M$47*INDEX('Tariff Page Solar Tracking'!$D$9:$D$31,MATCH($B28,'Tariff Page Solar Tracking'!$B$9:$B$31,0))+$M$48*INDEX('Tariff Page Solar Tracking'!$C$9:$C$31,MATCH($B28,'Tariff Page Solar Tracking'!$B$9:$B$31,0))+$M$49*INDEX('Tariff Page Solar Tracking'!$F$9:$F$31,MATCH($B28,'Tariff Page Solar Tracking'!$B$9:$B$31,0))+$M$50*INDEX('Tariff Page Solar Tracking'!$E$9:$E$31,MATCH($B28,'Tariff Page Solar Tracking'!$B$9:$B$31,0)))*10</f>
        <v>28.329916892603752</v>
      </c>
      <c r="M28" s="115">
        <v>26.998790897450075</v>
      </c>
      <c r="N28" s="245">
        <f t="shared" si="3"/>
        <v>1.3311259951536769</v>
      </c>
      <c r="O28" s="43"/>
      <c r="S28"/>
    </row>
    <row r="29" spans="1:19" x14ac:dyDescent="0.2">
      <c r="B29" s="190">
        <f t="shared" si="4"/>
        <v>2038</v>
      </c>
      <c r="C29" s="115">
        <f>($D$47*INDEX('Tariff Page'!$D$9:$D$30,MATCH($B29,'Tariff Page'!$B$9:$B$30,0))+$D$48*INDEX('Tariff Page'!$C$9:$C$30,MATCH($B29,'Tariff Page'!$B$9:$B$30,0))+$D$49*INDEX('Tariff Page'!$F$9:$F$30,MATCH($B29,'Tariff Page'!$B$9:$B$30,0))+$D$50*INDEX('Tariff Page'!$E$9:$E$30,MATCH($B29,'Tariff Page'!$B$9:$B$30,0)))*10</f>
        <v>53.194051456836142</v>
      </c>
      <c r="D29" s="115">
        <v>55.853480289782439</v>
      </c>
      <c r="E29" s="116">
        <f t="shared" si="0"/>
        <v>-2.659428832946297</v>
      </c>
      <c r="F29" s="117">
        <f>($G$47*INDEX('Tariff Page Wind'!$D$9:$D$32,MATCH($B29,'Tariff Page Wind'!$B$9:$B$32,0))+$G$48*INDEX('Tariff Page Wind'!$C$9:$C$32,MATCH($B29,'Tariff Page Wind'!$B$9:$B$32,0))+$G$49*INDEX('Tariff Page Wind'!$F$9:$F$32,MATCH($B29,'Tariff Page Wind'!$B$9:$B$32,0))+$G$50*INDEX('Tariff Page Wind'!$E$9:$E$32,MATCH($B29,'Tariff Page Wind'!$B$9:$B$32,0)))*10</f>
        <v>69.122198125832711</v>
      </c>
      <c r="G29" s="115">
        <v>66.946838156376657</v>
      </c>
      <c r="H29" s="116">
        <f t="shared" si="1"/>
        <v>2.1753599694560535</v>
      </c>
      <c r="I29" s="117">
        <f>($J$47*INDEX('Tariff Page Solar Fixed'!$D$9:$D$31,MATCH($B29,'Tariff Page Solar Fixed'!$B$9:$B$31,0))+$J$48*INDEX('Tariff Page Solar Fixed'!$C$9:$C$31,MATCH($B29,'Tariff Page Solar Fixed'!$B$9:$B$31,0))+$J$49*INDEX('Tariff Page Solar Fixed'!$F$9:$F$31,MATCH($B29,'Tariff Page Solar Fixed'!$B$9:$B$31,0))+$J$50*INDEX('Tariff Page Solar Fixed'!$E$9:$E$31,MATCH($B29,'Tariff Page Solar Fixed'!$B$9:$B$31,0)))*10</f>
        <v>26.038780004410565</v>
      </c>
      <c r="J29" s="115">
        <v>25.705664747784898</v>
      </c>
      <c r="K29" s="116">
        <f t="shared" si="2"/>
        <v>0.33311525662566766</v>
      </c>
      <c r="L29" s="117">
        <f>($M$47*INDEX('Tariff Page Solar Tracking'!$D$9:$D$31,MATCH($B29,'Tariff Page Solar Tracking'!$B$9:$B$31,0))+$M$48*INDEX('Tariff Page Solar Tracking'!$C$9:$C$31,MATCH($B29,'Tariff Page Solar Tracking'!$B$9:$B$31,0))+$M$49*INDEX('Tariff Page Solar Tracking'!$F$9:$F$31,MATCH($B29,'Tariff Page Solar Tracking'!$B$9:$B$31,0))+$M$50*INDEX('Tariff Page Solar Tracking'!$E$9:$E$31,MATCH($B29,'Tariff Page Solar Tracking'!$B$9:$B$31,0)))*10</f>
        <v>28.362093575792468</v>
      </c>
      <c r="M29" s="115">
        <v>29.266892122857836</v>
      </c>
      <c r="N29" s="245">
        <f t="shared" si="3"/>
        <v>-0.90479854706536855</v>
      </c>
      <c r="O29" s="43"/>
      <c r="S29"/>
    </row>
    <row r="30" spans="1:19" hidden="1" x14ac:dyDescent="0.2">
      <c r="A30" s="43"/>
      <c r="B30" s="190"/>
      <c r="C30" s="115"/>
      <c r="D30" s="115"/>
      <c r="E30" s="116"/>
      <c r="F30" s="117"/>
      <c r="G30" s="115"/>
      <c r="H30" s="116"/>
      <c r="I30" s="117"/>
      <c r="J30" s="115"/>
      <c r="K30" s="116"/>
      <c r="L30" s="117"/>
      <c r="M30" s="115"/>
      <c r="N30" s="245"/>
      <c r="O30" s="43"/>
      <c r="S30"/>
    </row>
    <row r="31" spans="1:19" x14ac:dyDescent="0.2">
      <c r="A31" s="43"/>
      <c r="B31" s="193"/>
      <c r="C31" s="194"/>
      <c r="D31" s="341"/>
      <c r="E31" s="195"/>
      <c r="F31" s="196"/>
      <c r="G31" s="341"/>
      <c r="H31" s="195"/>
      <c r="I31" s="196"/>
      <c r="J31" s="341"/>
      <c r="K31" s="195"/>
      <c r="L31" s="196"/>
      <c r="M31" s="341"/>
      <c r="N31" s="246"/>
      <c r="O31" s="43"/>
      <c r="S31"/>
    </row>
    <row r="32" spans="1:19" hidden="1" x14ac:dyDescent="0.2">
      <c r="A32" s="43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43"/>
      <c r="S32"/>
    </row>
    <row r="33" spans="1:22" hidden="1" x14ac:dyDescent="0.2">
      <c r="A33" s="43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43"/>
      <c r="S33"/>
    </row>
    <row r="34" spans="1:22" x14ac:dyDescent="0.2">
      <c r="A34" s="43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43"/>
      <c r="S34"/>
    </row>
    <row r="35" spans="1:22" x14ac:dyDescent="0.2">
      <c r="A35" s="43"/>
      <c r="B35" t="s">
        <v>130</v>
      </c>
      <c r="C35" s="197"/>
      <c r="D35" s="43"/>
      <c r="E35" s="43"/>
      <c r="F35" s="197"/>
      <c r="G35" s="43"/>
      <c r="H35" s="43"/>
      <c r="I35" s="197"/>
      <c r="J35" s="43"/>
      <c r="K35" s="43"/>
      <c r="L35" s="197"/>
      <c r="M35" s="43"/>
      <c r="N35" s="43"/>
      <c r="O35" s="43"/>
      <c r="S35"/>
    </row>
    <row r="36" spans="1:22" x14ac:dyDescent="0.2">
      <c r="A36" s="43"/>
      <c r="B36" s="198" t="str">
        <f>"15 Year ("&amp;B13&amp;" to "&amp;B27&amp;") Levelized Prices (Nominal) @ "&amp;TEXT($P$37,"?.00%")&amp;" Discount Rate"</f>
        <v>15 Year (2022 to 2036) Levelized Prices (Nominal) @ 6.92% Discount Rate</v>
      </c>
      <c r="C36" s="197"/>
      <c r="D36" s="43"/>
      <c r="E36" s="43"/>
      <c r="F36" s="197"/>
      <c r="G36" s="43"/>
      <c r="H36" s="43"/>
      <c r="I36" s="197"/>
      <c r="J36" s="43"/>
      <c r="K36" s="43"/>
      <c r="L36" s="197"/>
      <c r="M36" s="43"/>
      <c r="N36" s="43"/>
      <c r="O36" s="191"/>
      <c r="P36" s="16" t="s">
        <v>249</v>
      </c>
      <c r="S36"/>
    </row>
    <row r="37" spans="1:22" x14ac:dyDescent="0.2">
      <c r="A37" s="43"/>
      <c r="B37" s="199" t="s">
        <v>7</v>
      </c>
      <c r="C37" s="115">
        <f>-PMT($P$37,COUNT(C13:C27),NPV($P$37,C13:C27))</f>
        <v>34.049159091358014</v>
      </c>
      <c r="D37" s="115">
        <f t="shared" ref="D37:N37" si="5">-PMT($P$37,COUNT(D13:D27),NPV($P$37,D13:D27))</f>
        <v>31.46773602165247</v>
      </c>
      <c r="E37" s="116">
        <f t="shared" si="5"/>
        <v>2.5814230697055551</v>
      </c>
      <c r="F37" s="115">
        <f t="shared" si="5"/>
        <v>34.293196461925717</v>
      </c>
      <c r="G37" s="115">
        <f t="shared" si="5"/>
        <v>33.256722061055363</v>
      </c>
      <c r="H37" s="116">
        <f t="shared" si="5"/>
        <v>1.0364744008703481</v>
      </c>
      <c r="I37" s="115">
        <f t="shared" si="5"/>
        <v>17.006516140549653</v>
      </c>
      <c r="J37" s="115">
        <f t="shared" si="5"/>
        <v>15.414762710081712</v>
      </c>
      <c r="K37" s="116">
        <f t="shared" si="5"/>
        <v>1.5917534304679355</v>
      </c>
      <c r="L37" s="115">
        <f t="shared" si="5"/>
        <v>19.97391050391531</v>
      </c>
      <c r="M37" s="115">
        <f t="shared" si="5"/>
        <v>18.466726651960688</v>
      </c>
      <c r="N37" s="116">
        <f t="shared" si="5"/>
        <v>1.5071838519546201</v>
      </c>
      <c r="O37" s="120"/>
      <c r="P37" s="25">
        <v>6.9199999999999998E-2</v>
      </c>
      <c r="S37"/>
    </row>
    <row r="38" spans="1:22" x14ac:dyDescent="0.2">
      <c r="B38" s="119"/>
      <c r="C38" s="115"/>
      <c r="D38" s="115"/>
      <c r="E38" s="116"/>
      <c r="F38" s="115"/>
      <c r="G38" s="115"/>
      <c r="H38" s="116"/>
      <c r="I38" s="115"/>
      <c r="J38" s="115"/>
      <c r="K38" s="116"/>
      <c r="L38" s="115"/>
      <c r="M38" s="115"/>
      <c r="N38" s="116"/>
      <c r="O38" s="120"/>
      <c r="P38" s="25"/>
      <c r="S38"/>
    </row>
    <row r="39" spans="1:22" x14ac:dyDescent="0.2">
      <c r="B39" s="72" t="str">
        <f>"15 Year ("&amp;B14&amp;" to "&amp;B28&amp;") Levelized Prices (Nominal) @ "&amp;TEXT($P$37,"?.00%")&amp;" Discount Rate"</f>
        <v>15 Year (2023 to 2037) Levelized Prices (Nominal) @ 6.92% Discount Rate</v>
      </c>
      <c r="C39" s="100"/>
      <c r="F39" s="100"/>
      <c r="I39" s="100"/>
      <c r="L39" s="100"/>
      <c r="O39" s="118"/>
      <c r="P39" s="16"/>
      <c r="S39"/>
    </row>
    <row r="40" spans="1:22" x14ac:dyDescent="0.2">
      <c r="B40" s="119" t="s">
        <v>7</v>
      </c>
      <c r="C40" s="115">
        <f>-PMT($P$37,COUNT(C14:C28),NPV($P$37,C14:C28))</f>
        <v>35.962027516973841</v>
      </c>
      <c r="D40" s="115">
        <f t="shared" ref="D40:N40" si="6">-PMT($P$37,COUNT(D14:D28),NPV($P$37,D14:D28))</f>
        <v>34.017903684305807</v>
      </c>
      <c r="E40" s="116">
        <f t="shared" si="6"/>
        <v>1.9441238326680448</v>
      </c>
      <c r="F40" s="115">
        <f t="shared" si="6"/>
        <v>37.055839118240975</v>
      </c>
      <c r="G40" s="115">
        <f t="shared" si="6"/>
        <v>36.617968341420493</v>
      </c>
      <c r="H40" s="116">
        <f t="shared" si="6"/>
        <v>0.4378707768204787</v>
      </c>
      <c r="I40" s="115">
        <f t="shared" si="6"/>
        <v>17.279945143569492</v>
      </c>
      <c r="J40" s="115">
        <f t="shared" si="6"/>
        <v>15.919801365372251</v>
      </c>
      <c r="K40" s="116">
        <f t="shared" si="6"/>
        <v>1.3601437781972419</v>
      </c>
      <c r="L40" s="115">
        <f t="shared" si="6"/>
        <v>20.520707841038949</v>
      </c>
      <c r="M40" s="115">
        <f t="shared" si="6"/>
        <v>19.329540613658097</v>
      </c>
      <c r="N40" s="116">
        <f t="shared" si="6"/>
        <v>1.1911672273808565</v>
      </c>
      <c r="S40"/>
    </row>
    <row r="41" spans="1:22" x14ac:dyDescent="0.2">
      <c r="B41" s="119"/>
      <c r="C41" s="115"/>
      <c r="D41" s="115"/>
      <c r="E41" s="116"/>
      <c r="F41" s="115"/>
      <c r="G41" s="115"/>
      <c r="H41" s="116"/>
      <c r="I41" s="115"/>
      <c r="J41" s="115"/>
      <c r="K41" s="116"/>
      <c r="L41" s="115"/>
      <c r="M41" s="115"/>
      <c r="N41" s="116"/>
      <c r="S41"/>
    </row>
    <row r="42" spans="1:22" x14ac:dyDescent="0.2">
      <c r="B42" s="72" t="str">
        <f>"15 Year ("&amp;B15&amp;" to "&amp;B29&amp;") Levelized Prices (Nominal) @ "&amp;TEXT($P$37,"?.00%")&amp;" Discount Rate"</f>
        <v>15 Year (2024 to 2038) Levelized Prices (Nominal) @ 6.92% Discount Rate</v>
      </c>
      <c r="C42" s="100"/>
      <c r="F42" s="100"/>
      <c r="I42" s="100"/>
      <c r="L42" s="100"/>
      <c r="O42" s="118"/>
      <c r="P42" s="16"/>
      <c r="S42"/>
    </row>
    <row r="43" spans="1:22" x14ac:dyDescent="0.2">
      <c r="B43" s="119" t="s">
        <v>7</v>
      </c>
      <c r="C43" s="116">
        <f>-PMT($P$37,COUNT(C15:C29),NPV($P$37,C15:C29))</f>
        <v>38.192794763346761</v>
      </c>
      <c r="D43" s="116">
        <f t="shared" ref="D43:N43" si="7">-PMT($P$37,COUNT(D15:D29),NPV($P$37,D15:D29))</f>
        <v>36.712081868139236</v>
      </c>
      <c r="E43" s="116">
        <f t="shared" si="7"/>
        <v>1.480712895207523</v>
      </c>
      <c r="F43" s="116">
        <f t="shared" si="7"/>
        <v>39.519984291705839</v>
      </c>
      <c r="G43" s="116">
        <f t="shared" si="7"/>
        <v>39.025994498461749</v>
      </c>
      <c r="H43" s="116">
        <f t="shared" si="7"/>
        <v>0.49398979324408016</v>
      </c>
      <c r="I43" s="116">
        <f t="shared" si="7"/>
        <v>17.676556765970904</v>
      </c>
      <c r="J43" s="116">
        <f t="shared" si="7"/>
        <v>16.491393827989754</v>
      </c>
      <c r="K43" s="116">
        <f t="shared" si="7"/>
        <v>1.1851629379811484</v>
      </c>
      <c r="L43" s="116">
        <f t="shared" si="7"/>
        <v>21.212322569492432</v>
      </c>
      <c r="M43" s="116">
        <f t="shared" si="7"/>
        <v>20.277463180476381</v>
      </c>
      <c r="N43" s="116">
        <f t="shared" si="7"/>
        <v>0.93485938901605514</v>
      </c>
      <c r="S43"/>
    </row>
    <row r="44" spans="1:22" x14ac:dyDescent="0.2">
      <c r="B44" s="119"/>
      <c r="C44" s="116"/>
    </row>
    <row r="45" spans="1:22" x14ac:dyDescent="0.2">
      <c r="B45"/>
      <c r="C45"/>
      <c r="D45"/>
      <c r="E45"/>
      <c r="F45" s="61"/>
      <c r="G45"/>
      <c r="H45"/>
      <c r="I45" s="61"/>
      <c r="J45"/>
      <c r="K45"/>
      <c r="L45" s="61"/>
      <c r="M45"/>
      <c r="N45"/>
    </row>
    <row r="46" spans="1:22" x14ac:dyDescent="0.2">
      <c r="B46"/>
      <c r="C46"/>
      <c r="D46" t="s">
        <v>54</v>
      </c>
      <c r="E46"/>
      <c r="F46" s="61"/>
      <c r="G46" s="230" t="s">
        <v>55</v>
      </c>
      <c r="I46" s="61"/>
      <c r="J46" s="230" t="s">
        <v>84</v>
      </c>
      <c r="L46" s="62"/>
      <c r="M46" s="230" t="s">
        <v>85</v>
      </c>
      <c r="O46" s="121"/>
      <c r="P46" s="121"/>
      <c r="Q46" s="121"/>
      <c r="R46" s="121"/>
      <c r="S46" s="122"/>
      <c r="T46" s="122"/>
      <c r="U46" s="122"/>
      <c r="V46" s="122"/>
    </row>
    <row r="47" spans="1:22" x14ac:dyDescent="0.2">
      <c r="B47" s="48" t="s">
        <v>50</v>
      </c>
      <c r="C47" s="48"/>
      <c r="D47" s="44">
        <f>'OFPC Source'!$AN$19</f>
        <v>0.18722294654498045</v>
      </c>
      <c r="E47" s="44"/>
      <c r="F47" s="62"/>
      <c r="G47" s="124">
        <v>0.12622772685548039</v>
      </c>
      <c r="H47" s="44"/>
      <c r="I47" s="62"/>
      <c r="J47" s="124">
        <v>0.31113275152605013</v>
      </c>
      <c r="K47" s="44"/>
      <c r="L47" s="62"/>
      <c r="M47" s="124">
        <v>0.32920509548889204</v>
      </c>
      <c r="N47" s="44"/>
    </row>
    <row r="48" spans="1:22" x14ac:dyDescent="0.2">
      <c r="B48" s="48" t="s">
        <v>51</v>
      </c>
      <c r="C48" s="48"/>
      <c r="D48" s="44">
        <f>'OFPC Source'!$AN$20</f>
        <v>0.3732290308561495</v>
      </c>
      <c r="E48" s="44"/>
      <c r="F48" s="62"/>
      <c r="G48" s="124">
        <v>0.24208294062250676</v>
      </c>
      <c r="H48" s="44"/>
      <c r="I48" s="62"/>
      <c r="J48" s="124">
        <v>0.52472063097542176</v>
      </c>
      <c r="K48" s="44"/>
      <c r="L48" s="62"/>
      <c r="M48" s="124">
        <v>0.46026453781858651</v>
      </c>
      <c r="N48" s="44"/>
    </row>
    <row r="49" spans="2:14" x14ac:dyDescent="0.2">
      <c r="B49" s="48" t="s">
        <v>52</v>
      </c>
      <c r="C49" s="48"/>
      <c r="D49" s="44">
        <f>'OFPC Source'!$AN$21</f>
        <v>0.1468057366362451</v>
      </c>
      <c r="E49" s="44"/>
      <c r="F49" s="62"/>
      <c r="G49" s="124">
        <v>0.24640710121359649</v>
      </c>
      <c r="H49" s="44"/>
      <c r="I49" s="62"/>
      <c r="J49" s="124">
        <v>6.5066986914763897E-2</v>
      </c>
      <c r="K49" s="44"/>
      <c r="L49" s="62"/>
      <c r="M49" s="124">
        <v>0.10285010302070161</v>
      </c>
      <c r="N49" s="44"/>
    </row>
    <row r="50" spans="2:14" x14ac:dyDescent="0.2">
      <c r="B50" s="48" t="s">
        <v>53</v>
      </c>
      <c r="C50" s="48"/>
      <c r="D50" s="44">
        <f>'OFPC Source'!$AN$22</f>
        <v>0.29274228596262497</v>
      </c>
      <c r="E50" s="44"/>
      <c r="F50" s="62"/>
      <c r="G50" s="124">
        <v>0.38528223130841627</v>
      </c>
      <c r="H50" s="48"/>
      <c r="I50" s="62"/>
      <c r="J50" s="124">
        <v>9.9079630583764081E-2</v>
      </c>
      <c r="K50" s="48"/>
      <c r="L50" s="62"/>
      <c r="M50" s="124">
        <v>0.10768026367181986</v>
      </c>
      <c r="N50" s="48"/>
    </row>
    <row r="51" spans="2:14" x14ac:dyDescent="0.2">
      <c r="B51"/>
      <c r="C51"/>
      <c r="D51"/>
      <c r="E51"/>
      <c r="F51" s="61"/>
      <c r="G51"/>
      <c r="H51"/>
      <c r="I51" s="61"/>
      <c r="J51"/>
      <c r="K51"/>
      <c r="L51" s="61"/>
      <c r="M51"/>
      <c r="N51"/>
    </row>
    <row r="53" spans="2:14" x14ac:dyDescent="0.2">
      <c r="F53" s="123"/>
      <c r="I53" s="123"/>
      <c r="J53" s="123"/>
      <c r="K53" s="123"/>
      <c r="L53" s="123"/>
    </row>
    <row r="54" spans="2:14" x14ac:dyDescent="0.2">
      <c r="B54"/>
      <c r="C54"/>
      <c r="D54"/>
      <c r="E54"/>
      <c r="F54"/>
      <c r="G54"/>
      <c r="H54"/>
      <c r="I54"/>
      <c r="J54"/>
    </row>
    <row r="55" spans="2:14" s="108" customFormat="1" x14ac:dyDescent="0.2">
      <c r="B55"/>
      <c r="C55"/>
      <c r="D55"/>
      <c r="E55"/>
      <c r="F55"/>
      <c r="G55"/>
      <c r="H55"/>
      <c r="I55"/>
      <c r="J55"/>
    </row>
    <row r="56" spans="2:14" x14ac:dyDescent="0.2">
      <c r="B56"/>
      <c r="C56"/>
      <c r="D56"/>
      <c r="E56"/>
      <c r="F56"/>
      <c r="G56"/>
      <c r="H56"/>
      <c r="I56"/>
      <c r="J56"/>
    </row>
    <row r="57" spans="2:14" x14ac:dyDescent="0.2">
      <c r="B57"/>
      <c r="C57"/>
      <c r="D57"/>
      <c r="E57"/>
      <c r="F57"/>
      <c r="G57"/>
      <c r="H57"/>
      <c r="I57"/>
      <c r="J57"/>
    </row>
    <row r="58" spans="2:14" x14ac:dyDescent="0.2">
      <c r="B58"/>
      <c r="C58"/>
      <c r="D58"/>
      <c r="E58"/>
      <c r="F58"/>
      <c r="G58"/>
      <c r="H58"/>
      <c r="I58"/>
      <c r="J58"/>
    </row>
    <row r="59" spans="2:14" ht="24.75" customHeight="1" x14ac:dyDescent="0.2">
      <c r="B59"/>
      <c r="C59"/>
      <c r="D59"/>
      <c r="E59"/>
      <c r="F59"/>
      <c r="G59"/>
      <c r="H59"/>
      <c r="I59"/>
      <c r="J59"/>
    </row>
    <row r="60" spans="2:14" x14ac:dyDescent="0.2">
      <c r="B60"/>
      <c r="C60"/>
      <c r="D60"/>
      <c r="E60"/>
      <c r="F60"/>
      <c r="G60"/>
      <c r="H60"/>
      <c r="I60"/>
      <c r="J60"/>
    </row>
  </sheetData>
  <phoneticPr fontId="12" type="noConversion"/>
  <printOptions horizontalCentered="1"/>
  <pageMargins left="0.25" right="0.25" top="0.75" bottom="0.75" header="0.3" footer="0.3"/>
  <pageSetup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D37"/>
  <sheetViews>
    <sheetView tabSelected="1" view="pageBreakPreview" zoomScale="80" zoomScaleNormal="100" zoomScaleSheetLayoutView="80" workbookViewId="0">
      <selection activeCell="D5" sqref="D5"/>
    </sheetView>
  </sheetViews>
  <sheetFormatPr defaultColWidth="9.33203125" defaultRowHeight="12.75" x14ac:dyDescent="0.2"/>
  <cols>
    <col min="1" max="1" width="2" style="15" customWidth="1"/>
    <col min="2" max="2" width="24.5" style="15" customWidth="1"/>
    <col min="3" max="4" width="19.6640625" style="15" customWidth="1"/>
    <col min="5" max="5" width="2.1640625" style="15" customWidth="1"/>
    <col min="6" max="16384" width="9.33203125" style="15"/>
  </cols>
  <sheetData>
    <row r="1" spans="2:4" ht="15.75" x14ac:dyDescent="0.25">
      <c r="B1" s="7" t="s">
        <v>6</v>
      </c>
      <c r="C1" s="10"/>
      <c r="D1" s="10"/>
    </row>
    <row r="2" spans="2:4" ht="15.75" x14ac:dyDescent="0.25">
      <c r="B2" s="7" t="s">
        <v>16</v>
      </c>
      <c r="C2" s="10"/>
      <c r="D2" s="10"/>
    </row>
    <row r="3" spans="2:4" ht="15.75" x14ac:dyDescent="0.25">
      <c r="B3" s="7" t="s">
        <v>8</v>
      </c>
      <c r="C3" s="18"/>
      <c r="D3" s="18"/>
    </row>
    <row r="4" spans="2:4" ht="15.75" x14ac:dyDescent="0.25">
      <c r="B4" s="136"/>
      <c r="C4" s="18"/>
      <c r="D4" s="137"/>
    </row>
    <row r="5" spans="2:4" x14ac:dyDescent="0.2">
      <c r="B5" s="8"/>
      <c r="C5" s="8"/>
      <c r="D5" s="8"/>
    </row>
    <row r="6" spans="2:4" x14ac:dyDescent="0.2">
      <c r="B6" s="12" t="s">
        <v>0</v>
      </c>
      <c r="C6" s="12" t="str">
        <f>'OFPC Source'!D249</f>
        <v>West Side</v>
      </c>
      <c r="D6" s="12" t="str">
        <f>'OFPC Source'!C249</f>
        <v>IRP - Wyo NE</v>
      </c>
    </row>
    <row r="7" spans="2:4" x14ac:dyDescent="0.2">
      <c r="B7" s="19"/>
      <c r="C7" s="13"/>
      <c r="D7" s="13"/>
    </row>
    <row r="8" spans="2:4" x14ac:dyDescent="0.2">
      <c r="C8" s="24" t="s">
        <v>1</v>
      </c>
      <c r="D8" s="24" t="s">
        <v>2</v>
      </c>
    </row>
    <row r="9" spans="2:4" x14ac:dyDescent="0.2">
      <c r="C9" s="20"/>
      <c r="D9" s="20"/>
    </row>
    <row r="10" spans="2:4" x14ac:dyDescent="0.2">
      <c r="B10" s="21">
        <v>2021</v>
      </c>
      <c r="C10" s="22">
        <f>VLOOKUP(B10,'OFPC Source'!$G$8:$J$33,3,FALSE)</f>
        <v>2.87</v>
      </c>
      <c r="D10" s="22">
        <f>VLOOKUP(B10,'OFPC Source'!$G$8:$H$30,2,FALSE)</f>
        <v>2.34</v>
      </c>
    </row>
    <row r="11" spans="2:4" x14ac:dyDescent="0.2">
      <c r="B11" s="21">
        <f>B10+1</f>
        <v>2022</v>
      </c>
      <c r="C11" s="22">
        <f>VLOOKUP(B11,'OFPC Source'!$G$8:$J$33,3,FALSE)</f>
        <v>2.73</v>
      </c>
      <c r="D11" s="22">
        <f>VLOOKUP(B11,'OFPC Source'!$G$8:$H$30,2,FALSE)</f>
        <v>2.5099999999999998</v>
      </c>
    </row>
    <row r="12" spans="2:4" x14ac:dyDescent="0.2">
      <c r="B12" s="21">
        <f t="shared" ref="B12:B27" si="0">B11+1</f>
        <v>2023</v>
      </c>
      <c r="C12" s="22">
        <f>VLOOKUP(B12,'OFPC Source'!$G$8:$J$33,3,FALSE)</f>
        <v>2.6</v>
      </c>
      <c r="D12" s="22">
        <f>VLOOKUP(B12,'OFPC Source'!$G$8:$H$30,2,FALSE)</f>
        <v>2.38</v>
      </c>
    </row>
    <row r="13" spans="2:4" x14ac:dyDescent="0.2">
      <c r="B13" s="21">
        <f t="shared" si="0"/>
        <v>2024</v>
      </c>
      <c r="C13" s="22">
        <f>VLOOKUP(B13,'OFPC Source'!$G$8:$J$33,3,FALSE)</f>
        <v>2.85</v>
      </c>
      <c r="D13" s="22">
        <f>VLOOKUP(B13,'OFPC Source'!$G$8:$H$30,2,FALSE)</f>
        <v>2.65</v>
      </c>
    </row>
    <row r="14" spans="2:4" x14ac:dyDescent="0.2">
      <c r="B14" s="21">
        <f t="shared" si="0"/>
        <v>2025</v>
      </c>
      <c r="C14" s="22">
        <f>VLOOKUP(B14,'OFPC Source'!$G$8:$J$33,3,FALSE)</f>
        <v>3.2</v>
      </c>
      <c r="D14" s="22">
        <f>VLOOKUP(B14,'OFPC Source'!$G$8:$H$30,2,FALSE)</f>
        <v>3.02</v>
      </c>
    </row>
    <row r="15" spans="2:4" x14ac:dyDescent="0.2">
      <c r="B15" s="21">
        <f t="shared" si="0"/>
        <v>2026</v>
      </c>
      <c r="C15" s="22">
        <f>VLOOKUP(B15,'OFPC Source'!$G$8:$J$33,3,FALSE)</f>
        <v>3.28</v>
      </c>
      <c r="D15" s="22">
        <f>VLOOKUP(B15,'OFPC Source'!$G$8:$H$30,2,FALSE)</f>
        <v>3.15</v>
      </c>
    </row>
    <row r="16" spans="2:4" x14ac:dyDescent="0.2">
      <c r="B16" s="21">
        <f t="shared" si="0"/>
        <v>2027</v>
      </c>
      <c r="C16" s="22">
        <f>VLOOKUP(B16,'OFPC Source'!$G$8:$J$33,3,FALSE)</f>
        <v>3.44</v>
      </c>
      <c r="D16" s="22">
        <f>VLOOKUP(B16,'OFPC Source'!$G$8:$H$30,2,FALSE)</f>
        <v>3.25</v>
      </c>
    </row>
    <row r="17" spans="2:4" x14ac:dyDescent="0.2">
      <c r="B17" s="21">
        <f t="shared" si="0"/>
        <v>2028</v>
      </c>
      <c r="C17" s="22">
        <f>VLOOKUP(B17,'OFPC Source'!$G$8:$J$33,3,FALSE)</f>
        <v>3.67</v>
      </c>
      <c r="D17" s="22">
        <f>VLOOKUP(B17,'OFPC Source'!$G$8:$H$30,2,FALSE)</f>
        <v>3.5</v>
      </c>
    </row>
    <row r="18" spans="2:4" x14ac:dyDescent="0.2">
      <c r="B18" s="21">
        <f t="shared" si="0"/>
        <v>2029</v>
      </c>
      <c r="C18" s="22">
        <f>VLOOKUP(B18,'OFPC Source'!$G$8:$J$33,3,FALSE)</f>
        <v>3.98</v>
      </c>
      <c r="D18" s="22">
        <f>VLOOKUP(B18,'OFPC Source'!$G$8:$H$30,2,FALSE)</f>
        <v>3.85</v>
      </c>
    </row>
    <row r="19" spans="2:4" x14ac:dyDescent="0.2">
      <c r="B19" s="21">
        <f t="shared" si="0"/>
        <v>2030</v>
      </c>
      <c r="C19" s="22">
        <f>VLOOKUP(B19,'OFPC Source'!$G$8:$J$33,3,FALSE)</f>
        <v>4.1399999999999997</v>
      </c>
      <c r="D19" s="22">
        <f>VLOOKUP(B19,'OFPC Source'!$G$8:$H$30,2,FALSE)</f>
        <v>4</v>
      </c>
    </row>
    <row r="20" spans="2:4" x14ac:dyDescent="0.2">
      <c r="B20" s="21">
        <f t="shared" si="0"/>
        <v>2031</v>
      </c>
      <c r="C20" s="22">
        <f>VLOOKUP(B20,'OFPC Source'!$G$8:$J$33,3,FALSE)</f>
        <v>4.28</v>
      </c>
      <c r="D20" s="22">
        <f>VLOOKUP(B20,'OFPC Source'!$G$8:$H$30,2,FALSE)</f>
        <v>4.12</v>
      </c>
    </row>
    <row r="21" spans="2:4" x14ac:dyDescent="0.2">
      <c r="B21" s="21">
        <f t="shared" si="0"/>
        <v>2032</v>
      </c>
      <c r="C21" s="22">
        <f>VLOOKUP(B21,'OFPC Source'!$G$8:$J$33,3,FALSE)</f>
        <v>4.33</v>
      </c>
      <c r="D21" s="22">
        <f>VLOOKUP(B21,'OFPC Source'!$G$8:$H$30,2,FALSE)</f>
        <v>4.1900000000000004</v>
      </c>
    </row>
    <row r="22" spans="2:4" x14ac:dyDescent="0.2">
      <c r="B22" s="21">
        <f t="shared" si="0"/>
        <v>2033</v>
      </c>
      <c r="C22" s="22">
        <f>VLOOKUP(B22,'OFPC Source'!$G$8:$J$33,3,FALSE)</f>
        <v>4.5199999999999996</v>
      </c>
      <c r="D22" s="22">
        <f>VLOOKUP(B22,'OFPC Source'!$G$8:$H$30,2,FALSE)</f>
        <v>4.4400000000000004</v>
      </c>
    </row>
    <row r="23" spans="2:4" x14ac:dyDescent="0.2">
      <c r="B23" s="21">
        <f t="shared" si="0"/>
        <v>2034</v>
      </c>
      <c r="C23" s="22">
        <f>VLOOKUP(B23,'OFPC Source'!$G$8:$J$33,3,FALSE)</f>
        <v>4.5599999999999996</v>
      </c>
      <c r="D23" s="22">
        <f>VLOOKUP(B23,'OFPC Source'!$G$8:$H$30,2,FALSE)</f>
        <v>4.5</v>
      </c>
    </row>
    <row r="24" spans="2:4" x14ac:dyDescent="0.2">
      <c r="B24" s="21">
        <f t="shared" si="0"/>
        <v>2035</v>
      </c>
      <c r="C24" s="22">
        <f>VLOOKUP(B24,'OFPC Source'!$G$8:$J$33,3,FALSE)</f>
        <v>4.58</v>
      </c>
      <c r="D24" s="22">
        <f>VLOOKUP(B24,'OFPC Source'!$G$8:$H$30,2,FALSE)</f>
        <v>4.58</v>
      </c>
    </row>
    <row r="25" spans="2:4" x14ac:dyDescent="0.2">
      <c r="B25" s="21">
        <f t="shared" si="0"/>
        <v>2036</v>
      </c>
      <c r="C25" s="22">
        <f>VLOOKUP(B25,'OFPC Source'!$G$8:$J$33,3,FALSE)</f>
        <v>4.6500000000000004</v>
      </c>
      <c r="D25" s="22">
        <f>VLOOKUP(B25,'OFPC Source'!$G$8:$H$30,2,FALSE)</f>
        <v>4.6900000000000004</v>
      </c>
    </row>
    <row r="26" spans="2:4" x14ac:dyDescent="0.2">
      <c r="B26" s="21">
        <f t="shared" si="0"/>
        <v>2037</v>
      </c>
      <c r="C26" s="22">
        <f>VLOOKUP(B26,'OFPC Source'!$G$8:$J$33,3,FALSE)</f>
        <v>4.78</v>
      </c>
      <c r="D26" s="22">
        <f>VLOOKUP(B26,'OFPC Source'!$G$8:$H$30,2,FALSE)</f>
        <v>4.79</v>
      </c>
    </row>
    <row r="27" spans="2:4" x14ac:dyDescent="0.2">
      <c r="B27" s="21">
        <f t="shared" si="0"/>
        <v>2038</v>
      </c>
      <c r="C27" s="22">
        <f>VLOOKUP(B27,'OFPC Source'!$G$8:$J$33,3,FALSE)</f>
        <v>4.88</v>
      </c>
      <c r="D27" s="22">
        <f>VLOOKUP(B27,'OFPC Source'!$G$8:$H$30,2,FALSE)</f>
        <v>4.97</v>
      </c>
    </row>
    <row r="28" spans="2:4" x14ac:dyDescent="0.2">
      <c r="B28" s="21"/>
      <c r="C28" s="22"/>
      <c r="D28" s="22"/>
    </row>
    <row r="29" spans="2:4" x14ac:dyDescent="0.2">
      <c r="B29" s="21"/>
      <c r="C29" s="22"/>
      <c r="D29" s="22"/>
    </row>
    <row r="30" spans="2:4" x14ac:dyDescent="0.2">
      <c r="B30" s="21"/>
      <c r="C30" s="22"/>
      <c r="D30" s="22"/>
    </row>
    <row r="31" spans="2:4" x14ac:dyDescent="0.2">
      <c r="B31" s="21"/>
      <c r="C31" s="22"/>
      <c r="D31" s="22"/>
    </row>
    <row r="32" spans="2:4" x14ac:dyDescent="0.2">
      <c r="B32" s="14" t="s">
        <v>15</v>
      </c>
    </row>
    <row r="33" spans="2:4" ht="12.75" customHeight="1" x14ac:dyDescent="0.2">
      <c r="B33" s="139" t="str">
        <f>"Official Forward Price Curve dated "&amp;TEXT('OFPC Source'!C4,"mmmm dd yyyy")</f>
        <v>Official Forward Price Curve dated March 31 2021</v>
      </c>
      <c r="C33" s="139"/>
      <c r="D33" s="18"/>
    </row>
    <row r="35" spans="2:4" x14ac:dyDescent="0.2">
      <c r="D35" s="17"/>
    </row>
    <row r="36" spans="2:4" x14ac:dyDescent="0.2">
      <c r="D36" s="138"/>
    </row>
    <row r="37" spans="2:4" x14ac:dyDescent="0.2">
      <c r="D37" s="17"/>
    </row>
  </sheetData>
  <phoneticPr fontId="12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51"/>
  <sheetViews>
    <sheetView tabSelected="1" view="pageBreakPreview" zoomScale="80" zoomScaleNormal="100" zoomScaleSheetLayoutView="80" workbookViewId="0">
      <selection activeCell="D5" sqref="D5"/>
    </sheetView>
  </sheetViews>
  <sheetFormatPr defaultColWidth="8.83203125" defaultRowHeight="12.75" x14ac:dyDescent="0.2"/>
  <cols>
    <col min="1" max="1" width="2.1640625" style="15" customWidth="1"/>
    <col min="2" max="2" width="22" style="15" customWidth="1"/>
    <col min="3" max="6" width="16.33203125" style="15" customWidth="1"/>
    <col min="7" max="7" width="2.1640625" style="15" customWidth="1"/>
    <col min="8" max="8" width="10" style="15" customWidth="1"/>
    <col min="9" max="16384" width="8.83203125" style="15"/>
  </cols>
  <sheetData>
    <row r="1" spans="2:6" ht="15.75" x14ac:dyDescent="0.25">
      <c r="B1" s="7" t="s">
        <v>110</v>
      </c>
      <c r="C1" s="10"/>
      <c r="D1" s="10"/>
      <c r="E1" s="10"/>
      <c r="F1" s="10"/>
    </row>
    <row r="2" spans="2:6" ht="15.75" x14ac:dyDescent="0.25">
      <c r="B2" s="7" t="s">
        <v>24</v>
      </c>
      <c r="C2" s="10"/>
      <c r="D2" s="10"/>
      <c r="E2" s="10"/>
      <c r="F2" s="10"/>
    </row>
    <row r="3" spans="2:6" ht="15.75" x14ac:dyDescent="0.25">
      <c r="B3" s="7" t="s">
        <v>7</v>
      </c>
      <c r="C3" s="18"/>
      <c r="D3" s="18"/>
      <c r="E3" s="18"/>
      <c r="F3" s="18"/>
    </row>
    <row r="4" spans="2:6" ht="15.75" x14ac:dyDescent="0.25">
      <c r="B4" s="7"/>
      <c r="C4" s="18"/>
      <c r="D4" s="18"/>
      <c r="E4" s="18"/>
      <c r="F4" s="18"/>
    </row>
    <row r="5" spans="2:6" x14ac:dyDescent="0.2">
      <c r="B5" s="8"/>
      <c r="C5" s="11" t="s">
        <v>19</v>
      </c>
      <c r="D5" s="11"/>
      <c r="E5" s="11"/>
      <c r="F5" s="11"/>
    </row>
    <row r="6" spans="2:6" x14ac:dyDescent="0.2">
      <c r="B6" s="12" t="s">
        <v>0</v>
      </c>
      <c r="C6" s="11" t="s">
        <v>20</v>
      </c>
      <c r="D6" s="11"/>
      <c r="E6" s="11" t="s">
        <v>21</v>
      </c>
      <c r="F6" s="11"/>
    </row>
    <row r="7" spans="2:6" x14ac:dyDescent="0.2">
      <c r="B7" s="19"/>
      <c r="C7" s="11" t="s">
        <v>22</v>
      </c>
      <c r="D7" s="11" t="s">
        <v>23</v>
      </c>
      <c r="E7" s="11" t="s">
        <v>22</v>
      </c>
      <c r="F7" s="11" t="s">
        <v>23</v>
      </c>
    </row>
    <row r="8" spans="2:6" x14ac:dyDescent="0.2">
      <c r="C8" s="9" t="s">
        <v>1</v>
      </c>
      <c r="D8" s="9" t="s">
        <v>2</v>
      </c>
      <c r="E8" s="9" t="s">
        <v>3</v>
      </c>
      <c r="F8" s="9" t="s">
        <v>4</v>
      </c>
    </row>
    <row r="9" spans="2:6" x14ac:dyDescent="0.2">
      <c r="C9" s="20"/>
      <c r="D9" s="20"/>
      <c r="E9" s="20"/>
      <c r="F9" s="20"/>
    </row>
    <row r="10" spans="2:6" hidden="1" x14ac:dyDescent="0.2">
      <c r="B10" s="21">
        <v>2018</v>
      </c>
      <c r="C10" s="22" t="e">
        <f>VLOOKUP($B10,'OFPC Source'!$W$8:$AA$34,2,FALSE)</f>
        <v>#N/A</v>
      </c>
      <c r="D10" s="22" t="e">
        <f>VLOOKUP($B10,'OFPC Source'!$W$8:$AA$34,3,FALSE)</f>
        <v>#N/A</v>
      </c>
      <c r="E10" s="22" t="e">
        <f>VLOOKUP($B10,'OFPC Source'!$W$8:$AA$34,4,FALSE)</f>
        <v>#N/A</v>
      </c>
      <c r="F10" s="22" t="e">
        <f>VLOOKUP($B10,'OFPC Source'!$W$8:$AA$34,5,FALSE)</f>
        <v>#N/A</v>
      </c>
    </row>
    <row r="11" spans="2:6" hidden="1" x14ac:dyDescent="0.2">
      <c r="B11" s="21">
        <f>B10+1</f>
        <v>2019</v>
      </c>
      <c r="C11" s="22" t="e">
        <f>VLOOKUP($B11,'OFPC Source'!$W$8:$AA$34,2,FALSE)</f>
        <v>#N/A</v>
      </c>
      <c r="D11" s="22" t="e">
        <f>VLOOKUP($B11,'OFPC Source'!$W$8:$AA$34,3,FALSE)</f>
        <v>#N/A</v>
      </c>
      <c r="E11" s="22" t="e">
        <f>VLOOKUP($B11,'OFPC Source'!$W$8:$AA$34,4,FALSE)</f>
        <v>#N/A</v>
      </c>
      <c r="F11" s="22" t="e">
        <f>VLOOKUP($B11,'OFPC Source'!$W$8:$AA$34,5,FALSE)</f>
        <v>#N/A</v>
      </c>
    </row>
    <row r="12" spans="2:6" hidden="1" x14ac:dyDescent="0.2">
      <c r="B12" s="21">
        <f t="shared" ref="B12:B30" si="0">B11+1</f>
        <v>2020</v>
      </c>
      <c r="C12" s="22" t="e">
        <f>VLOOKUP($B12,'OFPC Source'!$W$8:$AA$34,2,FALSE)</f>
        <v>#N/A</v>
      </c>
      <c r="D12" s="22" t="e">
        <f>VLOOKUP($B12,'OFPC Source'!$W$8:$AA$34,3,FALSE)</f>
        <v>#N/A</v>
      </c>
      <c r="E12" s="22" t="e">
        <f>VLOOKUP($B12,'OFPC Source'!$W$8:$AA$34,4,FALSE)</f>
        <v>#N/A</v>
      </c>
      <c r="F12" s="22" t="e">
        <f>VLOOKUP($B12,'OFPC Source'!$W$8:$AA$34,5,FALSE)</f>
        <v>#N/A</v>
      </c>
    </row>
    <row r="13" spans="2:6" x14ac:dyDescent="0.2">
      <c r="B13" s="21">
        <f t="shared" si="0"/>
        <v>2021</v>
      </c>
      <c r="C13" s="22">
        <f>VLOOKUP($B13,'OFPC Source'!$W$8:$AA$34,2,FALSE)</f>
        <v>43.49</v>
      </c>
      <c r="D13" s="22">
        <f>VLOOKUP($B13,'OFPC Source'!$W$8:$AA$34,3,FALSE)</f>
        <v>80.72</v>
      </c>
      <c r="E13" s="22">
        <f>VLOOKUP($B13,'OFPC Source'!$W$8:$AA$34,4,FALSE)</f>
        <v>27.86</v>
      </c>
      <c r="F13" s="22">
        <f>VLOOKUP($B13,'OFPC Source'!$W$8:$AA$34,5,FALSE)</f>
        <v>40.15</v>
      </c>
    </row>
    <row r="14" spans="2:6" x14ac:dyDescent="0.2">
      <c r="B14" s="21">
        <f t="shared" si="0"/>
        <v>2022</v>
      </c>
      <c r="C14" s="22">
        <f>VLOOKUP($B14,'OFPC Source'!$W$8:$AA$34,2,FALSE)</f>
        <v>38.42</v>
      </c>
      <c r="D14" s="22">
        <f>VLOOKUP($B14,'OFPC Source'!$W$8:$AA$34,3,FALSE)</f>
        <v>59.99</v>
      </c>
      <c r="E14" s="22">
        <f>VLOOKUP($B14,'OFPC Source'!$W$8:$AA$34,4,FALSE)</f>
        <v>26.56</v>
      </c>
      <c r="F14" s="22">
        <f>VLOOKUP($B14,'OFPC Source'!$W$8:$AA$34,5,FALSE)</f>
        <v>37.130000000000003</v>
      </c>
    </row>
    <row r="15" spans="2:6" x14ac:dyDescent="0.2">
      <c r="B15" s="21">
        <f t="shared" si="0"/>
        <v>2023</v>
      </c>
      <c r="C15" s="22">
        <f>VLOOKUP($B15,'OFPC Source'!$W$8:$AA$34,2,FALSE)</f>
        <v>36.22</v>
      </c>
      <c r="D15" s="22">
        <f>VLOOKUP($B15,'OFPC Source'!$W$8:$AA$34,3,FALSE)</f>
        <v>50.61</v>
      </c>
      <c r="E15" s="22">
        <f>VLOOKUP($B15,'OFPC Source'!$W$8:$AA$34,4,FALSE)</f>
        <v>24.8</v>
      </c>
      <c r="F15" s="22">
        <f>VLOOKUP($B15,'OFPC Source'!$W$8:$AA$34,5,FALSE)</f>
        <v>35.520000000000003</v>
      </c>
    </row>
    <row r="16" spans="2:6" x14ac:dyDescent="0.2">
      <c r="B16" s="21">
        <f t="shared" si="0"/>
        <v>2024</v>
      </c>
      <c r="C16" s="22">
        <f>VLOOKUP($B16,'OFPC Source'!$W$8:$AA$34,2,FALSE)</f>
        <v>36.909999999999997</v>
      </c>
      <c r="D16" s="22">
        <f>VLOOKUP($B16,'OFPC Source'!$W$8:$AA$34,3,FALSE)</f>
        <v>47.32</v>
      </c>
      <c r="E16" s="22">
        <f>VLOOKUP($B16,'OFPC Source'!$W$8:$AA$34,4,FALSE)</f>
        <v>24.99</v>
      </c>
      <c r="F16" s="22">
        <f>VLOOKUP($B16,'OFPC Source'!$W$8:$AA$34,5,FALSE)</f>
        <v>34.83</v>
      </c>
    </row>
    <row r="17" spans="2:6" x14ac:dyDescent="0.2">
      <c r="B17" s="21">
        <f t="shared" si="0"/>
        <v>2025</v>
      </c>
      <c r="C17" s="22">
        <f>VLOOKUP($B17,'OFPC Source'!$W$8:$AA$34,2,FALSE)</f>
        <v>38.79</v>
      </c>
      <c r="D17" s="22">
        <f>VLOOKUP($B17,'OFPC Source'!$W$8:$AA$34,3,FALSE)</f>
        <v>43.43</v>
      </c>
      <c r="E17" s="22">
        <f>VLOOKUP($B17,'OFPC Source'!$W$8:$AA$34,4,FALSE)</f>
        <v>25.72</v>
      </c>
      <c r="F17" s="22">
        <f>VLOOKUP($B17,'OFPC Source'!$W$8:$AA$34,5,FALSE)</f>
        <v>34.369999999999997</v>
      </c>
    </row>
    <row r="18" spans="2:6" x14ac:dyDescent="0.2">
      <c r="B18" s="21">
        <f t="shared" si="0"/>
        <v>2026</v>
      </c>
      <c r="C18" s="22">
        <f>VLOOKUP($B18,'OFPC Source'!$W$8:$AA$34,2,FALSE)</f>
        <v>43.15</v>
      </c>
      <c r="D18" s="22">
        <f>VLOOKUP($B18,'OFPC Source'!$W$8:$AA$34,3,FALSE)</f>
        <v>47.57</v>
      </c>
      <c r="E18" s="22">
        <f>VLOOKUP($B18,'OFPC Source'!$W$8:$AA$34,4,FALSE)</f>
        <v>27.29</v>
      </c>
      <c r="F18" s="22">
        <f>VLOOKUP($B18,'OFPC Source'!$W$8:$AA$34,5,FALSE)</f>
        <v>36.36</v>
      </c>
    </row>
    <row r="19" spans="2:6" x14ac:dyDescent="0.2">
      <c r="B19" s="21">
        <f t="shared" si="0"/>
        <v>2027</v>
      </c>
      <c r="C19" s="22">
        <f>VLOOKUP($B19,'OFPC Source'!$W$8:$AA$34,2,FALSE)</f>
        <v>51.54</v>
      </c>
      <c r="D19" s="22">
        <f>VLOOKUP($B19,'OFPC Source'!$W$8:$AA$34,3,FALSE)</f>
        <v>56.62</v>
      </c>
      <c r="E19" s="22">
        <f>VLOOKUP($B19,'OFPC Source'!$W$8:$AA$34,4,FALSE)</f>
        <v>28.49</v>
      </c>
      <c r="F19" s="22">
        <f>VLOOKUP($B19,'OFPC Source'!$W$8:$AA$34,5,FALSE)</f>
        <v>38.47</v>
      </c>
    </row>
    <row r="20" spans="2:6" x14ac:dyDescent="0.2">
      <c r="B20" s="21">
        <f t="shared" si="0"/>
        <v>2028</v>
      </c>
      <c r="C20" s="22">
        <f>VLOOKUP($B20,'OFPC Source'!$W$8:$AA$34,2,FALSE)</f>
        <v>52.65</v>
      </c>
      <c r="D20" s="22">
        <f>VLOOKUP($B20,'OFPC Source'!$W$8:$AA$34,3,FALSE)</f>
        <v>59.03</v>
      </c>
      <c r="E20" s="22">
        <f>VLOOKUP($B20,'OFPC Source'!$W$8:$AA$34,4,FALSE)</f>
        <v>30.15</v>
      </c>
      <c r="F20" s="22">
        <f>VLOOKUP($B20,'OFPC Source'!$W$8:$AA$34,5,FALSE)</f>
        <v>41.07</v>
      </c>
    </row>
    <row r="21" spans="2:6" x14ac:dyDescent="0.2">
      <c r="B21" s="21">
        <f t="shared" si="0"/>
        <v>2029</v>
      </c>
      <c r="C21" s="22">
        <f>VLOOKUP($B21,'OFPC Source'!$W$8:$AA$34,2,FALSE)</f>
        <v>58.38</v>
      </c>
      <c r="D21" s="22">
        <f>VLOOKUP($B21,'OFPC Source'!$W$8:$AA$34,3,FALSE)</f>
        <v>66.33</v>
      </c>
      <c r="E21" s="22">
        <f>VLOOKUP($B21,'OFPC Source'!$W$8:$AA$34,4,FALSE)</f>
        <v>32.36</v>
      </c>
      <c r="F21" s="22">
        <f>VLOOKUP($B21,'OFPC Source'!$W$8:$AA$34,5,FALSE)</f>
        <v>44.78</v>
      </c>
    </row>
    <row r="22" spans="2:6" x14ac:dyDescent="0.2">
      <c r="B22" s="21">
        <f t="shared" si="0"/>
        <v>2030</v>
      </c>
      <c r="C22" s="22">
        <f>VLOOKUP($B22,'OFPC Source'!$W$8:$AA$34,2,FALSE)</f>
        <v>58.81</v>
      </c>
      <c r="D22" s="22">
        <f>VLOOKUP($B22,'OFPC Source'!$W$8:$AA$34,3,FALSE)</f>
        <v>66.06</v>
      </c>
      <c r="E22" s="22">
        <f>VLOOKUP($B22,'OFPC Source'!$W$8:$AA$34,4,FALSE)</f>
        <v>32.78</v>
      </c>
      <c r="F22" s="22">
        <f>VLOOKUP($B22,'OFPC Source'!$W$8:$AA$34,5,FALSE)</f>
        <v>46.63</v>
      </c>
    </row>
    <row r="23" spans="2:6" x14ac:dyDescent="0.2">
      <c r="B23" s="21">
        <f t="shared" si="0"/>
        <v>2031</v>
      </c>
      <c r="C23" s="22">
        <f>VLOOKUP($B23,'OFPC Source'!$W$8:$AA$34,2,FALSE)</f>
        <v>55.37</v>
      </c>
      <c r="D23" s="22">
        <f>VLOOKUP($B23,'OFPC Source'!$W$8:$AA$34,3,FALSE)</f>
        <v>65.010000000000005</v>
      </c>
      <c r="E23" s="22">
        <f>VLOOKUP($B23,'OFPC Source'!$W$8:$AA$34,4,FALSE)</f>
        <v>32.04</v>
      </c>
      <c r="F23" s="22">
        <f>VLOOKUP($B23,'OFPC Source'!$W$8:$AA$34,5,FALSE)</f>
        <v>49.14</v>
      </c>
    </row>
    <row r="24" spans="2:6" x14ac:dyDescent="0.2">
      <c r="B24" s="21">
        <f t="shared" si="0"/>
        <v>2032</v>
      </c>
      <c r="C24" s="22">
        <f>VLOOKUP($B24,'OFPC Source'!$W$8:$AA$34,2,FALSE)</f>
        <v>52.86</v>
      </c>
      <c r="D24" s="22">
        <f>VLOOKUP($B24,'OFPC Source'!$W$8:$AA$34,3,FALSE)</f>
        <v>64.45</v>
      </c>
      <c r="E24" s="22">
        <f>VLOOKUP($B24,'OFPC Source'!$W$8:$AA$34,4,FALSE)</f>
        <v>32.36</v>
      </c>
      <c r="F24" s="22">
        <f>VLOOKUP($B24,'OFPC Source'!$W$8:$AA$34,5,FALSE)</f>
        <v>51.07</v>
      </c>
    </row>
    <row r="25" spans="2:6" x14ac:dyDescent="0.2">
      <c r="B25" s="21">
        <f t="shared" si="0"/>
        <v>2033</v>
      </c>
      <c r="C25" s="22">
        <f>VLOOKUP($B25,'OFPC Source'!$W$8:$AA$34,2,FALSE)</f>
        <v>51.58</v>
      </c>
      <c r="D25" s="22">
        <f>VLOOKUP($B25,'OFPC Source'!$W$8:$AA$34,3,FALSE)</f>
        <v>65.52</v>
      </c>
      <c r="E25" s="22">
        <f>VLOOKUP($B25,'OFPC Source'!$W$8:$AA$34,4,FALSE)</f>
        <v>32.89</v>
      </c>
      <c r="F25" s="22">
        <f>VLOOKUP($B25,'OFPC Source'!$W$8:$AA$34,5,FALSE)</f>
        <v>52.38</v>
      </c>
    </row>
    <row r="26" spans="2:6" x14ac:dyDescent="0.2">
      <c r="B26" s="21">
        <f t="shared" si="0"/>
        <v>2034</v>
      </c>
      <c r="C26" s="22">
        <f>VLOOKUP($B26,'OFPC Source'!$W$8:$AA$34,2,FALSE)</f>
        <v>52.02</v>
      </c>
      <c r="D26" s="22">
        <f>VLOOKUP($B26,'OFPC Source'!$W$8:$AA$34,3,FALSE)</f>
        <v>65.900000000000006</v>
      </c>
      <c r="E26" s="22">
        <f>VLOOKUP($B26,'OFPC Source'!$W$8:$AA$34,4,FALSE)</f>
        <v>33.08</v>
      </c>
      <c r="F26" s="22">
        <f>VLOOKUP($B26,'OFPC Source'!$W$8:$AA$34,5,FALSE)</f>
        <v>52.94</v>
      </c>
    </row>
    <row r="27" spans="2:6" x14ac:dyDescent="0.2">
      <c r="B27" s="21">
        <f t="shared" si="0"/>
        <v>2035</v>
      </c>
      <c r="C27" s="22">
        <f>VLOOKUP($B27,'OFPC Source'!$W$8:$AA$34,2,FALSE)</f>
        <v>56.74</v>
      </c>
      <c r="D27" s="22">
        <f>VLOOKUP($B27,'OFPC Source'!$W$8:$AA$34,3,FALSE)</f>
        <v>71.59</v>
      </c>
      <c r="E27" s="22">
        <f>VLOOKUP($B27,'OFPC Source'!$W$8:$AA$34,4,FALSE)</f>
        <v>34.619999999999997</v>
      </c>
      <c r="F27" s="22">
        <f>VLOOKUP($B27,'OFPC Source'!$W$8:$AA$34,5,FALSE)</f>
        <v>55.38</v>
      </c>
    </row>
    <row r="28" spans="2:6" x14ac:dyDescent="0.2">
      <c r="B28" s="21">
        <f t="shared" si="0"/>
        <v>2036</v>
      </c>
      <c r="C28" s="22">
        <f>VLOOKUP($B28,'OFPC Source'!$W$8:$AA$34,2,FALSE)</f>
        <v>59.9</v>
      </c>
      <c r="D28" s="22">
        <f>VLOOKUP($B28,'OFPC Source'!$W$8:$AA$34,3,FALSE)</f>
        <v>76.930000000000007</v>
      </c>
      <c r="E28" s="22">
        <f>VLOOKUP($B28,'OFPC Source'!$W$8:$AA$34,4,FALSE)</f>
        <v>35.29</v>
      </c>
      <c r="F28" s="22">
        <f>VLOOKUP($B28,'OFPC Source'!$W$8:$AA$34,5,FALSE)</f>
        <v>57.04</v>
      </c>
    </row>
    <row r="29" spans="2:6" x14ac:dyDescent="0.2">
      <c r="B29" s="21">
        <f t="shared" si="0"/>
        <v>2037</v>
      </c>
      <c r="C29" s="22">
        <f>VLOOKUP($B29,'OFPC Source'!$W$8:$AA$34,2,FALSE)</f>
        <v>58.91</v>
      </c>
      <c r="D29" s="22">
        <f>VLOOKUP($B29,'OFPC Source'!$W$8:$AA$34,3,FALSE)</f>
        <v>73.73</v>
      </c>
      <c r="E29" s="22">
        <f>VLOOKUP($B29,'OFPC Source'!$W$8:$AA$34,4,FALSE)</f>
        <v>35.5</v>
      </c>
      <c r="F29" s="22">
        <f>VLOOKUP($B29,'OFPC Source'!$W$8:$AA$34,5,FALSE)</f>
        <v>57.84</v>
      </c>
    </row>
    <row r="30" spans="2:6" x14ac:dyDescent="0.2">
      <c r="B30" s="21">
        <f t="shared" si="0"/>
        <v>2038</v>
      </c>
      <c r="C30" s="22">
        <f>VLOOKUP($B30,'OFPC Source'!$W$8:$AA$34,2,FALSE)</f>
        <v>60.21</v>
      </c>
      <c r="D30" s="22">
        <f>VLOOKUP($B30,'OFPC Source'!$W$8:$AA$34,3,FALSE)</f>
        <v>78.47</v>
      </c>
      <c r="E30" s="22">
        <f>VLOOKUP($B30,'OFPC Source'!$W$8:$AA$34,4,FALSE)</f>
        <v>36.78</v>
      </c>
      <c r="F30" s="22">
        <f>VLOOKUP($B30,'OFPC Source'!$W$8:$AA$34,5,FALSE)</f>
        <v>60.02</v>
      </c>
    </row>
    <row r="32" spans="2:6" x14ac:dyDescent="0.2">
      <c r="B32" s="14" t="s">
        <v>15</v>
      </c>
    </row>
    <row r="33" spans="2:6" ht="25.5" customHeight="1" x14ac:dyDescent="0.2">
      <c r="B33" s="358" t="str">
        <f>'Table 4 Gas Price'!B33:D33</f>
        <v>Official Forward Price Curve dated March 31 2021</v>
      </c>
      <c r="C33" s="358"/>
      <c r="D33" s="358"/>
      <c r="E33" s="358"/>
      <c r="F33" s="358"/>
    </row>
    <row r="36" spans="2:6" x14ac:dyDescent="0.2">
      <c r="B36" s="23"/>
    </row>
    <row r="37" spans="2:6" x14ac:dyDescent="0.2">
      <c r="B37" s="23"/>
    </row>
    <row r="51" ht="24.75" customHeight="1" x14ac:dyDescent="0.2"/>
  </sheetData>
  <mergeCells count="1">
    <mergeCell ref="B33:F33"/>
  </mergeCells>
  <printOptions horizontalCentered="1"/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N56"/>
  <sheetViews>
    <sheetView tabSelected="1" view="pageBreakPreview" topLeftCell="A5" zoomScale="80" zoomScaleNormal="100" zoomScaleSheetLayoutView="80" workbookViewId="0">
      <selection activeCell="D5" sqref="D5"/>
    </sheetView>
  </sheetViews>
  <sheetFormatPr defaultColWidth="9.33203125" defaultRowHeight="12.75" x14ac:dyDescent="0.2"/>
  <cols>
    <col min="1" max="1" width="1.5" style="152" customWidth="1"/>
    <col min="2" max="2" width="15.33203125" style="152" customWidth="1"/>
    <col min="3" max="3" width="26.6640625" style="152" customWidth="1"/>
    <col min="4" max="4" width="29" style="152" customWidth="1"/>
    <col min="5" max="5" width="3" style="152" customWidth="1"/>
    <col min="6" max="6" width="14.6640625" style="152" customWidth="1"/>
    <col min="7" max="7" width="10.5" style="152" customWidth="1"/>
    <col min="8" max="9" width="9.33203125" style="152"/>
    <col min="10" max="10" width="9.83203125" style="152" customWidth="1"/>
    <col min="11" max="11" width="21.5" style="152" customWidth="1"/>
    <col min="12" max="12" width="19" style="152" customWidth="1"/>
    <col min="13" max="16384" width="9.33203125" style="152"/>
  </cols>
  <sheetData>
    <row r="1" spans="2:14" ht="15.75" x14ac:dyDescent="0.25">
      <c r="B1" s="359" t="s">
        <v>86</v>
      </c>
      <c r="C1" s="359"/>
      <c r="D1" s="359"/>
      <c r="E1" s="359"/>
      <c r="F1" s="359"/>
      <c r="G1" s="359"/>
    </row>
    <row r="2" spans="2:14" ht="15.75" x14ac:dyDescent="0.25">
      <c r="B2" s="7" t="s">
        <v>32</v>
      </c>
      <c r="C2" s="151"/>
      <c r="D2" s="151"/>
      <c r="E2" s="151"/>
      <c r="F2" s="151"/>
      <c r="G2" s="151"/>
    </row>
    <row r="3" spans="2:14" ht="15.75" x14ac:dyDescent="0.25">
      <c r="B3" s="7" t="s">
        <v>7</v>
      </c>
      <c r="C3" s="151"/>
      <c r="D3" s="151"/>
      <c r="E3" s="151"/>
      <c r="F3" s="151"/>
      <c r="G3" s="151"/>
    </row>
    <row r="4" spans="2:14" x14ac:dyDescent="0.2">
      <c r="B4" s="150"/>
      <c r="C4" s="151"/>
    </row>
    <row r="5" spans="2:14" x14ac:dyDescent="0.2">
      <c r="B5" s="153"/>
      <c r="C5" s="335"/>
      <c r="D5" s="335"/>
    </row>
    <row r="6" spans="2:14" ht="89.25" customHeight="1" x14ac:dyDescent="0.2">
      <c r="B6" s="155" t="s">
        <v>0</v>
      </c>
      <c r="C6" s="156" t="s">
        <v>246</v>
      </c>
      <c r="D6" s="156" t="s">
        <v>247</v>
      </c>
      <c r="F6" s="157" t="str">
        <f>"Company Official Inflation Forecast Dated 
"&amp;TEXT('OFPC Source'!C4,"mmmm yyyy")</f>
        <v>Company Official Inflation Forecast Dated 
March 2021</v>
      </c>
      <c r="G6" s="157"/>
      <c r="I6" s="45"/>
      <c r="M6" s="336"/>
      <c r="N6" s="45"/>
    </row>
    <row r="7" spans="2:14" ht="27" customHeight="1" x14ac:dyDescent="0.2">
      <c r="B7" s="158"/>
      <c r="C7" s="159" t="s">
        <v>26</v>
      </c>
      <c r="D7" s="159" t="s">
        <v>26</v>
      </c>
      <c r="F7" s="160" t="s">
        <v>0</v>
      </c>
      <c r="G7" s="161" t="s">
        <v>97</v>
      </c>
      <c r="I7" s="45"/>
      <c r="M7" s="336"/>
      <c r="N7" s="45"/>
    </row>
    <row r="8" spans="2:14" x14ac:dyDescent="0.2">
      <c r="C8" s="162"/>
      <c r="I8" s="45"/>
      <c r="M8" s="337"/>
    </row>
    <row r="9" spans="2:14" ht="21.75" customHeight="1" x14ac:dyDescent="0.2">
      <c r="I9" s="45"/>
      <c r="M9" s="338"/>
    </row>
    <row r="10" spans="2:14" x14ac:dyDescent="0.2">
      <c r="B10" s="163">
        <v>2018</v>
      </c>
      <c r="C10" s="164">
        <v>0.49912019717029882</v>
      </c>
      <c r="D10" s="164">
        <v>0.40627828950922651</v>
      </c>
      <c r="F10" s="135">
        <v>2018</v>
      </c>
      <c r="G10" s="134">
        <v>2.4E-2</v>
      </c>
      <c r="I10" s="45"/>
      <c r="J10" s="336"/>
      <c r="K10" s="336"/>
      <c r="L10" s="336"/>
      <c r="M10" s="336"/>
    </row>
    <row r="11" spans="2:14" x14ac:dyDescent="0.2">
      <c r="B11" s="163">
        <f t="shared" ref="B11:B34" si="0">B10+1</f>
        <v>2019</v>
      </c>
      <c r="C11" s="164">
        <v>0.30196788850926742</v>
      </c>
      <c r="D11" s="164">
        <v>0.24579850289728669</v>
      </c>
      <c r="F11" s="135">
        <f t="shared" ref="F11:F15" si="1">F10+1</f>
        <v>2019</v>
      </c>
      <c r="G11" s="134">
        <v>1.7999999999999999E-2</v>
      </c>
      <c r="I11" s="45"/>
      <c r="J11" s="45"/>
      <c r="K11" s="45"/>
      <c r="L11" s="45"/>
      <c r="M11" s="45"/>
    </row>
    <row r="12" spans="2:14" x14ac:dyDescent="0.2">
      <c r="B12" s="163">
        <f t="shared" si="0"/>
        <v>2020</v>
      </c>
      <c r="C12" s="164">
        <v>0.38605744429573696</v>
      </c>
      <c r="D12" s="164">
        <v>0.31424646610175083</v>
      </c>
      <c r="F12" s="135">
        <f t="shared" si="1"/>
        <v>2020</v>
      </c>
      <c r="G12" s="134">
        <v>1.2E-2</v>
      </c>
      <c r="I12" s="45"/>
      <c r="J12" s="45"/>
      <c r="K12" s="45"/>
      <c r="L12" s="45"/>
      <c r="M12" s="45"/>
    </row>
    <row r="13" spans="2:14" x14ac:dyDescent="0.2">
      <c r="B13" s="163">
        <f t="shared" si="0"/>
        <v>2021</v>
      </c>
      <c r="C13" s="164">
        <v>0.19026259044127605</v>
      </c>
      <c r="D13" s="164">
        <v>0.15487163260536557</v>
      </c>
      <c r="F13" s="135">
        <f t="shared" si="1"/>
        <v>2021</v>
      </c>
      <c r="G13" s="134">
        <v>2.1999999999999999E-2</v>
      </c>
      <c r="I13" s="45"/>
      <c r="J13" s="45"/>
      <c r="K13" s="45"/>
      <c r="L13" s="45"/>
    </row>
    <row r="14" spans="2:14" x14ac:dyDescent="0.2">
      <c r="B14" s="163">
        <f t="shared" si="0"/>
        <v>2022</v>
      </c>
      <c r="C14" s="164">
        <v>0.26521788978115668</v>
      </c>
      <c r="D14" s="164">
        <v>0.21588441264934433</v>
      </c>
      <c r="F14" s="135">
        <f t="shared" si="1"/>
        <v>2022</v>
      </c>
      <c r="G14" s="134">
        <v>1.7000000000000001E-2</v>
      </c>
      <c r="I14" s="45"/>
      <c r="J14" s="45"/>
      <c r="K14" s="45"/>
      <c r="L14" s="45"/>
    </row>
    <row r="15" spans="2:14" x14ac:dyDescent="0.2">
      <c r="B15" s="163">
        <f t="shared" si="0"/>
        <v>2023</v>
      </c>
      <c r="C15" s="164">
        <v>0.29031096877041845</v>
      </c>
      <c r="D15" s="164">
        <v>0.23630989987281315</v>
      </c>
      <c r="F15" s="135">
        <f t="shared" si="1"/>
        <v>2023</v>
      </c>
      <c r="G15" s="134">
        <v>2.1000000000000001E-2</v>
      </c>
      <c r="I15" s="45"/>
      <c r="J15" s="45"/>
      <c r="K15" s="45"/>
      <c r="L15" s="45"/>
    </row>
    <row r="16" spans="2:14" x14ac:dyDescent="0.2">
      <c r="B16" s="163">
        <f t="shared" si="0"/>
        <v>2024</v>
      </c>
      <c r="C16" s="164">
        <v>0.35319769579935506</v>
      </c>
      <c r="D16" s="164">
        <v>0.28749899627684544</v>
      </c>
      <c r="F16" s="135">
        <f>F15+1</f>
        <v>2024</v>
      </c>
      <c r="G16" s="134">
        <v>2.3E-2</v>
      </c>
      <c r="I16" s="45"/>
      <c r="J16" s="45"/>
      <c r="K16" s="45"/>
      <c r="L16" s="45"/>
    </row>
    <row r="17" spans="2:12" x14ac:dyDescent="0.2">
      <c r="B17" s="163">
        <f t="shared" si="0"/>
        <v>2025</v>
      </c>
      <c r="C17" s="164">
        <v>0.60941370736442146</v>
      </c>
      <c r="D17" s="164">
        <v>0.49605598017307989</v>
      </c>
      <c r="F17" s="135">
        <f t="shared" ref="F17:F24" si="2">F16+1</f>
        <v>2025</v>
      </c>
      <c r="G17" s="134">
        <v>2.4E-2</v>
      </c>
      <c r="I17" s="45"/>
      <c r="J17" s="45"/>
      <c r="K17" s="45"/>
      <c r="L17" s="45"/>
    </row>
    <row r="18" spans="2:12" x14ac:dyDescent="0.2">
      <c r="B18" s="163">
        <f t="shared" si="0"/>
        <v>2026</v>
      </c>
      <c r="C18" s="164">
        <v>0.44898722298124522</v>
      </c>
      <c r="D18" s="164">
        <v>0.36547060607543153</v>
      </c>
      <c r="F18" s="135">
        <f t="shared" si="2"/>
        <v>2026</v>
      </c>
      <c r="G18" s="134">
        <v>2.5000000000000001E-2</v>
      </c>
      <c r="I18" s="45"/>
      <c r="J18" s="45"/>
      <c r="K18" s="45"/>
      <c r="L18" s="45"/>
    </row>
    <row r="19" spans="2:12" x14ac:dyDescent="0.2">
      <c r="B19" s="163">
        <f t="shared" si="0"/>
        <v>2027</v>
      </c>
      <c r="C19" s="164">
        <v>0.69046096807709167</v>
      </c>
      <c r="D19" s="164">
        <v>0.56202754902249097</v>
      </c>
      <c r="F19" s="135">
        <f t="shared" si="2"/>
        <v>2027</v>
      </c>
      <c r="G19" s="134">
        <v>2.5000000000000001E-2</v>
      </c>
      <c r="I19" s="46"/>
      <c r="J19" s="45"/>
      <c r="K19" s="45"/>
      <c r="L19" s="45"/>
    </row>
    <row r="20" spans="2:12" x14ac:dyDescent="0.2">
      <c r="B20" s="163">
        <f t="shared" si="0"/>
        <v>2028</v>
      </c>
      <c r="C20" s="164">
        <v>0.93184750021195628</v>
      </c>
      <c r="D20" s="164">
        <v>0.7585135015892539</v>
      </c>
      <c r="F20" s="135">
        <f t="shared" si="2"/>
        <v>2028</v>
      </c>
      <c r="G20" s="134">
        <v>2.4E-2</v>
      </c>
      <c r="I20" s="46"/>
      <c r="J20" s="45"/>
      <c r="K20" s="45"/>
      <c r="L20" s="45"/>
    </row>
    <row r="21" spans="2:12" x14ac:dyDescent="0.2">
      <c r="B21" s="163">
        <f t="shared" si="0"/>
        <v>2029</v>
      </c>
      <c r="C21" s="164">
        <v>1.2916311880273861</v>
      </c>
      <c r="D21" s="164">
        <v>1.051373422120782</v>
      </c>
      <c r="F21" s="135">
        <f t="shared" si="2"/>
        <v>2029</v>
      </c>
      <c r="G21" s="134">
        <v>2.4E-2</v>
      </c>
    </row>
    <row r="22" spans="2:12" x14ac:dyDescent="0.2">
      <c r="B22" s="163">
        <f t="shared" si="0"/>
        <v>2030</v>
      </c>
      <c r="C22" s="164">
        <v>1.6085147121208658</v>
      </c>
      <c r="D22" s="164">
        <v>1.3093130864987153</v>
      </c>
      <c r="F22" s="135">
        <f t="shared" si="2"/>
        <v>2030</v>
      </c>
      <c r="G22" s="134">
        <v>2.3E-2</v>
      </c>
    </row>
    <row r="23" spans="2:12" x14ac:dyDescent="0.2">
      <c r="B23" s="163">
        <f t="shared" si="0"/>
        <v>2031</v>
      </c>
      <c r="C23" s="164">
        <v>1.6254368270464172</v>
      </c>
      <c r="D23" s="164">
        <v>1.3230874998480628</v>
      </c>
      <c r="F23" s="135">
        <f t="shared" si="2"/>
        <v>2031</v>
      </c>
      <c r="G23" s="134">
        <v>2.3E-2</v>
      </c>
    </row>
    <row r="24" spans="2:12" x14ac:dyDescent="0.2">
      <c r="B24" s="163">
        <f t="shared" si="0"/>
        <v>2032</v>
      </c>
      <c r="C24" s="164">
        <v>1.7442909194600571</v>
      </c>
      <c r="D24" s="164">
        <v>1.4198334092317086</v>
      </c>
      <c r="F24" s="135">
        <f t="shared" si="2"/>
        <v>2032</v>
      </c>
      <c r="G24" s="134">
        <v>2.3E-2</v>
      </c>
    </row>
    <row r="25" spans="2:12" x14ac:dyDescent="0.2">
      <c r="B25" s="163">
        <f t="shared" si="0"/>
        <v>2033</v>
      </c>
      <c r="C25" s="164">
        <v>1.7855297040207811</v>
      </c>
      <c r="D25" s="164">
        <v>1.4534013212251675</v>
      </c>
      <c r="F25" s="135">
        <f>F24+1</f>
        <v>2033</v>
      </c>
      <c r="G25" s="134">
        <v>2.3E-2</v>
      </c>
      <c r="I25" s="165"/>
    </row>
    <row r="26" spans="2:12" x14ac:dyDescent="0.2">
      <c r="B26" s="163">
        <f t="shared" si="0"/>
        <v>2034</v>
      </c>
      <c r="C26" s="164">
        <v>1.7492100105010278</v>
      </c>
      <c r="D26" s="164">
        <v>1.4238374946311698</v>
      </c>
      <c r="F26" s="135">
        <f t="shared" ref="F26:F34" si="3">F25+1</f>
        <v>2034</v>
      </c>
      <c r="G26" s="134">
        <v>2.4E-2</v>
      </c>
      <c r="I26" s="165"/>
    </row>
    <row r="27" spans="2:12" x14ac:dyDescent="0.2">
      <c r="B27" s="163">
        <f t="shared" si="0"/>
        <v>2035</v>
      </c>
      <c r="C27" s="164">
        <v>1.7151288710409893</v>
      </c>
      <c r="D27" s="164">
        <v>1.3960958261456016</v>
      </c>
      <c r="F27" s="135">
        <f t="shared" si="3"/>
        <v>2035</v>
      </c>
      <c r="G27" s="134">
        <v>2.4E-2</v>
      </c>
      <c r="I27" s="166"/>
    </row>
    <row r="28" spans="2:12" x14ac:dyDescent="0.2">
      <c r="B28" s="163">
        <f t="shared" si="0"/>
        <v>2036</v>
      </c>
      <c r="C28" s="164">
        <v>1.5785746030877137</v>
      </c>
      <c r="D28" s="164">
        <v>1.2849421707259792</v>
      </c>
      <c r="F28" s="135">
        <f t="shared" si="3"/>
        <v>2036</v>
      </c>
      <c r="G28" s="134">
        <v>2.3E-2</v>
      </c>
    </row>
    <row r="29" spans="2:12" x14ac:dyDescent="0.2">
      <c r="B29" s="163">
        <f t="shared" si="0"/>
        <v>2037</v>
      </c>
      <c r="C29" s="340">
        <f t="shared" ref="C29:C30" si="4">C28*(1+$G29)</f>
        <v>1.6148818189587311</v>
      </c>
      <c r="D29" s="340">
        <f t="shared" ref="D29:D30" si="5">D28*(1+$G29)</f>
        <v>1.3144958406526766</v>
      </c>
      <c r="F29" s="135">
        <f t="shared" si="3"/>
        <v>2037</v>
      </c>
      <c r="G29" s="134">
        <v>2.3E-2</v>
      </c>
      <c r="J29" s="167"/>
    </row>
    <row r="30" spans="2:12" x14ac:dyDescent="0.2">
      <c r="B30" s="163">
        <f t="shared" si="0"/>
        <v>2038</v>
      </c>
      <c r="C30" s="340">
        <f t="shared" si="4"/>
        <v>1.6520241007947818</v>
      </c>
      <c r="D30" s="340">
        <f t="shared" si="5"/>
        <v>1.344729244987688</v>
      </c>
      <c r="F30" s="135">
        <f t="shared" si="3"/>
        <v>2038</v>
      </c>
      <c r="G30" s="134">
        <v>2.3E-2</v>
      </c>
    </row>
    <row r="31" spans="2:12" x14ac:dyDescent="0.2">
      <c r="B31" s="163">
        <f t="shared" si="0"/>
        <v>2039</v>
      </c>
      <c r="C31" s="340">
        <f t="shared" ref="C31:D34" si="6">C30*(1+$G31)</f>
        <v>1.6900206551130617</v>
      </c>
      <c r="D31" s="340">
        <f t="shared" si="6"/>
        <v>1.3756580176224047</v>
      </c>
      <c r="F31" s="135">
        <f t="shared" si="3"/>
        <v>2039</v>
      </c>
      <c r="G31" s="134">
        <v>2.3E-2</v>
      </c>
    </row>
    <row r="32" spans="2:12" x14ac:dyDescent="0.2">
      <c r="B32" s="163">
        <f t="shared" si="0"/>
        <v>2040</v>
      </c>
      <c r="C32" s="340">
        <f t="shared" si="6"/>
        <v>1.728891130180662</v>
      </c>
      <c r="D32" s="340">
        <f t="shared" si="6"/>
        <v>1.4072981520277199</v>
      </c>
      <c r="F32" s="135">
        <f t="shared" si="3"/>
        <v>2040</v>
      </c>
      <c r="G32" s="134">
        <v>2.3E-2</v>
      </c>
    </row>
    <row r="33" spans="2:7" x14ac:dyDescent="0.2">
      <c r="B33" s="163">
        <f t="shared" si="0"/>
        <v>2041</v>
      </c>
      <c r="C33" s="340">
        <f t="shared" si="6"/>
        <v>1.768655626174817</v>
      </c>
      <c r="D33" s="340">
        <f t="shared" si="6"/>
        <v>1.4396660095243574</v>
      </c>
      <c r="F33" s="135">
        <f t="shared" si="3"/>
        <v>2041</v>
      </c>
      <c r="G33" s="134">
        <v>2.3E-2</v>
      </c>
    </row>
    <row r="34" spans="2:7" x14ac:dyDescent="0.2">
      <c r="B34" s="163">
        <f t="shared" si="0"/>
        <v>2042</v>
      </c>
      <c r="C34" s="340">
        <f t="shared" si="6"/>
        <v>1.8111033612030125</v>
      </c>
      <c r="D34" s="340">
        <f t="shared" si="6"/>
        <v>1.474217993752942</v>
      </c>
      <c r="F34" s="135">
        <f t="shared" si="3"/>
        <v>2042</v>
      </c>
      <c r="G34" s="134">
        <v>2.4E-2</v>
      </c>
    </row>
    <row r="35" spans="2:7" x14ac:dyDescent="0.2">
      <c r="B35" s="168"/>
      <c r="C35" s="169"/>
      <c r="F35" s="135"/>
      <c r="G35" s="134"/>
    </row>
    <row r="36" spans="2:7" x14ac:dyDescent="0.2">
      <c r="B36" s="168" t="s">
        <v>248</v>
      </c>
      <c r="C36" s="169"/>
      <c r="F36" s="135"/>
      <c r="G36" s="134"/>
    </row>
    <row r="37" spans="2:7" x14ac:dyDescent="0.2">
      <c r="B37" t="s">
        <v>130</v>
      </c>
      <c r="C37" s="169"/>
      <c r="F37" s="135"/>
      <c r="G37" s="134"/>
    </row>
    <row r="38" spans="2:7" x14ac:dyDescent="0.2">
      <c r="D38" s="168"/>
    </row>
    <row r="50" spans="2:8" x14ac:dyDescent="0.2">
      <c r="H50" s="154"/>
    </row>
    <row r="51" spans="2:8" s="154" customFormat="1" x14ac:dyDescent="0.2">
      <c r="B51" s="152"/>
      <c r="C51" s="152"/>
      <c r="D51" s="152"/>
      <c r="E51" s="152"/>
      <c r="F51" s="152"/>
      <c r="G51" s="152"/>
    </row>
    <row r="52" spans="2:8" s="154" customFormat="1" x14ac:dyDescent="0.2">
      <c r="D52" s="152"/>
    </row>
    <row r="53" spans="2:8" s="154" customFormat="1" x14ac:dyDescent="0.2">
      <c r="D53" s="152"/>
    </row>
    <row r="54" spans="2:8" s="154" customFormat="1" x14ac:dyDescent="0.2">
      <c r="D54" s="152"/>
    </row>
    <row r="55" spans="2:8" s="154" customFormat="1" x14ac:dyDescent="0.2">
      <c r="D55" s="152"/>
      <c r="H55" s="152"/>
    </row>
    <row r="56" spans="2:8" x14ac:dyDescent="0.2">
      <c r="B56" s="154"/>
      <c r="C56" s="154"/>
      <c r="E56" s="154"/>
      <c r="F56" s="154"/>
      <c r="G56" s="154"/>
    </row>
  </sheetData>
  <mergeCells count="1">
    <mergeCell ref="B1:G1"/>
  </mergeCells>
  <printOptions horizontalCentered="1"/>
  <pageMargins left="0.25" right="0.25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1"/>
  <sheetViews>
    <sheetView showGridLines="0" view="pageBreakPreview" topLeftCell="A5" zoomScale="80" zoomScaleNormal="80" zoomScaleSheetLayoutView="80" workbookViewId="0">
      <selection activeCell="B32" sqref="B32:F34"/>
    </sheetView>
  </sheetViews>
  <sheetFormatPr defaultColWidth="9.33203125" defaultRowHeight="12" x14ac:dyDescent="0.2"/>
  <cols>
    <col min="1" max="1" width="2.83203125" style="26" customWidth="1"/>
    <col min="2" max="2" width="16.5" style="26" customWidth="1"/>
    <col min="3" max="6" width="18.83203125" style="26" customWidth="1"/>
    <col min="7" max="7" width="17" style="26" customWidth="1"/>
    <col min="8" max="8" width="9.33203125" style="26"/>
    <col min="9" max="9" width="19" style="26" customWidth="1"/>
    <col min="10" max="10" width="20.1640625" style="26" customWidth="1"/>
    <col min="11" max="11" width="19" style="26" customWidth="1"/>
    <col min="12" max="12" width="26.83203125" style="26" customWidth="1"/>
    <col min="13" max="13" width="12.83203125" style="26" customWidth="1"/>
    <col min="14" max="14" width="16.6640625" style="26" customWidth="1"/>
    <col min="15" max="16384" width="9.33203125" style="26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18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47" t="s">
        <v>35</v>
      </c>
      <c r="I3" s="2"/>
      <c r="J3" s="2"/>
      <c r="K3" s="2"/>
      <c r="L3" s="2"/>
      <c r="M3" s="2"/>
      <c r="N3" s="2"/>
    </row>
    <row r="4" spans="1:14" x14ac:dyDescent="0.2">
      <c r="A4" s="27"/>
      <c r="C4" s="27"/>
      <c r="D4" s="27"/>
      <c r="E4" s="27"/>
      <c r="F4" s="27"/>
      <c r="G4" s="27"/>
      <c r="L4" s="125" t="s">
        <v>69</v>
      </c>
      <c r="M4" s="125"/>
    </row>
    <row r="5" spans="1:14" x14ac:dyDescent="0.2">
      <c r="A5" s="27"/>
      <c r="B5" s="27"/>
    </row>
    <row r="6" spans="1:14" x14ac:dyDescent="0.2">
      <c r="A6" s="27"/>
      <c r="B6" s="28" t="s">
        <v>29</v>
      </c>
      <c r="C6" s="29" t="s">
        <v>122</v>
      </c>
      <c r="D6" s="29"/>
      <c r="E6" s="49" t="s">
        <v>28</v>
      </c>
      <c r="F6" s="29"/>
      <c r="G6" s="29"/>
    </row>
    <row r="7" spans="1:14" ht="14.25" x14ac:dyDescent="0.35">
      <c r="A7" s="27"/>
      <c r="B7" s="28" t="s">
        <v>27</v>
      </c>
      <c r="C7" s="30" t="s">
        <v>9</v>
      </c>
      <c r="D7" s="30" t="s">
        <v>10</v>
      </c>
      <c r="E7" s="30" t="s">
        <v>9</v>
      </c>
      <c r="F7" s="30" t="s">
        <v>10</v>
      </c>
      <c r="G7" s="30"/>
    </row>
    <row r="8" spans="1:14" x14ac:dyDescent="0.2">
      <c r="A8" s="31"/>
      <c r="B8" s="32"/>
      <c r="C8" s="33"/>
      <c r="D8" s="33"/>
      <c r="E8" s="33"/>
      <c r="F8" s="33"/>
      <c r="G8" s="33"/>
    </row>
    <row r="9" spans="1:14" hidden="1" x14ac:dyDescent="0.2">
      <c r="A9" s="31"/>
      <c r="B9" s="32"/>
      <c r="C9" s="33"/>
      <c r="D9" s="33"/>
      <c r="E9" s="33"/>
      <c r="F9" s="33"/>
      <c r="G9" s="33"/>
      <c r="H9" s="126"/>
    </row>
    <row r="10" spans="1:14" hidden="1" x14ac:dyDescent="0.2">
      <c r="A10" s="31"/>
      <c r="B10" s="128">
        <f>[20]SourceEnergy!$R$20</f>
        <v>2017</v>
      </c>
      <c r="C10" s="34">
        <f>INDEX([20]SourceEnergy!$S$20:$T$40,MATCH($B10,[20]SourceEnergy!$R$20:$R$40,0),MATCH(C$7,[20]SourceEnergy!$S$12:$T$12,0))/10</f>
        <v>0</v>
      </c>
      <c r="D10" s="34">
        <f>INDEX([20]SourceEnergy!$S$20:$T$40,MATCH($B10,[20]SourceEnergy!$R$20:$R$40,0),MATCH(D$7,[20]SourceEnergy!$S$12:$T$12,0))/10</f>
        <v>0</v>
      </c>
      <c r="E10" s="34">
        <f>INDEX([20]SourceEnergy!$U$20:$V$40,MATCH($B10,[20]SourceEnergy!$R$20:$R$40,0),MATCH(E$7,[20]SourceEnergy!$U$12:$V$12,0))/10</f>
        <v>0</v>
      </c>
      <c r="F10" s="34">
        <f>INDEX([20]SourceEnergy!$U$20:$V$40,MATCH($B10,[20]SourceEnergy!$R$20:$R$40,0),MATCH(F$7,[20]SourceEnergy!$U$12:$V$12,0))/10</f>
        <v>0</v>
      </c>
      <c r="G10" s="33"/>
      <c r="H10" s="126"/>
    </row>
    <row r="11" spans="1:14" hidden="1" x14ac:dyDescent="0.2">
      <c r="A11" s="31"/>
      <c r="B11" s="128">
        <v>2020</v>
      </c>
      <c r="C11" s="34">
        <f>INDEX([20]SourceEnergy!$S$20:$T$45,MATCH($B11,[20]SourceEnergy!$R$20:$R$45,0),MATCH(C$7,[20]SourceEnergy!$S$12:$T$12,0))/10</f>
        <v>0</v>
      </c>
      <c r="D11" s="34">
        <f>INDEX([20]SourceEnergy!$S$20:$T$45,MATCH($B11,[20]SourceEnergy!$R$20:$R$45,0),MATCH(D$7,[20]SourceEnergy!$S$12:$T$12,0))/10</f>
        <v>0</v>
      </c>
      <c r="E11" s="34">
        <f>INDEX([20]SourceEnergy!$U$20:$V$45,MATCH($B11,[20]SourceEnergy!$R$20:$R$45,0),MATCH(E$7,[20]SourceEnergy!$U$12:$V$12,0))/10</f>
        <v>0</v>
      </c>
      <c r="F11" s="34">
        <f>INDEX([20]SourceEnergy!$U$20:$V$45,MATCH($B11,[20]SourceEnergy!$R$20:$R$45,0),MATCH(F$7,[20]SourceEnergy!$U$12:$V$12,0))/10</f>
        <v>0</v>
      </c>
      <c r="G11" s="33"/>
      <c r="H11" s="126"/>
    </row>
    <row r="12" spans="1:14" x14ac:dyDescent="0.2">
      <c r="A12" s="31"/>
      <c r="B12" s="128">
        <f t="shared" ref="B12:B30" si="0">B11+1</f>
        <v>2021</v>
      </c>
      <c r="C12" s="34">
        <f>INDEX([20]SourceEnergy!$S$20:$T$45,MATCH($B12,[20]SourceEnergy!$R$20:$R$45,0),MATCH(C$7,[20]SourceEnergy!$S$12:$T$12,0))/10</f>
        <v>2.0028226167030461</v>
      </c>
      <c r="D12" s="34">
        <f>INDEX([20]SourceEnergy!$S$20:$T$45,MATCH($B12,[20]SourceEnergy!$R$20:$R$45,0),MATCH(D$7,[20]SourceEnergy!$S$12:$T$12,0))/10</f>
        <v>4.815785615832513</v>
      </c>
      <c r="E12" s="34">
        <f>INDEX([20]SourceEnergy!$U$20:$V$45,MATCH($B12,[20]SourceEnergy!$R$20:$R$45,0),MATCH(E$7,[20]SourceEnergy!$U$12:$V$12,0))/10</f>
        <v>1.7306795904031915</v>
      </c>
      <c r="F12" s="34">
        <f>INDEX([20]SourceEnergy!$U$20:$V$45,MATCH($B12,[20]SourceEnergy!$R$20:$R$45,0),MATCH(F$7,[20]SourceEnergy!$U$12:$V$12,0))/10</f>
        <v>1.5730649595357533</v>
      </c>
      <c r="G12" s="33"/>
      <c r="H12" s="126"/>
    </row>
    <row r="13" spans="1:14" x14ac:dyDescent="0.2">
      <c r="A13" s="31"/>
      <c r="B13" s="128">
        <f t="shared" si="0"/>
        <v>2022</v>
      </c>
      <c r="C13" s="34">
        <f>INDEX([20]SourceEnergy!$S$20:$T$45,MATCH($B13,[20]SourceEnergy!$R$20:$R$45,0),MATCH(C$7,[20]SourceEnergy!$S$12:$T$12,0))/10</f>
        <v>2.0795206782256299</v>
      </c>
      <c r="D13" s="34">
        <f>INDEX([20]SourceEnergy!$S$20:$T$45,MATCH($B13,[20]SourceEnergy!$R$20:$R$45,0),MATCH(D$7,[20]SourceEnergy!$S$12:$T$12,0))/10</f>
        <v>3.8627400566075565</v>
      </c>
      <c r="E13" s="34">
        <f>INDEX([20]SourceEnergy!$U$20:$V$45,MATCH($B13,[20]SourceEnergy!$R$20:$R$45,0),MATCH(E$7,[20]SourceEnergy!$U$12:$V$12,0))/10</f>
        <v>1.882387250872974</v>
      </c>
      <c r="F13" s="34">
        <f>INDEX([20]SourceEnergy!$U$20:$V$45,MATCH($B13,[20]SourceEnergy!$R$20:$R$45,0),MATCH(F$7,[20]SourceEnergy!$U$12:$V$12,0))/10</f>
        <v>1.7591992136570034</v>
      </c>
      <c r="G13" s="33"/>
      <c r="H13" s="126"/>
    </row>
    <row r="14" spans="1:14" x14ac:dyDescent="0.2">
      <c r="A14" s="31"/>
      <c r="B14" s="128">
        <f t="shared" si="0"/>
        <v>2023</v>
      </c>
      <c r="C14" s="34">
        <f>INDEX([20]SourceEnergy!$S$20:$T$45,MATCH($B14,[20]SourceEnergy!$R$20:$R$45,0),MATCH(C$7,[20]SourceEnergy!$S$12:$T$12,0))/10</f>
        <v>1.8633509355662941</v>
      </c>
      <c r="D14" s="34">
        <f>INDEX([20]SourceEnergy!$S$20:$T$45,MATCH($B14,[20]SourceEnergy!$R$20:$R$45,0),MATCH(D$7,[20]SourceEnergy!$S$12:$T$12,0))/10</f>
        <v>3.6667691623832885</v>
      </c>
      <c r="E14" s="34">
        <f>INDEX([20]SourceEnergy!$U$20:$V$45,MATCH($B14,[20]SourceEnergy!$R$20:$R$45,0),MATCH(E$7,[20]SourceEnergy!$U$12:$V$12,0))/10</f>
        <v>1.7716581236031719</v>
      </c>
      <c r="F14" s="34">
        <f>INDEX([20]SourceEnergy!$U$20:$V$45,MATCH($B14,[20]SourceEnergy!$R$20:$R$45,0),MATCH(F$7,[20]SourceEnergy!$U$12:$V$12,0))/10</f>
        <v>1.9423489759813346</v>
      </c>
      <c r="G14" s="33"/>
      <c r="H14" s="126"/>
    </row>
    <row r="15" spans="1:14" x14ac:dyDescent="0.2">
      <c r="A15" s="31"/>
      <c r="B15" s="128">
        <f t="shared" si="0"/>
        <v>2024</v>
      </c>
      <c r="C15" s="34">
        <f>INDEX([20]SourceEnergy!$S$20:$T$45,MATCH($B15,[20]SourceEnergy!$R$20:$R$45,0),MATCH(C$7,[20]SourceEnergy!$S$12:$T$12,0))/10</f>
        <v>1.5962179537698258</v>
      </c>
      <c r="D15" s="34">
        <f>INDEX([20]SourceEnergy!$S$20:$T$45,MATCH($B15,[20]SourceEnergy!$R$20:$R$45,0),MATCH(D$7,[20]SourceEnergy!$S$12:$T$12,0))/10</f>
        <v>3.3279763066087775</v>
      </c>
      <c r="E15" s="34">
        <f>INDEX([20]SourceEnergy!$U$20:$V$45,MATCH($B15,[20]SourceEnergy!$R$20:$R$45,0),MATCH(E$7,[20]SourceEnergy!$U$12:$V$12,0))/10</f>
        <v>1.4944655770148603</v>
      </c>
      <c r="F15" s="34">
        <f>INDEX([20]SourceEnergy!$U$20:$V$45,MATCH($B15,[20]SourceEnergy!$R$20:$R$45,0),MATCH(F$7,[20]SourceEnergy!$U$12:$V$12,0))/10</f>
        <v>1.7967262548513734</v>
      </c>
      <c r="G15" s="33"/>
      <c r="H15" s="126"/>
    </row>
    <row r="16" spans="1:14" x14ac:dyDescent="0.2">
      <c r="A16" s="31"/>
      <c r="B16" s="128">
        <f t="shared" si="0"/>
        <v>2025</v>
      </c>
      <c r="C16" s="34">
        <f>INDEX([20]SourceEnergy!$S$20:$T$45,MATCH($B16,[20]SourceEnergy!$R$20:$R$45,0),MATCH(C$7,[20]SourceEnergy!$S$12:$T$12,0))/10</f>
        <v>1.7585123426888594</v>
      </c>
      <c r="D16" s="34">
        <f>INDEX([20]SourceEnergy!$S$20:$T$45,MATCH($B16,[20]SourceEnergy!$R$20:$R$45,0),MATCH(D$7,[20]SourceEnergy!$S$12:$T$12,0))/10</f>
        <v>3.6038538763250272</v>
      </c>
      <c r="E16" s="34">
        <f>INDEX([20]SourceEnergy!$U$20:$V$45,MATCH($B16,[20]SourceEnergy!$R$20:$R$45,0),MATCH(E$7,[20]SourceEnergy!$U$12:$V$12,0))/10</f>
        <v>1.6729803830225454</v>
      </c>
      <c r="F16" s="34">
        <f>INDEX([20]SourceEnergy!$U$20:$V$45,MATCH($B16,[20]SourceEnergy!$R$20:$R$45,0),MATCH(F$7,[20]SourceEnergy!$U$12:$V$12,0))/10</f>
        <v>2.1136985547853255</v>
      </c>
      <c r="G16" s="33"/>
      <c r="H16" s="126"/>
    </row>
    <row r="17" spans="1:14" x14ac:dyDescent="0.2">
      <c r="A17" s="31"/>
      <c r="B17" s="128">
        <f t="shared" si="0"/>
        <v>2026</v>
      </c>
      <c r="C17" s="34">
        <f>INDEX([20]SourceEnergy!$S$20:$T$45,MATCH($B17,[20]SourceEnergy!$R$20:$R$45,0),MATCH(C$7,[20]SourceEnergy!$S$12:$T$12,0))/10</f>
        <v>2.7427985027383746</v>
      </c>
      <c r="D17" s="34">
        <f>INDEX([20]SourceEnergy!$S$20:$T$45,MATCH($B17,[20]SourceEnergy!$R$20:$R$45,0),MATCH(D$7,[20]SourceEnergy!$S$12:$T$12,0))/10</f>
        <v>5.8151065296639421</v>
      </c>
      <c r="E17" s="34">
        <f>INDEX([20]SourceEnergy!$U$20:$V$45,MATCH($B17,[20]SourceEnergy!$R$20:$R$45,0),MATCH(E$7,[20]SourceEnergy!$U$12:$V$12,0))/10</f>
        <v>2.6811246566228388</v>
      </c>
      <c r="F17" s="34">
        <f>INDEX([20]SourceEnergy!$U$20:$V$45,MATCH($B17,[20]SourceEnergy!$R$20:$R$45,0),MATCH(F$7,[20]SourceEnergy!$U$12:$V$12,0))/10</f>
        <v>3.2690962656264575</v>
      </c>
      <c r="G17" s="33"/>
      <c r="H17" s="126"/>
    </row>
    <row r="18" spans="1:14" x14ac:dyDescent="0.2">
      <c r="A18" s="31"/>
      <c r="B18" s="128">
        <f t="shared" si="0"/>
        <v>2027</v>
      </c>
      <c r="C18" s="34">
        <f>INDEX([20]SourceEnergy!$S$20:$T$45,MATCH($B18,[20]SourceEnergy!$R$20:$R$45,0),MATCH(C$7,[20]SourceEnergy!$S$12:$T$12,0))/10</f>
        <v>2.6166988404571105</v>
      </c>
      <c r="D18" s="34">
        <f>INDEX([20]SourceEnergy!$S$20:$T$45,MATCH($B18,[20]SourceEnergy!$R$20:$R$45,0),MATCH(D$7,[20]SourceEnergy!$S$12:$T$12,0))/10</f>
        <v>7.2276965067027561</v>
      </c>
      <c r="E18" s="34">
        <f>INDEX([20]SourceEnergy!$U$20:$V$45,MATCH($B18,[20]SourceEnergy!$R$20:$R$45,0),MATCH(E$7,[20]SourceEnergy!$U$12:$V$12,0))/10</f>
        <v>2.5879469704058637</v>
      </c>
      <c r="F18" s="34">
        <f>INDEX([20]SourceEnergy!$U$20:$V$45,MATCH($B18,[20]SourceEnergy!$R$20:$R$45,0),MATCH(F$7,[20]SourceEnergy!$U$12:$V$12,0))/10</f>
        <v>3.2948735184039628</v>
      </c>
      <c r="G18" s="33"/>
      <c r="H18" s="126"/>
    </row>
    <row r="19" spans="1:14" x14ac:dyDescent="0.2">
      <c r="A19" s="31"/>
      <c r="B19" s="128">
        <f t="shared" si="0"/>
        <v>2028</v>
      </c>
      <c r="C19" s="34">
        <f>INDEX([20]SourceEnergy!$S$20:$T$45,MATCH($B19,[20]SourceEnergy!$R$20:$R$45,0),MATCH(C$7,[20]SourceEnergy!$S$12:$T$12,0))/10</f>
        <v>2.902792972416945</v>
      </c>
      <c r="D19" s="34">
        <f>INDEX([20]SourceEnergy!$S$20:$T$45,MATCH($B19,[20]SourceEnergy!$R$20:$R$45,0),MATCH(D$7,[20]SourceEnergy!$S$12:$T$12,0))/10</f>
        <v>7.560215688706954</v>
      </c>
      <c r="E19" s="34">
        <f>INDEX([20]SourceEnergy!$U$20:$V$45,MATCH($B19,[20]SourceEnergy!$R$20:$R$45,0),MATCH(E$7,[20]SourceEnergy!$U$12:$V$12,0))/10</f>
        <v>2.8838148325039232</v>
      </c>
      <c r="F19" s="34">
        <f>INDEX([20]SourceEnergy!$U$20:$V$45,MATCH($B19,[20]SourceEnergy!$R$20:$R$45,0),MATCH(F$7,[20]SourceEnergy!$U$12:$V$12,0))/10</f>
        <v>3.5359061883844669</v>
      </c>
      <c r="G19" s="33"/>
      <c r="H19" s="56"/>
    </row>
    <row r="20" spans="1:14" x14ac:dyDescent="0.2">
      <c r="A20" s="31"/>
      <c r="B20" s="128">
        <f t="shared" si="0"/>
        <v>2029</v>
      </c>
      <c r="C20" s="34">
        <f>INDEX([20]SourceEnergy!$S$20:$T$45,MATCH($B20,[20]SourceEnergy!$R$20:$R$45,0),MATCH(C$7,[20]SourceEnergy!$S$12:$T$12,0))/10</f>
        <v>2.9181585908289271</v>
      </c>
      <c r="D20" s="34">
        <f>INDEX([20]SourceEnergy!$S$20:$T$45,MATCH($B20,[20]SourceEnergy!$R$20:$R$45,0),MATCH(D$7,[20]SourceEnergy!$S$12:$T$12,0))/10</f>
        <v>8.5511524432898511</v>
      </c>
      <c r="E20" s="34">
        <f>INDEX([20]SourceEnergy!$U$20:$V$45,MATCH($B20,[20]SourceEnergy!$R$20:$R$45,0),MATCH(E$7,[20]SourceEnergy!$U$12:$V$12,0))/10</f>
        <v>2.9428071641126814</v>
      </c>
      <c r="F20" s="34">
        <f>INDEX([20]SourceEnergy!$U$20:$V$45,MATCH($B20,[20]SourceEnergy!$R$20:$R$45,0),MATCH(F$7,[20]SourceEnergy!$U$12:$V$12,0))/10</f>
        <v>3.7644643722787761</v>
      </c>
      <c r="G20" s="33"/>
      <c r="H20" s="56"/>
    </row>
    <row r="21" spans="1:14" x14ac:dyDescent="0.2">
      <c r="A21" s="31"/>
      <c r="B21" s="128">
        <f t="shared" si="0"/>
        <v>2030</v>
      </c>
      <c r="C21" s="34">
        <f>INDEX([20]SourceEnergy!$S$20:$T$45,MATCH($B21,[20]SourceEnergy!$R$20:$R$45,0),MATCH(C$7,[20]SourceEnergy!$S$12:$T$12,0))/10</f>
        <v>2.8724682458476907</v>
      </c>
      <c r="D21" s="34">
        <f>INDEX([20]SourceEnergy!$S$20:$T$45,MATCH($B21,[20]SourceEnergy!$R$20:$R$45,0),MATCH(D$7,[20]SourceEnergy!$S$12:$T$12,0))/10</f>
        <v>8.3085788262727327</v>
      </c>
      <c r="E21" s="34">
        <f>INDEX([20]SourceEnergy!$U$20:$V$45,MATCH($B21,[20]SourceEnergy!$R$20:$R$45,0),MATCH(E$7,[20]SourceEnergy!$U$12:$V$12,0))/10</f>
        <v>2.95509491745478</v>
      </c>
      <c r="F21" s="34">
        <f>INDEX([20]SourceEnergy!$U$20:$V$45,MATCH($B21,[20]SourceEnergy!$R$20:$R$45,0),MATCH(F$7,[20]SourceEnergy!$U$12:$V$12,0))/10</f>
        <v>3.9023514629809526</v>
      </c>
      <c r="G21" s="34"/>
      <c r="H21" s="56"/>
    </row>
    <row r="22" spans="1:14" x14ac:dyDescent="0.2">
      <c r="A22" s="31"/>
      <c r="B22" s="128">
        <f t="shared" si="0"/>
        <v>2031</v>
      </c>
      <c r="C22" s="34">
        <f>INDEX([20]SourceEnergy!$S$20:$T$45,MATCH($B22,[20]SourceEnergy!$R$20:$R$45,0),MATCH(C$7,[20]SourceEnergy!$S$12:$T$12,0))/10</f>
        <v>3.1738637924026745</v>
      </c>
      <c r="D22" s="34">
        <f>INDEX([20]SourceEnergy!$S$20:$T$45,MATCH($B22,[20]SourceEnergy!$R$20:$R$45,0),MATCH(D$7,[20]SourceEnergy!$S$12:$T$12,0))/10</f>
        <v>7.9679870575905003</v>
      </c>
      <c r="E22" s="34">
        <f>INDEX([20]SourceEnergy!$U$20:$V$45,MATCH($B22,[20]SourceEnergy!$R$20:$R$45,0),MATCH(E$7,[20]SourceEnergy!$U$12:$V$12,0))/10</f>
        <v>3.2721144916700715</v>
      </c>
      <c r="F22" s="34">
        <f>INDEX([20]SourceEnergy!$U$20:$V$45,MATCH($B22,[20]SourceEnergy!$R$20:$R$45,0),MATCH(F$7,[20]SourceEnergy!$U$12:$V$12,0))/10</f>
        <v>4.2414538892854088</v>
      </c>
      <c r="G22" s="34"/>
      <c r="H22" s="56"/>
    </row>
    <row r="23" spans="1:14" x14ac:dyDescent="0.2">
      <c r="A23" s="31"/>
      <c r="B23" s="128">
        <f t="shared" si="0"/>
        <v>2032</v>
      </c>
      <c r="C23" s="34">
        <f>INDEX([20]SourceEnergy!$S$20:$T$45,MATCH($B23,[20]SourceEnergy!$R$20:$R$45,0),MATCH(C$7,[20]SourceEnergy!$S$12:$T$12,0))/10</f>
        <v>3.3838856780730482</v>
      </c>
      <c r="D23" s="34">
        <f>INDEX([20]SourceEnergy!$S$20:$T$45,MATCH($B23,[20]SourceEnergy!$R$20:$R$45,0),MATCH(D$7,[20]SourceEnergy!$S$12:$T$12,0))/10</f>
        <v>7.7592622253047407</v>
      </c>
      <c r="E23" s="34">
        <f>INDEX([20]SourceEnergy!$U$20:$V$45,MATCH($B23,[20]SourceEnergy!$R$20:$R$45,0),MATCH(E$7,[20]SourceEnergy!$U$12:$V$12,0))/10</f>
        <v>3.5228738307585332</v>
      </c>
      <c r="F23" s="34">
        <f>INDEX([20]SourceEnergy!$U$20:$V$45,MATCH($B23,[20]SourceEnergy!$R$20:$R$45,0),MATCH(F$7,[20]SourceEnergy!$U$12:$V$12,0))/10</f>
        <v>4.4686060277902451</v>
      </c>
      <c r="G23" s="34"/>
      <c r="H23" s="56"/>
    </row>
    <row r="24" spans="1:14" x14ac:dyDescent="0.2">
      <c r="A24" s="31"/>
      <c r="B24" s="128">
        <f t="shared" si="0"/>
        <v>2033</v>
      </c>
      <c r="C24" s="34">
        <f>INDEX([20]SourceEnergy!$S$20:$T$45,MATCH($B24,[20]SourceEnergy!$R$20:$R$45,0),MATCH(C$7,[20]SourceEnergy!$S$12:$T$12,0))/10</f>
        <v>3.5300539244289602</v>
      </c>
      <c r="D24" s="34">
        <f>INDEX([20]SourceEnergy!$S$20:$T$45,MATCH($B24,[20]SourceEnergy!$R$20:$R$45,0),MATCH(D$7,[20]SourceEnergy!$S$12:$T$12,0))/10</f>
        <v>7.9776910286363147</v>
      </c>
      <c r="E24" s="34">
        <f>INDEX([20]SourceEnergy!$U$20:$V$45,MATCH($B24,[20]SourceEnergy!$R$20:$R$45,0),MATCH(E$7,[20]SourceEnergy!$U$12:$V$12,0))/10</f>
        <v>3.6831269568112921</v>
      </c>
      <c r="F24" s="34">
        <f>INDEX([20]SourceEnergy!$U$20:$V$45,MATCH($B24,[20]SourceEnergy!$R$20:$R$45,0),MATCH(F$7,[20]SourceEnergy!$U$12:$V$12,0))/10</f>
        <v>4.6557220648642978</v>
      </c>
      <c r="G24" s="34"/>
      <c r="H24" s="56"/>
    </row>
    <row r="25" spans="1:14" x14ac:dyDescent="0.2">
      <c r="A25" s="31"/>
      <c r="B25" s="128">
        <f t="shared" si="0"/>
        <v>2034</v>
      </c>
      <c r="C25" s="34">
        <f>INDEX([20]SourceEnergy!$S$20:$T$45,MATCH($B25,[20]SourceEnergy!$R$20:$R$45,0),MATCH(C$7,[20]SourceEnergy!$S$12:$T$12,0))/10</f>
        <v>3.57490285858364</v>
      </c>
      <c r="D25" s="34">
        <f>INDEX([20]SourceEnergy!$S$20:$T$45,MATCH($B25,[20]SourceEnergy!$R$20:$R$45,0),MATCH(D$7,[20]SourceEnergy!$S$12:$T$12,0))/10</f>
        <v>8.2129854556111752</v>
      </c>
      <c r="E25" s="34">
        <f>INDEX([20]SourceEnergy!$U$20:$V$45,MATCH($B25,[20]SourceEnergy!$R$20:$R$45,0),MATCH(E$7,[20]SourceEnergy!$U$12:$V$12,0))/10</f>
        <v>3.781542595815194</v>
      </c>
      <c r="F25" s="34">
        <f>INDEX([20]SourceEnergy!$U$20:$V$45,MATCH($B25,[20]SourceEnergy!$R$20:$R$45,0),MATCH(F$7,[20]SourceEnergy!$U$12:$V$12,0))/10</f>
        <v>4.7999725443210286</v>
      </c>
      <c r="G25" s="34"/>
      <c r="H25" s="56"/>
    </row>
    <row r="26" spans="1:14" x14ac:dyDescent="0.2">
      <c r="A26" s="31"/>
      <c r="B26" s="128">
        <f t="shared" si="0"/>
        <v>2035</v>
      </c>
      <c r="C26" s="34">
        <f>INDEX([20]SourceEnergy!$S$20:$T$45,MATCH($B26,[20]SourceEnergy!$R$20:$R$45,0),MATCH(C$7,[20]SourceEnergy!$S$12:$T$12,0))/10</f>
        <v>3.5062605384275138</v>
      </c>
      <c r="D26" s="34">
        <f>INDEX([20]SourceEnergy!$S$20:$T$45,MATCH($B26,[20]SourceEnergy!$R$20:$R$45,0),MATCH(D$7,[20]SourceEnergy!$S$12:$T$12,0))/10</f>
        <v>9.0708238377902752</v>
      </c>
      <c r="E26" s="34">
        <f>INDEX([20]SourceEnergy!$U$20:$V$45,MATCH($B26,[20]SourceEnergy!$R$20:$R$45,0),MATCH(E$7,[20]SourceEnergy!$U$12:$V$12,0))/10</f>
        <v>3.7301608111075053</v>
      </c>
      <c r="F26" s="34">
        <f>INDEX([20]SourceEnergy!$U$20:$V$45,MATCH($B26,[20]SourceEnergy!$R$20:$R$45,0),MATCH(F$7,[20]SourceEnergy!$U$12:$V$12,0))/10</f>
        <v>4.9181924041834488</v>
      </c>
      <c r="G26" s="34"/>
      <c r="H26" s="56"/>
    </row>
    <row r="27" spans="1:14" x14ac:dyDescent="0.2">
      <c r="A27" s="31"/>
      <c r="B27" s="128">
        <f t="shared" si="0"/>
        <v>2036</v>
      </c>
      <c r="C27" s="34">
        <f>INDEX([20]SourceEnergy!$S$20:$T$45,MATCH($B27,[20]SourceEnergy!$R$20:$R$45,0),MATCH(C$7,[20]SourceEnergy!$S$12:$T$12,0))/10</f>
        <v>3.5934444195508561</v>
      </c>
      <c r="D27" s="34">
        <f>INDEX([20]SourceEnergy!$S$20:$T$45,MATCH($B27,[20]SourceEnergy!$R$20:$R$45,0),MATCH(D$7,[20]SourceEnergy!$S$12:$T$12,0))/10</f>
        <v>9.9293874189855877</v>
      </c>
      <c r="E27" s="34">
        <f>INDEX([20]SourceEnergy!$U$20:$V$45,MATCH($B27,[20]SourceEnergy!$R$20:$R$45,0),MATCH(E$7,[20]SourceEnergy!$U$12:$V$12,0))/10</f>
        <v>3.8058130581950897</v>
      </c>
      <c r="F27" s="34">
        <f>INDEX([20]SourceEnergy!$U$20:$V$45,MATCH($B27,[20]SourceEnergy!$R$20:$R$45,0),MATCH(F$7,[20]SourceEnergy!$U$12:$V$12,0))/10</f>
        <v>5.0286123176958677</v>
      </c>
      <c r="G27" s="34"/>
      <c r="H27" s="56"/>
    </row>
    <row r="28" spans="1:14" x14ac:dyDescent="0.2">
      <c r="A28" s="31"/>
      <c r="B28" s="128">
        <f t="shared" si="0"/>
        <v>2037</v>
      </c>
      <c r="C28" s="34">
        <f>INDEX([20]SourceEnergy!$S$20:$T$45,MATCH($B28,[20]SourceEnergy!$R$20:$R$45,0),MATCH(C$7,[20]SourceEnergy!$S$12:$T$12,0))/10</f>
        <v>3.7654297285619145</v>
      </c>
      <c r="D28" s="34">
        <f>INDEX([20]SourceEnergy!$S$20:$T$45,MATCH($B28,[20]SourceEnergy!$R$20:$R$45,0),MATCH(D$7,[20]SourceEnergy!$S$12:$T$12,0))/10</f>
        <v>9.6648811033574216</v>
      </c>
      <c r="E28" s="34">
        <f>INDEX([20]SourceEnergy!$U$20:$V$45,MATCH($B28,[20]SourceEnergy!$R$20:$R$45,0),MATCH(E$7,[20]SourceEnergy!$U$12:$V$12,0))/10</f>
        <v>4.0311331315452277</v>
      </c>
      <c r="F28" s="34">
        <f>INDEX([20]SourceEnergy!$U$20:$V$45,MATCH($B28,[20]SourceEnergy!$R$20:$R$45,0),MATCH(F$7,[20]SourceEnergy!$U$12:$V$12,0))/10</f>
        <v>5.4249485685932726</v>
      </c>
      <c r="G28" s="34"/>
      <c r="H28" s="56"/>
    </row>
    <row r="29" spans="1:14" x14ac:dyDescent="0.2">
      <c r="A29" s="31"/>
      <c r="B29" s="128">
        <f t="shared" si="0"/>
        <v>2038</v>
      </c>
      <c r="C29" s="34">
        <f>INDEX([20]SourceEnergy!$S$20:$T$45,MATCH($B29,[20]SourceEnergy!$R$20:$R$45,0),MATCH(C$7,[20]SourceEnergy!$S$12:$T$12,0))/10</f>
        <v>3.7527112812462731</v>
      </c>
      <c r="D29" s="34">
        <f>INDEX([20]SourceEnergy!$S$20:$T$45,MATCH($B29,[20]SourceEnergy!$R$20:$R$45,0),MATCH(D$7,[20]SourceEnergy!$S$12:$T$12,0))/10</f>
        <v>10.277876893398544</v>
      </c>
      <c r="E29" s="34">
        <f>INDEX([20]SourceEnergy!$U$20:$V$45,MATCH($B29,[20]SourceEnergy!$R$20:$R$45,0),MATCH(E$7,[20]SourceEnergy!$U$12:$V$12,0))/10</f>
        <v>4.0684144495127601</v>
      </c>
      <c r="F29" s="34">
        <f>INDEX([20]SourceEnergy!$U$20:$V$45,MATCH($B29,[20]SourceEnergy!$R$20:$R$45,0),MATCH(F$7,[20]SourceEnergy!$U$12:$V$12,0))/10</f>
        <v>5.473444206677943</v>
      </c>
      <c r="G29" s="34"/>
      <c r="H29" s="56"/>
    </row>
    <row r="30" spans="1:14" hidden="1" x14ac:dyDescent="0.2">
      <c r="A30" s="31"/>
      <c r="B30" s="128">
        <f t="shared" si="0"/>
        <v>2039</v>
      </c>
      <c r="C30" s="34">
        <f>INDEX([20]SourceEnergy!$S$20:$T$45,MATCH($B30,[20]SourceEnergy!$R$20:$R$45,0),MATCH(C$7,[20]SourceEnergy!$S$12:$T$12,0))/10</f>
        <v>3.8403702251424519</v>
      </c>
      <c r="D30" s="34">
        <f>INDEX([20]SourceEnergy!$S$20:$T$45,MATCH($B30,[20]SourceEnergy!$R$20:$R$45,0),MATCH(D$7,[20]SourceEnergy!$S$12:$T$12,0))/10</f>
        <v>10.538789985228998</v>
      </c>
      <c r="E30" s="34">
        <f>INDEX([20]SourceEnergy!$U$20:$V$45,MATCH($B30,[20]SourceEnergy!$R$20:$R$45,0),MATCH(E$7,[20]SourceEnergy!$U$12:$V$12,0))/10</f>
        <v>4.16433695654875</v>
      </c>
      <c r="F30" s="34">
        <f>INDEX([20]SourceEnergy!$U$20:$V$45,MATCH($B30,[20]SourceEnergy!$R$20:$R$45,0),MATCH(F$7,[20]SourceEnergy!$U$12:$V$12,0))/10</f>
        <v>5.5848143969083619</v>
      </c>
      <c r="G30" s="34"/>
      <c r="H30" s="56"/>
    </row>
    <row r="31" spans="1:14" x14ac:dyDescent="0.2">
      <c r="A31" s="31"/>
      <c r="B31" s="32"/>
      <c r="C31" s="31"/>
      <c r="D31" s="31"/>
      <c r="E31" s="31"/>
      <c r="F31" s="31"/>
      <c r="G31" s="31"/>
      <c r="H31" s="126"/>
      <c r="I31" s="32"/>
      <c r="J31" s="32"/>
      <c r="K31" s="32"/>
      <c r="L31" s="127"/>
      <c r="M31" s="127"/>
      <c r="N31" s="127"/>
    </row>
    <row r="32" spans="1:14" x14ac:dyDescent="0.2">
      <c r="A32" s="31"/>
      <c r="C32" s="29" t="s">
        <v>122</v>
      </c>
      <c r="D32" s="29"/>
      <c r="E32" s="49" t="s">
        <v>28</v>
      </c>
      <c r="F32" s="49"/>
      <c r="G32" s="29"/>
      <c r="H32" s="126"/>
      <c r="I32" s="32"/>
      <c r="J32" s="32"/>
      <c r="K32" s="32"/>
      <c r="M32" s="127"/>
      <c r="N32" s="31"/>
    </row>
    <row r="33" spans="1:14" ht="14.25" x14ac:dyDescent="0.35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G33" s="30"/>
      <c r="H33" s="126"/>
      <c r="L33" s="127"/>
      <c r="M33" s="127"/>
      <c r="N33" s="31"/>
    </row>
    <row r="34" spans="1:14" ht="36" customHeight="1" x14ac:dyDescent="0.2">
      <c r="B34" s="38" t="str">
        <f ca="1">"15-year ("&amp;INDEX($B:$B,MID(_xlfn.FORMULATEXT(C34),FIND("(C",_xlfn.FORMULATEXT(C34))+2,2),1)&amp;"-"&amp;INDEX($B:$B,MID(_xlfn.FORMULATEXT(C34),FIND("),",_xlfn.FORMULATEXT(C34))-2,2),1)&amp;") Nominal Levelized"</f>
        <v>15-year (2021-2035) Nominal Levelized</v>
      </c>
      <c r="C34" s="39">
        <f>-PMT('Table 3 Comparison'!$P$37,COUNT(C12:C26),NPV('Table 3 Comparison'!$P$37,C12:C26))</f>
        <v>2.5279391680781544</v>
      </c>
      <c r="D34" s="39">
        <f>-PMT('Table 3 Comparison'!$P$37,COUNT(D12:D26),NPV('Table 3 Comparison'!$P$37,D12:D26))</f>
        <v>6.0048826768798005</v>
      </c>
      <c r="E34" s="39">
        <f>-PMT('Table 3 Comparison'!$P$37,COUNT(E12:E26),NPV('Table 3 Comparison'!$P$37,E12:E26))</f>
        <v>2.4930792601442691</v>
      </c>
      <c r="F34" s="39">
        <f>-PMT('Table 3 Comparison'!$P$37,COUNT(F12:F26),NPV('Table 3 Comparison'!$P$37,F12:F26))</f>
        <v>3.0080728074807892</v>
      </c>
      <c r="G34" s="39"/>
    </row>
    <row r="35" spans="1:14" ht="28.5" hidden="1" customHeight="1" x14ac:dyDescent="0.2">
      <c r="A35" s="37"/>
      <c r="B35" s="38" t="s">
        <v>89</v>
      </c>
      <c r="C35" s="39">
        <f>-PMT('Table 3 Comparison'!$P$37,COUNT(C12:C26),NPV('Table 3 Comparison'!$P$37,C12:C26))</f>
        <v>2.5279391680781544</v>
      </c>
      <c r="D35" s="39">
        <f>-PMT('Table 3 Comparison'!$P$37,COUNT(D12:D26),NPV('Table 3 Comparison'!$P$37,D12:D26))</f>
        <v>6.0048826768798005</v>
      </c>
      <c r="E35" s="39">
        <f>-PMT('Table 3 Comparison'!$P$37,COUNT(E12:E26),NPV('Table 3 Comparison'!$P$37,E12:E26))</f>
        <v>2.4930792601442691</v>
      </c>
      <c r="F35" s="39">
        <f>-PMT('Table 3 Comparison'!$P$37,COUNT(F12:F26),NPV('Table 3 Comparison'!$P$37,F12:F26))</f>
        <v>3.0080728074807892</v>
      </c>
    </row>
    <row r="36" spans="1:14" ht="24.75" hidden="1" customHeight="1" x14ac:dyDescent="0.2">
      <c r="A36" s="41"/>
      <c r="B36" s="38" t="s">
        <v>90</v>
      </c>
      <c r="C36" s="39">
        <f>-PMT('Table 3 Comparison'!$P$37,COUNT(C13:C27),NPV('Table 3 Comparison'!$P$37,C13:C27))</f>
        <v>2.6279665109056531</v>
      </c>
      <c r="D36" s="39">
        <f>-PMT('Table 3 Comparison'!$P$37,COUNT(D13:D27),NPV('Table 3 Comparison'!$P$37,D13:D27))</f>
        <v>6.2919193188446831</v>
      </c>
      <c r="E36" s="39">
        <f>-PMT('Table 3 Comparison'!$P$37,COUNT(E13:E27),NPV('Table 3 Comparison'!$P$37,E13:E27))</f>
        <v>2.6289266795672401</v>
      </c>
      <c r="F36" s="39">
        <f>-PMT('Table 3 Comparison'!$P$37,COUNT(F13:F27),NPV('Table 3 Comparison'!$P$37,F13:F27))</f>
        <v>3.2457371623473135</v>
      </c>
    </row>
    <row r="37" spans="1:14" ht="12.75" x14ac:dyDescent="0.2">
      <c r="A37" s="41"/>
      <c r="B37" s="16"/>
      <c r="C37" s="16"/>
      <c r="D37" s="16"/>
      <c r="E37" s="16"/>
      <c r="F37" s="42"/>
      <c r="G37" s="42"/>
      <c r="I37" s="27"/>
      <c r="J37" s="27"/>
      <c r="K37" s="27"/>
      <c r="M37" s="41"/>
      <c r="N37" s="41"/>
    </row>
    <row r="38" spans="1:14" ht="12.75" x14ac:dyDescent="0.2">
      <c r="A38" s="41"/>
      <c r="B38" s="48"/>
      <c r="C38" s="48"/>
      <c r="D38" s="44"/>
      <c r="E38" s="44"/>
      <c r="F38" s="42"/>
      <c r="G38" s="42"/>
      <c r="I38" s="27"/>
      <c r="J38" s="27"/>
      <c r="K38" s="27"/>
      <c r="M38" s="41"/>
      <c r="N38" s="41"/>
    </row>
    <row r="39" spans="1:14" ht="12.75" x14ac:dyDescent="0.2">
      <c r="A39" s="31"/>
      <c r="B39" s="48"/>
      <c r="C39" s="48"/>
      <c r="D39" s="44"/>
      <c r="E39" s="44"/>
      <c r="F39" s="31"/>
      <c r="G39" s="31"/>
      <c r="I39" s="37"/>
      <c r="J39" s="37"/>
      <c r="K39" s="37"/>
      <c r="L39" s="31"/>
      <c r="M39" s="31"/>
      <c r="N39" s="31"/>
    </row>
    <row r="40" spans="1:14" ht="12.75" x14ac:dyDescent="0.2">
      <c r="A40" s="40"/>
      <c r="B40" s="48"/>
      <c r="C40" s="48"/>
      <c r="D40" s="44"/>
      <c r="E40" s="44"/>
      <c r="L40" s="127"/>
      <c r="N40" s="40"/>
    </row>
    <row r="41" spans="1:14" ht="12.75" x14ac:dyDescent="0.2">
      <c r="A41" s="40"/>
      <c r="B41" s="48"/>
      <c r="C41" s="48"/>
      <c r="D41" s="44"/>
      <c r="E41" s="44"/>
      <c r="N41" s="40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43"/>
  <sheetViews>
    <sheetView showGridLines="0" view="pageBreakPreview" zoomScale="85" zoomScaleNormal="9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2" sqref="B32:F43"/>
    </sheetView>
  </sheetViews>
  <sheetFormatPr defaultColWidth="9.33203125" defaultRowHeight="12" x14ac:dyDescent="0.2"/>
  <cols>
    <col min="1" max="1" width="2.83203125" style="26" customWidth="1"/>
    <col min="2" max="2" width="22.6640625" style="26" customWidth="1"/>
    <col min="3" max="6" width="18.83203125" style="26" customWidth="1"/>
    <col min="7" max="7" width="17" style="26" customWidth="1"/>
    <col min="8" max="8" width="9.33203125" style="26"/>
    <col min="9" max="9" width="11.6640625" style="205" customWidth="1"/>
    <col min="10" max="10" width="3.5" style="205" customWidth="1"/>
    <col min="11" max="11" width="17.1640625" style="205" customWidth="1"/>
    <col min="12" max="12" width="12.5" style="205" customWidth="1"/>
    <col min="13" max="13" width="11" style="205" customWidth="1"/>
    <col min="14" max="14" width="3.83203125" style="205" customWidth="1"/>
    <col min="15" max="16" width="12.5" style="205" customWidth="1"/>
    <col min="17" max="17" width="3.83203125" style="205" customWidth="1"/>
    <col min="18" max="19" width="12.5" style="205" customWidth="1"/>
    <col min="20" max="20" width="3.33203125" style="205" customWidth="1"/>
    <col min="21" max="22" width="12.5" style="205" customWidth="1"/>
    <col min="23" max="16384" width="9.33203125" style="26"/>
  </cols>
  <sheetData>
    <row r="1" spans="1:22" x14ac:dyDescent="0.2">
      <c r="A1" s="2"/>
      <c r="B1" s="2"/>
      <c r="C1" s="2"/>
      <c r="D1" s="2"/>
      <c r="E1" s="2"/>
      <c r="F1" s="2"/>
      <c r="G1" s="2"/>
      <c r="I1" s="204"/>
      <c r="J1" s="204"/>
    </row>
    <row r="2" spans="1:22" x14ac:dyDescent="0.2">
      <c r="A2" s="2"/>
      <c r="B2" s="2" t="s">
        <v>18</v>
      </c>
      <c r="C2" s="2"/>
      <c r="D2" s="2"/>
      <c r="E2" s="2"/>
      <c r="F2" s="2"/>
      <c r="G2" s="2"/>
      <c r="I2" s="204"/>
      <c r="J2" s="204"/>
    </row>
    <row r="3" spans="1:22" x14ac:dyDescent="0.2">
      <c r="B3" s="47"/>
      <c r="I3" s="204"/>
      <c r="J3" s="204"/>
    </row>
    <row r="4" spans="1:22" x14ac:dyDescent="0.2">
      <c r="A4" s="27"/>
      <c r="B4" s="26" t="s">
        <v>48</v>
      </c>
      <c r="C4" s="27"/>
      <c r="D4" s="27"/>
      <c r="E4" s="27"/>
      <c r="F4" s="27"/>
      <c r="G4" s="27"/>
      <c r="I4" s="206"/>
      <c r="J4" s="206"/>
      <c r="L4" s="207"/>
      <c r="O4" s="207"/>
      <c r="R4" s="207"/>
      <c r="U4" s="207"/>
    </row>
    <row r="5" spans="1:22" x14ac:dyDescent="0.2">
      <c r="A5" s="27"/>
      <c r="B5" s="27"/>
    </row>
    <row r="6" spans="1:22" x14ac:dyDescent="0.2">
      <c r="A6" s="27"/>
      <c r="B6" s="28" t="s">
        <v>29</v>
      </c>
      <c r="C6" s="29" t="s">
        <v>122</v>
      </c>
      <c r="D6" s="29"/>
      <c r="E6" s="49" t="s">
        <v>91</v>
      </c>
      <c r="F6" s="29"/>
      <c r="G6" s="29"/>
      <c r="J6" s="208"/>
      <c r="L6" s="205" t="s">
        <v>123</v>
      </c>
      <c r="O6" s="205" t="s">
        <v>124</v>
      </c>
      <c r="R6" s="205" t="s">
        <v>125</v>
      </c>
      <c r="U6" s="205" t="s">
        <v>126</v>
      </c>
    </row>
    <row r="7" spans="1:22" ht="14.25" x14ac:dyDescent="0.35">
      <c r="A7" s="27"/>
      <c r="B7" s="28" t="s">
        <v>27</v>
      </c>
      <c r="C7" s="30" t="s">
        <v>9</v>
      </c>
      <c r="D7" s="30" t="s">
        <v>10</v>
      </c>
      <c r="E7" s="30" t="s">
        <v>9</v>
      </c>
      <c r="F7" s="30" t="s">
        <v>10</v>
      </c>
      <c r="G7" s="30"/>
      <c r="I7" s="209" t="s">
        <v>128</v>
      </c>
      <c r="J7" s="210"/>
      <c r="K7" s="211"/>
      <c r="L7" s="211" t="s">
        <v>127</v>
      </c>
      <c r="M7" s="211"/>
      <c r="O7" s="211" t="s">
        <v>127</v>
      </c>
      <c r="R7" s="211" t="s">
        <v>127</v>
      </c>
      <c r="U7" s="211" t="s">
        <v>127</v>
      </c>
    </row>
    <row r="8" spans="1:22" hidden="1" x14ac:dyDescent="0.2">
      <c r="A8" s="31"/>
      <c r="B8" s="32"/>
      <c r="C8" s="33"/>
      <c r="D8" s="33"/>
      <c r="E8" s="33"/>
      <c r="F8" s="33"/>
      <c r="G8" s="33"/>
      <c r="I8" s="212"/>
      <c r="J8" s="213"/>
      <c r="L8" s="214"/>
      <c r="O8" s="214"/>
      <c r="R8" s="214"/>
      <c r="U8" s="214"/>
    </row>
    <row r="9" spans="1:22" hidden="1" x14ac:dyDescent="0.2">
      <c r="A9" s="31"/>
      <c r="B9" s="32"/>
      <c r="C9" s="33"/>
      <c r="D9" s="33"/>
      <c r="E9" s="33"/>
      <c r="F9" s="33"/>
      <c r="G9" s="33"/>
      <c r="H9" s="126"/>
      <c r="I9" s="212"/>
      <c r="J9" s="213"/>
      <c r="L9" s="214"/>
      <c r="O9" s="214"/>
      <c r="R9" s="214"/>
      <c r="U9" s="214"/>
    </row>
    <row r="10" spans="1:22" hidden="1" x14ac:dyDescent="0.2">
      <c r="A10" s="31"/>
      <c r="B10" s="128">
        <f>[21]SourceEnergy!$R$20</f>
        <v>2017</v>
      </c>
      <c r="C10" s="34">
        <f>INDEX([22]SourceEnergy!$S$20:$T$40,MATCH($B10,[22]SourceEnergy!$R$20:$R$40,0),MATCH(C$7,[22]SourceEnergy!$S$12:$T$12,0))/10</f>
        <v>0</v>
      </c>
      <c r="D10" s="34">
        <f>INDEX([22]SourceEnergy!$S$20:$T$40,MATCH($B10,[22]SourceEnergy!$R$20:$R$40,0),MATCH(D$7,[22]SourceEnergy!$S$12:$T$12,0))/10</f>
        <v>0</v>
      </c>
      <c r="E10" s="34">
        <f>INDEX([22]SourceEnergy!$U$20:$V$40,MATCH($B10,[22]SourceEnergy!$R$20:$R$40,0),MATCH(E$7,[22]SourceEnergy!$U$12:$V$12,0))/10</f>
        <v>0</v>
      </c>
      <c r="F10" s="34">
        <f>INDEX([22]SourceEnergy!$U$20:$V$40,MATCH($B10,[22]SourceEnergy!$R$20:$R$40,0),MATCH(F$7,[22]SourceEnergy!$U$12:$V$12,0))/10</f>
        <v>0</v>
      </c>
      <c r="G10" s="33"/>
      <c r="H10" s="126"/>
      <c r="I10" s="212">
        <v>1</v>
      </c>
      <c r="J10" s="213"/>
      <c r="L10" s="228">
        <f>C10*1*$I10</f>
        <v>0</v>
      </c>
      <c r="M10" s="229">
        <f t="shared" ref="M10" si="0">M$34*$I10</f>
        <v>1.2369334405608714</v>
      </c>
      <c r="O10" s="228">
        <f>D10*1*$I10</f>
        <v>0</v>
      </c>
      <c r="P10" s="229">
        <f t="shared" ref="P10" si="1">P$34*$I10</f>
        <v>2.6668360312560262</v>
      </c>
      <c r="R10" s="228">
        <f>E10*1*$I10</f>
        <v>0</v>
      </c>
      <c r="S10" s="229">
        <f t="shared" ref="S10" si="2">S$34*$I10</f>
        <v>1.2130379741278869</v>
      </c>
      <c r="U10" s="228">
        <f>F10*1*$I10</f>
        <v>0</v>
      </c>
      <c r="V10" s="229">
        <f t="shared" ref="V10" si="3">V$34*$I10</f>
        <v>1.3503004240898753</v>
      </c>
    </row>
    <row r="11" spans="1:22" hidden="1" x14ac:dyDescent="0.2">
      <c r="A11" s="31"/>
      <c r="B11" s="128">
        <v>2020</v>
      </c>
      <c r="C11" s="34">
        <f>INDEX([22]SourceEnergy!$S$20:$T$45,MATCH($B11,[22]SourceEnergy!$R$20:$R$45,0),MATCH(C$7,[22]SourceEnergy!$S$12:$T$12,0))/10</f>
        <v>0</v>
      </c>
      <c r="D11" s="34">
        <f>INDEX([22]SourceEnergy!$S$20:$T$45,MATCH($B11,[22]SourceEnergy!$R$20:$R$45,0),MATCH(D$7,[22]SourceEnergy!$S$12:$T$12,0))/10</f>
        <v>0</v>
      </c>
      <c r="E11" s="34">
        <f>INDEX([22]SourceEnergy!$U$20:$V$45,MATCH($B11,[22]SourceEnergy!$R$20:$R$45,0),MATCH(E$7,[22]SourceEnergy!$U$12:$V$12,0))/10</f>
        <v>0</v>
      </c>
      <c r="F11" s="34">
        <f>INDEX([22]SourceEnergy!$U$20:$V$45,MATCH($B11,[22]SourceEnergy!$R$20:$R$45,0),MATCH(F$7,[22]SourceEnergy!$U$12:$V$12,0))/10</f>
        <v>0</v>
      </c>
      <c r="G11" s="33"/>
      <c r="H11" s="126"/>
      <c r="I11" s="213">
        <f>I10-0.005</f>
        <v>0.995</v>
      </c>
      <c r="J11" s="213"/>
      <c r="L11" s="228">
        <f t="shared" ref="L11:L27" si="4">C11*1*$I11</f>
        <v>0</v>
      </c>
      <c r="M11" s="229">
        <f>M$34*$I11</f>
        <v>1.2307487733580671</v>
      </c>
      <c r="O11" s="228">
        <f t="shared" ref="O11:O27" si="5">D11*1*$I11</f>
        <v>0</v>
      </c>
      <c r="P11" s="229">
        <f>P$34*$I11</f>
        <v>2.6535018510997461</v>
      </c>
      <c r="R11" s="228">
        <f t="shared" ref="R11:R27" si="6">E11*1*$I11</f>
        <v>0</v>
      </c>
      <c r="S11" s="229">
        <f>S$34*$I11</f>
        <v>1.2069727842572475</v>
      </c>
      <c r="U11" s="228">
        <f t="shared" ref="U11:U27" si="7">F11*1*$I11</f>
        <v>0</v>
      </c>
      <c r="V11" s="229">
        <f>V$34*$I11</f>
        <v>1.3435489219694259</v>
      </c>
    </row>
    <row r="12" spans="1:22" x14ac:dyDescent="0.2">
      <c r="A12" s="31"/>
      <c r="B12" s="128">
        <f t="shared" ref="B12:B27" si="8">B11+1</f>
        <v>2021</v>
      </c>
      <c r="C12" s="34">
        <f>INDEX([22]SourceEnergy!$S$20:$T$45,MATCH($B12,[22]SourceEnergy!$R$20:$R$45,0),MATCH(C$7,[22]SourceEnergy!$S$12:$T$12,0))/10</f>
        <v>1.5374145073717087</v>
      </c>
      <c r="D12" s="34">
        <f>INDEX([22]SourceEnergy!$S$20:$T$45,MATCH($B12,[22]SourceEnergy!$R$20:$R$45,0),MATCH(D$7,[22]SourceEnergy!$S$12:$T$12,0))/10</f>
        <v>2.5855057845354334</v>
      </c>
      <c r="E12" s="34">
        <f>INDEX([22]SourceEnergy!$U$20:$V$45,MATCH($B12,[22]SourceEnergy!$R$20:$R$45,0),MATCH(E$7,[22]SourceEnergy!$U$12:$V$12,0))/10</f>
        <v>1.336327058040889</v>
      </c>
      <c r="F12" s="34">
        <f>INDEX([22]SourceEnergy!$U$20:$V$45,MATCH($B12,[22]SourceEnergy!$R$20:$R$45,0),MATCH(F$7,[22]SourceEnergy!$U$12:$V$12,0))/10</f>
        <v>0.90155886015841047</v>
      </c>
      <c r="G12" s="33"/>
      <c r="H12" s="126"/>
      <c r="I12" s="213">
        <f t="shared" ref="I12:I27" si="9">I11-0.005</f>
        <v>0.99</v>
      </c>
      <c r="J12" s="213"/>
      <c r="L12" s="228">
        <f t="shared" si="4"/>
        <v>1.5220403622979917</v>
      </c>
      <c r="M12" s="229">
        <f t="shared" ref="M12:M27" si="10">M$34*$I12</f>
        <v>1.2245641061552626</v>
      </c>
      <c r="O12" s="228">
        <f t="shared" si="5"/>
        <v>2.5596507266900792</v>
      </c>
      <c r="P12" s="229">
        <f t="shared" ref="P12:P27" si="11">P$34*$I12</f>
        <v>2.640167670943466</v>
      </c>
      <c r="R12" s="228">
        <f t="shared" si="6"/>
        <v>1.32296378746048</v>
      </c>
      <c r="S12" s="229">
        <f t="shared" ref="S12:S27" si="12">S$34*$I12</f>
        <v>1.2009075943866081</v>
      </c>
      <c r="U12" s="228">
        <f t="shared" si="7"/>
        <v>0.89254327155682633</v>
      </c>
      <c r="V12" s="229">
        <f t="shared" ref="V12:V27" si="13">V$34*$I12</f>
        <v>1.3367974198489765</v>
      </c>
    </row>
    <row r="13" spans="1:22" x14ac:dyDescent="0.2">
      <c r="A13" s="31"/>
      <c r="B13" s="128">
        <f t="shared" si="8"/>
        <v>2022</v>
      </c>
      <c r="C13" s="34">
        <f>INDEX([22]SourceEnergy!$S$20:$T$45,MATCH($B13,[22]SourceEnergy!$R$20:$R$45,0),MATCH(C$7,[22]SourceEnergy!$S$12:$T$12,0))/10</f>
        <v>1.5653389036529177</v>
      </c>
      <c r="D13" s="34">
        <f>INDEX([22]SourceEnergy!$S$20:$T$45,MATCH($B13,[22]SourceEnergy!$R$20:$R$45,0),MATCH(D$7,[22]SourceEnergy!$S$12:$T$12,0))/10</f>
        <v>2.3570221465690313</v>
      </c>
      <c r="E13" s="34">
        <f>INDEX([22]SourceEnergy!$U$20:$V$45,MATCH($B13,[22]SourceEnergy!$R$20:$R$45,0),MATCH(E$7,[22]SourceEnergy!$U$12:$V$12,0))/10</f>
        <v>1.4188995139754346</v>
      </c>
      <c r="F13" s="34">
        <f>INDEX([22]SourceEnergy!$U$20:$V$45,MATCH($B13,[22]SourceEnergy!$R$20:$R$45,0),MATCH(F$7,[22]SourceEnergy!$U$12:$V$12,0))/10</f>
        <v>1.108932681640435</v>
      </c>
      <c r="G13" s="33"/>
      <c r="H13" s="126"/>
      <c r="I13" s="213">
        <f t="shared" si="9"/>
        <v>0.98499999999999999</v>
      </c>
      <c r="J13" s="213"/>
      <c r="L13" s="228">
        <f t="shared" si="4"/>
        <v>1.541858820098124</v>
      </c>
      <c r="M13" s="229">
        <f t="shared" si="10"/>
        <v>1.2183794389524583</v>
      </c>
      <c r="O13" s="228">
        <f t="shared" si="5"/>
        <v>2.3216668143704959</v>
      </c>
      <c r="P13" s="229">
        <f t="shared" si="11"/>
        <v>2.626833490787186</v>
      </c>
      <c r="R13" s="228">
        <f t="shared" si="6"/>
        <v>1.3976160212658031</v>
      </c>
      <c r="S13" s="229">
        <f t="shared" si="12"/>
        <v>1.1948424045159687</v>
      </c>
      <c r="U13" s="228">
        <f t="shared" si="7"/>
        <v>1.0922986914158286</v>
      </c>
      <c r="V13" s="229">
        <f t="shared" si="13"/>
        <v>1.3300459177285271</v>
      </c>
    </row>
    <row r="14" spans="1:22" x14ac:dyDescent="0.2">
      <c r="A14" s="31"/>
      <c r="B14" s="128">
        <f t="shared" si="8"/>
        <v>2023</v>
      </c>
      <c r="C14" s="34">
        <f>INDEX([22]SourceEnergy!$S$20:$T$45,MATCH($B14,[22]SourceEnergy!$R$20:$R$45,0),MATCH(C$7,[22]SourceEnergy!$S$12:$T$12,0))/10</f>
        <v>1.4734421955765651</v>
      </c>
      <c r="D14" s="34">
        <f>INDEX([22]SourceEnergy!$S$20:$T$45,MATCH($B14,[22]SourceEnergy!$R$20:$R$45,0),MATCH(D$7,[22]SourceEnergy!$S$12:$T$12,0))/10</f>
        <v>2.2351776806045605</v>
      </c>
      <c r="E14" s="34">
        <f>INDEX([22]SourceEnergy!$U$20:$V$45,MATCH($B14,[22]SourceEnergy!$R$20:$R$45,0),MATCH(E$7,[22]SourceEnergy!$U$12:$V$12,0))/10</f>
        <v>1.4007386222523641</v>
      </c>
      <c r="F14" s="34">
        <f>INDEX([22]SourceEnergy!$U$20:$V$45,MATCH($B14,[22]SourceEnergy!$R$20:$R$45,0),MATCH(F$7,[22]SourceEnergy!$U$12:$V$12,0))/10</f>
        <v>1.2080886311436223</v>
      </c>
      <c r="G14" s="33"/>
      <c r="H14" s="126"/>
      <c r="I14" s="213">
        <f t="shared" si="9"/>
        <v>0.98</v>
      </c>
      <c r="J14" s="213"/>
      <c r="L14" s="228">
        <f t="shared" si="4"/>
        <v>1.4439733516650337</v>
      </c>
      <c r="M14" s="229">
        <f t="shared" si="10"/>
        <v>1.212194771749654</v>
      </c>
      <c r="O14" s="228">
        <f t="shared" si="5"/>
        <v>2.190474126992469</v>
      </c>
      <c r="P14" s="229">
        <f t="shared" si="11"/>
        <v>2.6134993106309055</v>
      </c>
      <c r="R14" s="228">
        <f t="shared" si="6"/>
        <v>1.3727238498073169</v>
      </c>
      <c r="S14" s="229">
        <f t="shared" si="12"/>
        <v>1.1887772146453293</v>
      </c>
      <c r="U14" s="228">
        <f t="shared" si="7"/>
        <v>1.1839268585207499</v>
      </c>
      <c r="V14" s="229">
        <f t="shared" si="13"/>
        <v>1.3232944156080777</v>
      </c>
    </row>
    <row r="15" spans="1:22" x14ac:dyDescent="0.2">
      <c r="A15" s="31"/>
      <c r="B15" s="339">
        <f t="shared" si="8"/>
        <v>2024</v>
      </c>
      <c r="C15" s="34">
        <f>INDEX([22]SourceEnergy!$S$20:$T$45,MATCH($B15,[22]SourceEnergy!$R$20:$R$45,0),MATCH(C$7,[22]SourceEnergy!$S$12:$T$12,0))/10</f>
        <v>0.85685885034534093</v>
      </c>
      <c r="D15" s="34">
        <f>INDEX([22]SourceEnergy!$S$20:$T$45,MATCH($B15,[22]SourceEnergy!$R$20:$R$45,0),MATCH(D$7,[22]SourceEnergy!$S$12:$T$12,0))/10</f>
        <v>2.0050221504553014</v>
      </c>
      <c r="E15" s="34">
        <f>INDEX([22]SourceEnergy!$U$20:$V$45,MATCH($B15,[22]SourceEnergy!$R$20:$R$45,0),MATCH(E$7,[22]SourceEnergy!$U$12:$V$12,0))/10</f>
        <v>0.80897068814301076</v>
      </c>
      <c r="F15" s="34">
        <f>INDEX([22]SourceEnergy!$U$20:$V$45,MATCH($B15,[22]SourceEnergy!$R$20:$R$45,0),MATCH(F$7,[22]SourceEnergy!$U$12:$V$12,0))/10</f>
        <v>1.1053977382856479</v>
      </c>
      <c r="G15" s="33"/>
      <c r="H15" s="126"/>
      <c r="I15" s="213">
        <f t="shared" si="9"/>
        <v>0.97499999999999998</v>
      </c>
      <c r="J15" s="213"/>
      <c r="L15" s="228">
        <f t="shared" si="4"/>
        <v>0.83543737908670734</v>
      </c>
      <c r="M15" s="229">
        <f t="shared" si="10"/>
        <v>1.2060101045468496</v>
      </c>
      <c r="O15" s="228">
        <f t="shared" si="5"/>
        <v>1.9548965966939189</v>
      </c>
      <c r="P15" s="229">
        <f t="shared" si="11"/>
        <v>2.6001651304746254</v>
      </c>
      <c r="R15" s="228">
        <f t="shared" si="6"/>
        <v>0.78874642093943548</v>
      </c>
      <c r="S15" s="229">
        <f t="shared" si="12"/>
        <v>1.1827120247746898</v>
      </c>
      <c r="U15" s="228">
        <f t="shared" si="7"/>
        <v>1.0777627948285067</v>
      </c>
      <c r="V15" s="229">
        <f t="shared" si="13"/>
        <v>1.3165429134876283</v>
      </c>
    </row>
    <row r="16" spans="1:22" x14ac:dyDescent="0.2">
      <c r="A16" s="31"/>
      <c r="B16" s="128">
        <f t="shared" si="8"/>
        <v>2025</v>
      </c>
      <c r="C16" s="34">
        <f>INDEX([22]SourceEnergy!$S$20:$T$45,MATCH($B16,[22]SourceEnergy!$R$20:$R$45,0),MATCH(C$7,[22]SourceEnergy!$S$12:$T$12,0))/10</f>
        <v>1.0669908298989097</v>
      </c>
      <c r="D16" s="34">
        <f>INDEX([22]SourceEnergy!$S$20:$T$45,MATCH($B16,[22]SourceEnergy!$R$20:$R$45,0),MATCH(D$7,[22]SourceEnergy!$S$12:$T$12,0))/10</f>
        <v>1.9785335636632613</v>
      </c>
      <c r="E16" s="34">
        <f>INDEX([22]SourceEnergy!$U$20:$V$45,MATCH($B16,[22]SourceEnergy!$R$20:$R$45,0),MATCH(E$7,[22]SourceEnergy!$U$12:$V$12,0))/10</f>
        <v>1.0333510633230401</v>
      </c>
      <c r="F16" s="34">
        <f>INDEX([22]SourceEnergy!$U$20:$V$45,MATCH($B16,[22]SourceEnergy!$R$20:$R$45,0),MATCH(F$7,[22]SourceEnergy!$U$12:$V$12,0))/10</f>
        <v>1.2107447657506611</v>
      </c>
      <c r="G16" s="33"/>
      <c r="H16" s="126"/>
      <c r="I16" s="213">
        <f t="shared" si="9"/>
        <v>0.97</v>
      </c>
      <c r="J16" s="213"/>
      <c r="L16" s="228">
        <f t="shared" si="4"/>
        <v>1.0349811050019424</v>
      </c>
      <c r="M16" s="229">
        <f t="shared" si="10"/>
        <v>1.1998254373440451</v>
      </c>
      <c r="O16" s="228">
        <f t="shared" si="5"/>
        <v>1.9191775567533633</v>
      </c>
      <c r="P16" s="229">
        <f t="shared" si="11"/>
        <v>2.5868309503183453</v>
      </c>
      <c r="R16" s="228">
        <f t="shared" si="6"/>
        <v>1.0023505314233487</v>
      </c>
      <c r="S16" s="229">
        <f t="shared" si="12"/>
        <v>1.1766468349040502</v>
      </c>
      <c r="U16" s="228">
        <f t="shared" si="7"/>
        <v>1.1744224227781412</v>
      </c>
      <c r="V16" s="229">
        <f t="shared" si="13"/>
        <v>1.3097914113671789</v>
      </c>
    </row>
    <row r="17" spans="1:22" x14ac:dyDescent="0.2">
      <c r="A17" s="31"/>
      <c r="B17" s="128">
        <f t="shared" si="8"/>
        <v>2026</v>
      </c>
      <c r="C17" s="34">
        <f>INDEX([22]SourceEnergy!$S$20:$T$45,MATCH($B17,[22]SourceEnergy!$R$20:$R$45,0),MATCH(C$7,[22]SourceEnergy!$S$12:$T$12,0))/10</f>
        <v>1.0231164022932697</v>
      </c>
      <c r="D17" s="34">
        <f>INDEX([22]SourceEnergy!$S$20:$T$45,MATCH($B17,[22]SourceEnergy!$R$20:$R$45,0),MATCH(D$7,[22]SourceEnergy!$S$12:$T$12,0))/10</f>
        <v>2.2161326108197557</v>
      </c>
      <c r="E17" s="34">
        <f>INDEX([22]SourceEnergy!$U$20:$V$45,MATCH($B17,[22]SourceEnergy!$R$20:$R$45,0),MATCH(E$7,[22]SourceEnergy!$U$12:$V$12,0))/10</f>
        <v>1.0086359445362851</v>
      </c>
      <c r="F17" s="34">
        <f>INDEX([22]SourceEnergy!$U$20:$V$45,MATCH($B17,[22]SourceEnergy!$R$20:$R$45,0),MATCH(F$7,[22]SourceEnergy!$U$12:$V$12,0))/10</f>
        <v>1.2521006557068644</v>
      </c>
      <c r="G17" s="33"/>
      <c r="H17" s="126"/>
      <c r="I17" s="213">
        <f t="shared" si="9"/>
        <v>0.96499999999999997</v>
      </c>
      <c r="J17" s="213"/>
      <c r="L17" s="228">
        <f t="shared" si="4"/>
        <v>0.98730732821300526</v>
      </c>
      <c r="M17" s="229">
        <f t="shared" si="10"/>
        <v>1.1936407701412408</v>
      </c>
      <c r="O17" s="228">
        <f t="shared" si="5"/>
        <v>2.138567969441064</v>
      </c>
      <c r="P17" s="229">
        <f t="shared" si="11"/>
        <v>2.5734967701620652</v>
      </c>
      <c r="R17" s="228">
        <f t="shared" si="6"/>
        <v>0.97333368647751517</v>
      </c>
      <c r="S17" s="229">
        <f t="shared" si="12"/>
        <v>1.1705816450334108</v>
      </c>
      <c r="U17" s="228">
        <f t="shared" si="7"/>
        <v>1.208277132757124</v>
      </c>
      <c r="V17" s="229">
        <f t="shared" si="13"/>
        <v>1.3030399092467295</v>
      </c>
    </row>
    <row r="18" spans="1:22" x14ac:dyDescent="0.2">
      <c r="A18" s="31"/>
      <c r="B18" s="128">
        <f t="shared" si="8"/>
        <v>2027</v>
      </c>
      <c r="C18" s="34">
        <f>INDEX([22]SourceEnergy!$S$20:$T$45,MATCH($B18,[22]SourceEnergy!$R$20:$R$45,0),MATCH(C$7,[22]SourceEnergy!$S$12:$T$12,0))/10</f>
        <v>0.95043164599822239</v>
      </c>
      <c r="D18" s="34">
        <f>INDEX([22]SourceEnergy!$S$20:$T$45,MATCH($B18,[22]SourceEnergy!$R$20:$R$45,0),MATCH(D$7,[22]SourceEnergy!$S$12:$T$12,0))/10</f>
        <v>2.6856225861919678</v>
      </c>
      <c r="E18" s="34">
        <f>INDEX([22]SourceEnergy!$U$20:$V$45,MATCH($B18,[22]SourceEnergy!$R$20:$R$45,0),MATCH(E$7,[22]SourceEnergy!$U$12:$V$12,0))/10</f>
        <v>0.95842490737029329</v>
      </c>
      <c r="F18" s="34">
        <f>INDEX([22]SourceEnergy!$U$20:$V$45,MATCH($B18,[22]SourceEnergy!$R$20:$R$45,0),MATCH(F$7,[22]SourceEnergy!$U$12:$V$12,0))/10</f>
        <v>1.247708469762133</v>
      </c>
      <c r="G18" s="33"/>
      <c r="H18" s="126"/>
      <c r="I18" s="213">
        <f t="shared" si="9"/>
        <v>0.96</v>
      </c>
      <c r="J18" s="213"/>
      <c r="L18" s="228">
        <f t="shared" si="4"/>
        <v>0.91241438015829346</v>
      </c>
      <c r="M18" s="229">
        <f t="shared" si="10"/>
        <v>1.1874561029384365</v>
      </c>
      <c r="O18" s="228">
        <f t="shared" si="5"/>
        <v>2.578197682744289</v>
      </c>
      <c r="P18" s="229">
        <f t="shared" si="11"/>
        <v>2.5601625900057852</v>
      </c>
      <c r="R18" s="228">
        <f t="shared" si="6"/>
        <v>0.92008791107548149</v>
      </c>
      <c r="S18" s="229">
        <f t="shared" si="12"/>
        <v>1.1645164551627714</v>
      </c>
      <c r="U18" s="228">
        <f t="shared" si="7"/>
        <v>1.1978001309716477</v>
      </c>
      <c r="V18" s="229">
        <f t="shared" si="13"/>
        <v>1.2962884071262801</v>
      </c>
    </row>
    <row r="19" spans="1:22" x14ac:dyDescent="0.2">
      <c r="A19" s="31"/>
      <c r="B19" s="128">
        <f t="shared" si="8"/>
        <v>2028</v>
      </c>
      <c r="C19" s="34">
        <f>INDEX([22]SourceEnergy!$S$20:$T$45,MATCH($B19,[22]SourceEnergy!$R$20:$R$45,0),MATCH(C$7,[22]SourceEnergy!$S$12:$T$12,0))/10</f>
        <v>1.198988358152185</v>
      </c>
      <c r="D19" s="34">
        <f>INDEX([22]SourceEnergy!$S$20:$T$45,MATCH($B19,[22]SourceEnergy!$R$20:$R$45,0),MATCH(D$7,[22]SourceEnergy!$S$12:$T$12,0))/10</f>
        <v>3.1835687034139615</v>
      </c>
      <c r="E19" s="34">
        <f>INDEX([22]SourceEnergy!$U$20:$V$45,MATCH($B19,[22]SourceEnergy!$R$20:$R$45,0),MATCH(E$7,[22]SourceEnergy!$U$12:$V$12,0))/10</f>
        <v>1.2119532384987215</v>
      </c>
      <c r="F19" s="34">
        <f>INDEX([22]SourceEnergy!$U$20:$V$45,MATCH($B19,[22]SourceEnergy!$R$20:$R$45,0),MATCH(F$7,[22]SourceEnergy!$U$12:$V$12,0))/10</f>
        <v>1.5176230248083364</v>
      </c>
      <c r="G19" s="33"/>
      <c r="H19" s="56"/>
      <c r="I19" s="213">
        <f t="shared" si="9"/>
        <v>0.95499999999999996</v>
      </c>
      <c r="J19" s="213"/>
      <c r="L19" s="228">
        <f t="shared" si="4"/>
        <v>1.1450338820353365</v>
      </c>
      <c r="M19" s="229">
        <f t="shared" si="10"/>
        <v>1.1812714357356322</v>
      </c>
      <c r="O19" s="228">
        <f t="shared" si="5"/>
        <v>3.040308111760333</v>
      </c>
      <c r="P19" s="229">
        <f t="shared" si="11"/>
        <v>2.5468284098495051</v>
      </c>
      <c r="R19" s="228">
        <f t="shared" si="6"/>
        <v>1.157415342766279</v>
      </c>
      <c r="S19" s="229">
        <f t="shared" si="12"/>
        <v>1.1584512652921319</v>
      </c>
      <c r="U19" s="228">
        <f t="shared" si="7"/>
        <v>1.4493299886919613</v>
      </c>
      <c r="V19" s="229">
        <f t="shared" si="13"/>
        <v>1.2895369050058307</v>
      </c>
    </row>
    <row r="20" spans="1:22" x14ac:dyDescent="0.2">
      <c r="A20" s="31"/>
      <c r="B20" s="128">
        <f t="shared" si="8"/>
        <v>2029</v>
      </c>
      <c r="C20" s="34">
        <f>INDEX([22]SourceEnergy!$S$20:$T$45,MATCH($B20,[22]SourceEnergy!$R$20:$R$45,0),MATCH(C$7,[22]SourceEnergy!$S$12:$T$12,0))/10</f>
        <v>1.2093189407151343</v>
      </c>
      <c r="D20" s="34">
        <f>INDEX([22]SourceEnergy!$S$20:$T$45,MATCH($B20,[22]SourceEnergy!$R$20:$R$45,0),MATCH(D$7,[22]SourceEnergy!$S$12:$T$12,0))/10</f>
        <v>3.6334495213041906</v>
      </c>
      <c r="E20" s="34">
        <f>INDEX([22]SourceEnergy!$U$20:$V$45,MATCH($B20,[22]SourceEnergy!$R$20:$R$45,0),MATCH(E$7,[22]SourceEnergy!$U$12:$V$12,0))/10</f>
        <v>1.2543295286145546</v>
      </c>
      <c r="F20" s="34">
        <f>INDEX([22]SourceEnergy!$U$20:$V$45,MATCH($B20,[22]SourceEnergy!$R$20:$R$45,0),MATCH(F$7,[22]SourceEnergy!$U$12:$V$12,0))/10</f>
        <v>1.6181865169829721</v>
      </c>
      <c r="G20" s="33"/>
      <c r="H20" s="56"/>
      <c r="I20" s="213">
        <f t="shared" si="9"/>
        <v>0.95</v>
      </c>
      <c r="J20" s="213"/>
      <c r="L20" s="228">
        <f t="shared" si="4"/>
        <v>1.1488529936793777</v>
      </c>
      <c r="M20" s="229">
        <f t="shared" si="10"/>
        <v>1.1750867685328277</v>
      </c>
      <c r="O20" s="228">
        <f t="shared" si="5"/>
        <v>3.4517770452389809</v>
      </c>
      <c r="P20" s="229">
        <f t="shared" si="11"/>
        <v>2.5334942296932246</v>
      </c>
      <c r="R20" s="228">
        <f t="shared" si="6"/>
        <v>1.1916130521838268</v>
      </c>
      <c r="S20" s="229">
        <f t="shared" si="12"/>
        <v>1.1523860754214925</v>
      </c>
      <c r="U20" s="228">
        <f t="shared" si="7"/>
        <v>1.5372771911338234</v>
      </c>
      <c r="V20" s="229">
        <f t="shared" si="13"/>
        <v>1.2827854028853813</v>
      </c>
    </row>
    <row r="21" spans="1:22" x14ac:dyDescent="0.2">
      <c r="A21" s="31"/>
      <c r="B21" s="128">
        <f t="shared" si="8"/>
        <v>2030</v>
      </c>
      <c r="C21" s="34">
        <f>INDEX([22]SourceEnergy!$S$20:$T$45,MATCH($B21,[22]SourceEnergy!$R$20:$R$45,0),MATCH(C$7,[22]SourceEnergy!$S$12:$T$12,0))/10</f>
        <v>1.0535675494222618</v>
      </c>
      <c r="D21" s="34">
        <f>INDEX([22]SourceEnergy!$S$20:$T$45,MATCH($B21,[22]SourceEnergy!$R$20:$R$45,0),MATCH(D$7,[22]SourceEnergy!$S$12:$T$12,0))/10</f>
        <v>3.1324025579771209</v>
      </c>
      <c r="E21" s="34">
        <f>INDEX([22]SourceEnergy!$U$20:$V$45,MATCH($B21,[22]SourceEnergy!$R$20:$R$45,0),MATCH(E$7,[22]SourceEnergy!$U$12:$V$12,0))/10</f>
        <v>1.1013782069558231</v>
      </c>
      <c r="F21" s="34">
        <f>INDEX([22]SourceEnergy!$U$20:$V$45,MATCH($B21,[22]SourceEnergy!$R$20:$R$45,0),MATCH(F$7,[22]SourceEnergy!$U$12:$V$12,0))/10</f>
        <v>1.4534578585376805</v>
      </c>
      <c r="G21" s="34"/>
      <c r="H21" s="56"/>
      <c r="I21" s="213">
        <f t="shared" si="9"/>
        <v>0.94499999999999995</v>
      </c>
      <c r="J21" s="213"/>
      <c r="L21" s="228">
        <f t="shared" si="4"/>
        <v>0.99562133420403742</v>
      </c>
      <c r="M21" s="229">
        <f t="shared" si="10"/>
        <v>1.1689021013300234</v>
      </c>
      <c r="O21" s="228">
        <f t="shared" si="5"/>
        <v>2.9601204172883793</v>
      </c>
      <c r="P21" s="229">
        <f t="shared" si="11"/>
        <v>2.5201600495369445</v>
      </c>
      <c r="R21" s="228">
        <f t="shared" si="6"/>
        <v>1.0408024055732528</v>
      </c>
      <c r="S21" s="229">
        <f t="shared" si="12"/>
        <v>1.1463208855508531</v>
      </c>
      <c r="U21" s="228">
        <f t="shared" si="7"/>
        <v>1.3735176763181081</v>
      </c>
      <c r="V21" s="229">
        <f t="shared" si="13"/>
        <v>1.2760339007649322</v>
      </c>
    </row>
    <row r="22" spans="1:22" x14ac:dyDescent="0.2">
      <c r="A22" s="31"/>
      <c r="B22" s="128">
        <f t="shared" si="8"/>
        <v>2031</v>
      </c>
      <c r="C22" s="34">
        <f>INDEX([22]SourceEnergy!$S$20:$T$45,MATCH($B22,[22]SourceEnergy!$R$20:$R$45,0),MATCH(C$7,[22]SourceEnergy!$S$12:$T$12,0))/10</f>
        <v>1.1809598495828957</v>
      </c>
      <c r="D22" s="34">
        <f>INDEX([22]SourceEnergy!$S$20:$T$45,MATCH($B22,[22]SourceEnergy!$R$20:$R$45,0),MATCH(D$7,[22]SourceEnergy!$S$12:$T$12,0))/10</f>
        <v>3.0431332153442434</v>
      </c>
      <c r="E22" s="34">
        <f>INDEX([22]SourceEnergy!$U$20:$V$45,MATCH($B22,[22]SourceEnergy!$R$20:$R$45,0),MATCH(E$7,[22]SourceEnergy!$U$12:$V$12,0))/10</f>
        <v>1.2418356520306859</v>
      </c>
      <c r="F22" s="34">
        <f>INDEX([22]SourceEnergy!$U$20:$V$45,MATCH($B22,[22]SourceEnergy!$R$20:$R$45,0),MATCH(F$7,[22]SourceEnergy!$U$12:$V$12,0))/10</f>
        <v>1.6372543875230714</v>
      </c>
      <c r="G22" s="34"/>
      <c r="H22" s="56"/>
      <c r="I22" s="213">
        <f t="shared" si="9"/>
        <v>0.94</v>
      </c>
      <c r="J22" s="213"/>
      <c r="L22" s="228">
        <f t="shared" si="4"/>
        <v>1.1101022586079219</v>
      </c>
      <c r="M22" s="229">
        <f t="shared" si="10"/>
        <v>1.1627174341272191</v>
      </c>
      <c r="O22" s="228">
        <f t="shared" si="5"/>
        <v>2.8605452224235886</v>
      </c>
      <c r="P22" s="229">
        <f t="shared" si="11"/>
        <v>2.5068258693806644</v>
      </c>
      <c r="R22" s="228">
        <f t="shared" si="6"/>
        <v>1.1673255129088447</v>
      </c>
      <c r="S22" s="229">
        <f t="shared" si="12"/>
        <v>1.1402556956802137</v>
      </c>
      <c r="U22" s="228">
        <f t="shared" si="7"/>
        <v>1.5390191242716871</v>
      </c>
      <c r="V22" s="229">
        <f t="shared" si="13"/>
        <v>1.2692823986444828</v>
      </c>
    </row>
    <row r="23" spans="1:22" x14ac:dyDescent="0.2">
      <c r="A23" s="31"/>
      <c r="B23" s="128">
        <f t="shared" si="8"/>
        <v>2032</v>
      </c>
      <c r="C23" s="34">
        <f>INDEX([22]SourceEnergy!$S$20:$T$45,MATCH($B23,[22]SourceEnergy!$R$20:$R$45,0),MATCH(C$7,[22]SourceEnergy!$S$12:$T$12,0))/10</f>
        <v>1.3418613801732417</v>
      </c>
      <c r="D23" s="34">
        <f>INDEX([22]SourceEnergy!$S$20:$T$45,MATCH($B23,[22]SourceEnergy!$R$20:$R$45,0),MATCH(D$7,[22]SourceEnergy!$S$12:$T$12,0))/10</f>
        <v>3.1675858043118863</v>
      </c>
      <c r="E23" s="34">
        <f>INDEX([22]SourceEnergy!$U$20:$V$45,MATCH($B23,[22]SourceEnergy!$R$20:$R$45,0),MATCH(E$7,[22]SourceEnergy!$U$12:$V$12,0))/10</f>
        <v>1.4236592607574958</v>
      </c>
      <c r="F23" s="34">
        <f>INDEX([22]SourceEnergy!$U$20:$V$45,MATCH($B23,[22]SourceEnergy!$R$20:$R$45,0),MATCH(F$7,[22]SourceEnergy!$U$12:$V$12,0))/10</f>
        <v>1.8590118949308956</v>
      </c>
      <c r="G23" s="34"/>
      <c r="H23" s="56"/>
      <c r="I23" s="213">
        <f t="shared" si="9"/>
        <v>0.93499999999999994</v>
      </c>
      <c r="J23" s="213"/>
      <c r="L23" s="228">
        <f t="shared" si="4"/>
        <v>1.2546403904619809</v>
      </c>
      <c r="M23" s="229">
        <f t="shared" si="10"/>
        <v>1.1565327669244148</v>
      </c>
      <c r="O23" s="228">
        <f t="shared" si="5"/>
        <v>2.9616927270316133</v>
      </c>
      <c r="P23" s="229">
        <f t="shared" si="11"/>
        <v>2.4934916892243844</v>
      </c>
      <c r="R23" s="228">
        <f t="shared" si="6"/>
        <v>1.3311214088082586</v>
      </c>
      <c r="S23" s="229">
        <f t="shared" si="12"/>
        <v>1.1341905058095743</v>
      </c>
      <c r="U23" s="228">
        <f t="shared" si="7"/>
        <v>1.7381761217603873</v>
      </c>
      <c r="V23" s="229">
        <f t="shared" si="13"/>
        <v>1.2625308965240334</v>
      </c>
    </row>
    <row r="24" spans="1:22" x14ac:dyDescent="0.2">
      <c r="A24" s="31"/>
      <c r="B24" s="128">
        <f t="shared" si="8"/>
        <v>2033</v>
      </c>
      <c r="C24" s="34">
        <f>INDEX([22]SourceEnergy!$S$20:$T$45,MATCH($B24,[22]SourceEnergy!$R$20:$R$45,0),MATCH(C$7,[22]SourceEnergy!$S$12:$T$12,0))/10</f>
        <v>1.3061523447859658</v>
      </c>
      <c r="D24" s="34">
        <f>INDEX([22]SourceEnergy!$S$20:$T$45,MATCH($B24,[22]SourceEnergy!$R$20:$R$45,0),MATCH(D$7,[22]SourceEnergy!$S$12:$T$12,0))/10</f>
        <v>3.0296355715532268</v>
      </c>
      <c r="E24" s="34">
        <f>INDEX([22]SourceEnergy!$U$20:$V$45,MATCH($B24,[22]SourceEnergy!$R$20:$R$45,0),MATCH(E$7,[22]SourceEnergy!$U$12:$V$12,0))/10</f>
        <v>1.3795079960019874</v>
      </c>
      <c r="F24" s="34">
        <f>INDEX([22]SourceEnergy!$U$20:$V$45,MATCH($B24,[22]SourceEnergy!$R$20:$R$45,0),MATCH(F$7,[22]SourceEnergy!$U$12:$V$12,0))/10</f>
        <v>1.7842459347630211</v>
      </c>
      <c r="G24" s="34"/>
      <c r="H24" s="56"/>
      <c r="I24" s="213">
        <f t="shared" si="9"/>
        <v>0.92999999999999994</v>
      </c>
      <c r="J24" s="213"/>
      <c r="L24" s="228">
        <f t="shared" si="4"/>
        <v>1.214721680650948</v>
      </c>
      <c r="M24" s="229">
        <f t="shared" si="10"/>
        <v>1.1503480997216102</v>
      </c>
      <c r="O24" s="228">
        <f t="shared" si="5"/>
        <v>2.8175610815445009</v>
      </c>
      <c r="P24" s="229">
        <f t="shared" si="11"/>
        <v>2.4801575090681043</v>
      </c>
      <c r="R24" s="228">
        <f t="shared" si="6"/>
        <v>1.2829424362818482</v>
      </c>
      <c r="S24" s="229">
        <f t="shared" si="12"/>
        <v>1.1281253159389348</v>
      </c>
      <c r="U24" s="228">
        <f t="shared" si="7"/>
        <v>1.6593487193296095</v>
      </c>
      <c r="V24" s="229">
        <f t="shared" si="13"/>
        <v>1.255779394403584</v>
      </c>
    </row>
    <row r="25" spans="1:22" x14ac:dyDescent="0.2">
      <c r="A25" s="31"/>
      <c r="B25" s="128">
        <f t="shared" si="8"/>
        <v>2034</v>
      </c>
      <c r="C25" s="34">
        <f>INDEX([22]SourceEnergy!$S$20:$T$45,MATCH($B25,[22]SourceEnergy!$R$20:$R$45,0),MATCH(C$7,[22]SourceEnergy!$S$12:$T$12,0))/10</f>
        <v>1.3128574233837307</v>
      </c>
      <c r="D25" s="34">
        <f>INDEX([22]SourceEnergy!$S$20:$T$45,MATCH($B25,[22]SourceEnergy!$R$20:$R$45,0),MATCH(D$7,[22]SourceEnergy!$S$12:$T$12,0))/10</f>
        <v>3.09380876115228</v>
      </c>
      <c r="E25" s="34">
        <f>INDEX([22]SourceEnergy!$U$20:$V$45,MATCH($B25,[22]SourceEnergy!$R$20:$R$45,0),MATCH(E$7,[22]SourceEnergy!$U$12:$V$12,0))/10</f>
        <v>1.4180700216295461</v>
      </c>
      <c r="F25" s="34">
        <f>INDEX([22]SourceEnergy!$U$20:$V$45,MATCH($B25,[22]SourceEnergy!$R$20:$R$45,0),MATCH(F$7,[22]SourceEnergy!$U$12:$V$12,0))/10</f>
        <v>1.8352899357356378</v>
      </c>
      <c r="G25" s="34"/>
      <c r="H25" s="56"/>
      <c r="I25" s="213">
        <f t="shared" si="9"/>
        <v>0.92499999999999993</v>
      </c>
      <c r="J25" s="213"/>
      <c r="L25" s="228">
        <f t="shared" si="4"/>
        <v>1.2143931166299509</v>
      </c>
      <c r="M25" s="229">
        <f t="shared" si="10"/>
        <v>1.1441634325188059</v>
      </c>
      <c r="O25" s="228">
        <f t="shared" si="5"/>
        <v>2.8617731040658589</v>
      </c>
      <c r="P25" s="229">
        <f t="shared" si="11"/>
        <v>2.4668233289118242</v>
      </c>
      <c r="R25" s="228">
        <f t="shared" si="6"/>
        <v>1.3117147700073299</v>
      </c>
      <c r="S25" s="229">
        <f t="shared" si="12"/>
        <v>1.1220601260682954</v>
      </c>
      <c r="U25" s="228">
        <f t="shared" si="7"/>
        <v>1.6976431905554648</v>
      </c>
      <c r="V25" s="229">
        <f t="shared" si="13"/>
        <v>1.2490278922831346</v>
      </c>
    </row>
    <row r="26" spans="1:22" x14ac:dyDescent="0.2">
      <c r="A26" s="31"/>
      <c r="B26" s="128">
        <f t="shared" si="8"/>
        <v>2035</v>
      </c>
      <c r="C26" s="34">
        <f>INDEX([22]SourceEnergy!$S$20:$T$45,MATCH($B26,[22]SourceEnergy!$R$20:$R$45,0),MATCH(C$7,[22]SourceEnergy!$S$12:$T$12,0))/10</f>
        <v>1.2727842024798683</v>
      </c>
      <c r="D26" s="34">
        <f>INDEX([22]SourceEnergy!$S$20:$T$45,MATCH($B26,[22]SourceEnergy!$R$20:$R$45,0),MATCH(D$7,[22]SourceEnergy!$S$12:$T$12,0))/10</f>
        <v>3.4000232824847685</v>
      </c>
      <c r="E26" s="34">
        <f>INDEX([22]SourceEnergy!$U$20:$V$45,MATCH($B26,[22]SourceEnergy!$R$20:$R$45,0),MATCH(E$7,[22]SourceEnergy!$U$12:$V$12,0))/10</f>
        <v>1.3968575848466664</v>
      </c>
      <c r="F26" s="34">
        <f>INDEX([22]SourceEnergy!$U$20:$V$45,MATCH($B26,[22]SourceEnergy!$R$20:$R$45,0),MATCH(F$7,[22]SourceEnergy!$U$12:$V$12,0))/10</f>
        <v>1.8606432043656682</v>
      </c>
      <c r="G26" s="34"/>
      <c r="H26" s="56"/>
      <c r="I26" s="213">
        <f t="shared" si="9"/>
        <v>0.91999999999999993</v>
      </c>
      <c r="J26" s="213"/>
      <c r="L26" s="228">
        <f t="shared" si="4"/>
        <v>1.1709614662814787</v>
      </c>
      <c r="M26" s="229">
        <f t="shared" si="10"/>
        <v>1.1379787653160016</v>
      </c>
      <c r="O26" s="228">
        <f t="shared" si="5"/>
        <v>3.1280214198859868</v>
      </c>
      <c r="P26" s="229">
        <f t="shared" si="11"/>
        <v>2.4534891487555437</v>
      </c>
      <c r="R26" s="228">
        <f t="shared" si="6"/>
        <v>1.2851089780589331</v>
      </c>
      <c r="S26" s="229">
        <f t="shared" si="12"/>
        <v>1.115994936197656</v>
      </c>
      <c r="U26" s="228">
        <f t="shared" si="7"/>
        <v>1.7117917480164146</v>
      </c>
      <c r="V26" s="229">
        <f t="shared" si="13"/>
        <v>1.2422763901626852</v>
      </c>
    </row>
    <row r="27" spans="1:22" x14ac:dyDescent="0.2">
      <c r="A27" s="31"/>
      <c r="B27" s="128">
        <f t="shared" si="8"/>
        <v>2036</v>
      </c>
      <c r="C27" s="34">
        <f>INDEX([22]SourceEnergy!$S$20:$T$45,MATCH($B27,[22]SourceEnergy!$R$20:$R$45,0),MATCH(C$7,[22]SourceEnergy!$S$12:$T$12,0))/10</f>
        <v>1.4199653981508391</v>
      </c>
      <c r="D27" s="34">
        <f>INDEX([22]SourceEnergy!$S$20:$T$45,MATCH($B27,[22]SourceEnergy!$R$20:$R$45,0),MATCH(D$7,[22]SourceEnergy!$S$12:$T$12,0))/10</f>
        <v>4.0330494555900644</v>
      </c>
      <c r="E27" s="34">
        <f>INDEX([22]SourceEnergy!$U$20:$V$45,MATCH($B27,[22]SourceEnergy!$R$20:$R$45,0),MATCH(E$7,[22]SourceEnergy!$U$12:$V$12,0))/10</f>
        <v>1.5304984494087013</v>
      </c>
      <c r="F27" s="34">
        <f>INDEX([22]SourceEnergy!$U$20:$V$45,MATCH($B27,[22]SourceEnergy!$R$20:$R$45,0),MATCH(F$7,[22]SourceEnergy!$U$12:$V$12,0))/10</f>
        <v>2.0673244043365733</v>
      </c>
      <c r="G27" s="34"/>
      <c r="H27" s="56"/>
      <c r="I27" s="213">
        <f t="shared" si="9"/>
        <v>0.91499999999999992</v>
      </c>
      <c r="J27" s="213"/>
      <c r="L27" s="228">
        <f t="shared" si="4"/>
        <v>1.2992683393080178</v>
      </c>
      <c r="M27" s="229">
        <f t="shared" si="10"/>
        <v>1.1317940981131973</v>
      </c>
      <c r="O27" s="228">
        <f t="shared" si="5"/>
        <v>3.6902402518649087</v>
      </c>
      <c r="P27" s="229">
        <f t="shared" si="11"/>
        <v>2.4401549685992636</v>
      </c>
      <c r="R27" s="228">
        <f t="shared" si="6"/>
        <v>1.4004060812089616</v>
      </c>
      <c r="S27" s="229">
        <f t="shared" si="12"/>
        <v>1.1099297463270164</v>
      </c>
      <c r="U27" s="228">
        <f t="shared" si="7"/>
        <v>1.8916018299679644</v>
      </c>
      <c r="V27" s="229">
        <f t="shared" si="13"/>
        <v>1.2355248880422358</v>
      </c>
    </row>
    <row r="28" spans="1:22" x14ac:dyDescent="0.2">
      <c r="A28" s="31"/>
      <c r="B28" s="128">
        <f t="shared" ref="B28" si="14">B27+1</f>
        <v>2037</v>
      </c>
      <c r="C28" s="34">
        <f>INDEX([22]SourceEnergy!$S$20:$T$45,MATCH($B28,[22]SourceEnergy!$R$20:$R$45,0),MATCH(C$7,[22]SourceEnergy!$S$12:$T$12,0))/10</f>
        <v>1.6478479083657951</v>
      </c>
      <c r="D28" s="34">
        <f>INDEX([22]SourceEnergy!$S$20:$T$45,MATCH($B28,[22]SourceEnergy!$R$20:$R$45,0),MATCH(D$7,[22]SourceEnergy!$S$12:$T$12,0))/10</f>
        <v>4.3788669673035105</v>
      </c>
      <c r="E28" s="34">
        <f>INDEX([22]SourceEnergy!$U$20:$V$45,MATCH($B28,[22]SourceEnergy!$R$20:$R$45,0),MATCH(E$7,[22]SourceEnergy!$U$12:$V$12,0))/10</f>
        <v>1.7945006037904285</v>
      </c>
      <c r="F28" s="34">
        <f>INDEX([22]SourceEnergy!$U$20:$V$45,MATCH($B28,[22]SourceEnergy!$R$20:$R$45,0),MATCH(F$7,[22]SourceEnergy!$U$12:$V$12,0))/10</f>
        <v>2.4730222033312534</v>
      </c>
      <c r="G28" s="34"/>
      <c r="H28" s="56"/>
      <c r="I28" s="213"/>
      <c r="J28" s="213"/>
      <c r="L28" s="214"/>
      <c r="O28" s="214"/>
      <c r="R28" s="214"/>
      <c r="U28" s="214"/>
    </row>
    <row r="29" spans="1:22" x14ac:dyDescent="0.2">
      <c r="A29" s="31"/>
      <c r="B29" s="128">
        <f t="shared" ref="B29:B30" si="15">B28+1</f>
        <v>2038</v>
      </c>
      <c r="C29" s="34">
        <f>INDEX([22]SourceEnergy!$S$20:$T$45,MATCH($B29,[22]SourceEnergy!$R$20:$R$45,0),MATCH(C$7,[22]SourceEnergy!$S$12:$T$12,0))/10</f>
        <v>1.6176320516766247</v>
      </c>
      <c r="D29" s="34">
        <f>INDEX([22]SourceEnergy!$S$20:$T$45,MATCH($B29,[22]SourceEnergy!$R$20:$R$45,0),MATCH(D$7,[22]SourceEnergy!$S$12:$T$12,0))/10</f>
        <v>4.5521313604261158</v>
      </c>
      <c r="E29" s="34">
        <f>INDEX([22]SourceEnergy!$U$20:$V$45,MATCH($B29,[22]SourceEnergy!$R$20:$R$45,0),MATCH(E$7,[22]SourceEnergy!$U$12:$V$12,0))/10</f>
        <v>1.7888182290637762</v>
      </c>
      <c r="F29" s="34">
        <f>INDEX([22]SourceEnergy!$U$20:$V$45,MATCH($B29,[22]SourceEnergy!$R$20:$R$45,0),MATCH(F$7,[22]SourceEnergy!$U$12:$V$12,0))/10</f>
        <v>2.4823722822186034</v>
      </c>
      <c r="G29" s="34"/>
      <c r="H29" s="56"/>
      <c r="I29" s="213"/>
      <c r="J29" s="213"/>
      <c r="L29" s="214"/>
      <c r="O29" s="214"/>
      <c r="R29" s="214"/>
      <c r="U29" s="214"/>
    </row>
    <row r="30" spans="1:22" hidden="1" x14ac:dyDescent="0.2">
      <c r="A30" s="31"/>
      <c r="B30" s="128">
        <f t="shared" si="15"/>
        <v>2039</v>
      </c>
      <c r="C30" s="34">
        <f>INDEX([22]SourceEnergy!$S$20:$T$45,MATCH($B30,[22]SourceEnergy!$R$20:$R$45,0),MATCH(C$7,[22]SourceEnergy!$S$12:$T$12,0))/10</f>
        <v>1.6554987468790396</v>
      </c>
      <c r="D30" s="34">
        <f>INDEX([22]SourceEnergy!$S$20:$T$45,MATCH($B30,[22]SourceEnergy!$R$20:$R$45,0),MATCH(D$7,[22]SourceEnergy!$S$12:$T$12,0))/10</f>
        <v>4.6687827990780537</v>
      </c>
      <c r="E30" s="34">
        <f>INDEX([22]SourceEnergy!$U$20:$V$45,MATCH($B30,[22]SourceEnergy!$R$20:$R$45,0),MATCH(E$7,[22]SourceEnergy!$U$12:$V$12,0))/10</f>
        <v>1.8297234722345574</v>
      </c>
      <c r="F30" s="34">
        <f>INDEX([22]SourceEnergy!$U$20:$V$45,MATCH($B30,[22]SourceEnergy!$R$20:$R$45,0),MATCH(F$7,[22]SourceEnergy!$U$12:$V$12,0))/10</f>
        <v>2.5082701586616603</v>
      </c>
      <c r="G30" s="34"/>
      <c r="H30" s="56"/>
      <c r="I30" s="213"/>
      <c r="J30" s="213"/>
      <c r="L30" s="214"/>
      <c r="O30" s="214"/>
      <c r="R30" s="214"/>
      <c r="U30" s="214"/>
    </row>
    <row r="31" spans="1:22" x14ac:dyDescent="0.2">
      <c r="A31" s="31"/>
      <c r="B31" s="32"/>
      <c r="C31" s="31"/>
      <c r="D31" s="31"/>
      <c r="E31" s="31"/>
      <c r="F31" s="31"/>
      <c r="G31" s="31"/>
      <c r="H31" s="126"/>
      <c r="I31" s="213"/>
      <c r="J31" s="213"/>
      <c r="L31" s="214"/>
      <c r="O31" s="214"/>
      <c r="R31" s="214"/>
      <c r="U31" s="214"/>
    </row>
    <row r="32" spans="1:22" x14ac:dyDescent="0.2">
      <c r="A32" s="31"/>
      <c r="C32" s="29" t="s">
        <v>122</v>
      </c>
      <c r="D32" s="29"/>
      <c r="E32" s="49" t="s">
        <v>244</v>
      </c>
      <c r="F32" s="49"/>
      <c r="G32" s="29"/>
      <c r="H32" s="126"/>
      <c r="I32" s="213"/>
      <c r="J32" s="213"/>
      <c r="L32" s="214"/>
      <c r="O32" s="214"/>
      <c r="R32" s="214"/>
      <c r="U32" s="214"/>
    </row>
    <row r="33" spans="1:22" ht="14.25" x14ac:dyDescent="0.35">
      <c r="A33" s="31"/>
      <c r="B33" s="37"/>
      <c r="C33" s="30" t="s">
        <v>9</v>
      </c>
      <c r="D33" s="30" t="s">
        <v>10</v>
      </c>
      <c r="E33" s="30" t="s">
        <v>9</v>
      </c>
      <c r="F33" s="30" t="s">
        <v>10</v>
      </c>
      <c r="G33" s="30"/>
      <c r="H33" s="126"/>
      <c r="I33" s="213"/>
      <c r="J33" s="213"/>
      <c r="K33" s="225"/>
      <c r="L33" s="225"/>
      <c r="M33" s="225"/>
      <c r="O33" s="214"/>
      <c r="R33" s="214"/>
      <c r="U33" s="214"/>
    </row>
    <row r="34" spans="1:22" ht="36" customHeight="1" x14ac:dyDescent="0.2">
      <c r="B34" s="38" t="str">
        <f ca="1">"15-year ("&amp;INDEX($B:$B,MID(_xlfn.FORMULATEXT(L34),FIND("(L",_xlfn.FORMULATEXT(L34))+2,2),1)&amp;"-"&amp;INDEX($B:$B,MID(_xlfn.FORMULATEXT(L34),FIND("),",_xlfn.FORMULATEXT(L34))-2,2),1)&amp;") Nominal Levelized"</f>
        <v>15-year (2021-2035) Nominal Levelized</v>
      </c>
      <c r="C34" s="39">
        <f>M34</f>
        <v>1.2369334405608714</v>
      </c>
      <c r="D34" s="39">
        <f>P34</f>
        <v>2.6668360312560262</v>
      </c>
      <c r="E34" s="39">
        <f>S34</f>
        <v>1.2130379741278869</v>
      </c>
      <c r="F34" s="39">
        <f>V34</f>
        <v>1.3503004240898753</v>
      </c>
      <c r="G34" s="39"/>
      <c r="I34" s="227">
        <f>-PMT('Table 3 Comparison'!$P$37,COUNT(I12:I26),NPV('Table 3 Comparison'!$P$37,I12:I26))</f>
        <v>0.96114215030347483</v>
      </c>
      <c r="J34" s="217"/>
      <c r="K34" s="225"/>
      <c r="L34" s="227">
        <f>-PMT('Table 3 Comparison'!$P$37,COUNT(L12:L26),NPV('Table 3 Comparison'!$P$37,L12:L26))</f>
        <v>1.1888688668429512</v>
      </c>
      <c r="M34" s="226">
        <f>L34/$I34</f>
        <v>1.2369334405608714</v>
      </c>
      <c r="N34" s="220"/>
      <c r="O34" s="227">
        <f>-PMT('Table 3 Comparison'!$P$37,COUNT(O12:O26),NPV('Table 3 Comparison'!$P$37,O12:O26))</f>
        <v>2.563208517588202</v>
      </c>
      <c r="P34" s="226">
        <f>O34/$I34</f>
        <v>2.6668360312560262</v>
      </c>
      <c r="Q34" s="220"/>
      <c r="R34" s="227">
        <f>-PMT('Table 3 Comparison'!$P$37,COUNT(R12:R26),NPV('Table 3 Comparison'!$P$37,R12:R26))</f>
        <v>1.1659019268530482</v>
      </c>
      <c r="S34" s="226">
        <f>R34/$I34</f>
        <v>1.2130379741278869</v>
      </c>
      <c r="T34" s="220"/>
      <c r="U34" s="227">
        <f>-PMT('Table 3 Comparison'!$P$37,COUNT(U12:U26),NPV('Table 3 Comparison'!$P$37,U12:U26))</f>
        <v>1.2978306531654367</v>
      </c>
      <c r="V34" s="226">
        <f>U34/$I34</f>
        <v>1.3503004240898753</v>
      </c>
    </row>
    <row r="35" spans="1:22" ht="28.5" hidden="1" customHeight="1" x14ac:dyDescent="0.2">
      <c r="A35" s="37"/>
      <c r="B35" s="38" t="s">
        <v>89</v>
      </c>
      <c r="C35" s="39">
        <f t="shared" ref="C35:C36" si="16">M35</f>
        <v>1.2369334405608714</v>
      </c>
      <c r="D35" s="39">
        <f t="shared" ref="D35:D36" si="17">P35</f>
        <v>2.6668360312560262</v>
      </c>
      <c r="E35" s="39">
        <f t="shared" ref="E35:E36" si="18">S35</f>
        <v>1.2130379741278869</v>
      </c>
      <c r="F35" s="39">
        <f t="shared" ref="F35:F36" si="19">V35</f>
        <v>1.3503004240898753</v>
      </c>
      <c r="I35" s="227">
        <f>-PMT('Table 3 Comparison'!$P$37,COUNT(I12:I26),NPV('Table 3 Comparison'!$P$37,I12:I26))</f>
        <v>0.96114215030347483</v>
      </c>
      <c r="J35" s="215"/>
      <c r="K35" s="216"/>
      <c r="L35" s="227">
        <f>-PMT('Table 3 Comparison'!$P$37,COUNT(L12:L26),NPV('Table 3 Comparison'!$P$37,L12:L26))</f>
        <v>1.1888688668429512</v>
      </c>
      <c r="M35" s="226">
        <f>L35/$I35</f>
        <v>1.2369334405608714</v>
      </c>
      <c r="N35" s="216"/>
      <c r="O35" s="227">
        <f>-PMT('Table 3 Comparison'!$P$37,COUNT(O12:O26),NPV('Table 3 Comparison'!$P$37,O12:O26))</f>
        <v>2.563208517588202</v>
      </c>
      <c r="P35" s="226">
        <f>O35/$I35</f>
        <v>2.6668360312560262</v>
      </c>
      <c r="Q35" s="216"/>
      <c r="R35" s="227">
        <f>-PMT('Table 3 Comparison'!$P$37,COUNT(R12:R26),NPV('Table 3 Comparison'!$P$37,R12:R26))</f>
        <v>1.1659019268530482</v>
      </c>
      <c r="S35" s="226">
        <f>R35/$I35</f>
        <v>1.2130379741278869</v>
      </c>
      <c r="T35" s="216"/>
      <c r="U35" s="227">
        <f>-PMT('Table 3 Comparison'!$P$37,COUNT(U12:U26),NPV('Table 3 Comparison'!$P$37,U12:U26))</f>
        <v>1.2978306531654367</v>
      </c>
      <c r="V35" s="226">
        <f>U35/$I35</f>
        <v>1.3503004240898753</v>
      </c>
    </row>
    <row r="36" spans="1:22" ht="24.75" hidden="1" customHeight="1" x14ac:dyDescent="0.2">
      <c r="A36" s="41"/>
      <c r="B36" s="38" t="s">
        <v>90</v>
      </c>
      <c r="C36" s="39">
        <f t="shared" si="16"/>
        <v>1.2099597302346454</v>
      </c>
      <c r="D36" s="39">
        <f t="shared" si="17"/>
        <v>2.7283851833495989</v>
      </c>
      <c r="E36" s="39">
        <f t="shared" si="18"/>
        <v>1.2112572102092791</v>
      </c>
      <c r="F36" s="39">
        <f t="shared" si="19"/>
        <v>1.428531661778607</v>
      </c>
      <c r="I36" s="227">
        <f>-PMT('Table 3 Comparison'!$P$37,COUNT(I13:I27),NPV('Table 3 Comparison'!$P$37,I13:I27))</f>
        <v>0.95614215030347482</v>
      </c>
      <c r="J36" s="215"/>
      <c r="K36" s="216"/>
      <c r="L36" s="227">
        <f>-PMT('Table 3 Comparison'!$P$37,COUNT(L13:L27),NPV('Table 3 Comparison'!$P$37,L13:L27))</f>
        <v>1.1568934982471661</v>
      </c>
      <c r="M36" s="226">
        <f>L36/$I36</f>
        <v>1.2099597302346454</v>
      </c>
      <c r="N36" s="216"/>
      <c r="O36" s="227">
        <f>-PMT('Table 3 Comparison'!$P$37,COUNT(O13:O27),NPV('Table 3 Comparison'!$P$37,O13:O27))</f>
        <v>2.6087240760640258</v>
      </c>
      <c r="P36" s="226">
        <f>O36/$I36</f>
        <v>2.7283851833495989</v>
      </c>
      <c r="Q36" s="216"/>
      <c r="R36" s="227">
        <f>-PMT('Table 3 Comparison'!$P$37,COUNT(R13:R27),NPV('Table 3 Comparison'!$P$37,R13:R27))</f>
        <v>1.1581340735400882</v>
      </c>
      <c r="S36" s="226">
        <f>R36/$I36</f>
        <v>1.2112572102092791</v>
      </c>
      <c r="T36" s="216"/>
      <c r="U36" s="227">
        <f>-PMT('Table 3 Comparison'!$P$37,COUNT(U13:U27),NPV('Table 3 Comparison'!$P$37,U13:U27))</f>
        <v>1.3658793348695935</v>
      </c>
      <c r="V36" s="226">
        <f>U36/$I36</f>
        <v>1.428531661778607</v>
      </c>
    </row>
    <row r="37" spans="1:22" hidden="1" x14ac:dyDescent="0.2">
      <c r="A37" s="41"/>
      <c r="B37" s="38"/>
      <c r="C37" s="39"/>
      <c r="D37" s="39"/>
      <c r="E37" s="39"/>
      <c r="F37" s="39"/>
      <c r="I37" s="217"/>
      <c r="J37" s="217"/>
      <c r="K37" s="218"/>
      <c r="L37" s="218"/>
      <c r="M37" s="219"/>
      <c r="N37" s="220"/>
      <c r="O37" s="218"/>
      <c r="P37" s="219"/>
      <c r="Q37" s="220"/>
      <c r="R37" s="218"/>
      <c r="S37" s="219"/>
      <c r="T37" s="220"/>
      <c r="U37" s="218"/>
      <c r="V37" s="219"/>
    </row>
    <row r="38" spans="1:22" ht="12.75" hidden="1" x14ac:dyDescent="0.2">
      <c r="A38" s="41"/>
      <c r="B38" s="16"/>
      <c r="C38" s="16"/>
      <c r="D38" s="16"/>
      <c r="E38" s="16"/>
      <c r="F38" s="42"/>
      <c r="G38" s="42"/>
      <c r="K38" s="221"/>
      <c r="L38" s="222"/>
      <c r="M38" s="223"/>
      <c r="O38" s="222"/>
      <c r="P38" s="223"/>
      <c r="R38" s="222"/>
      <c r="S38" s="223"/>
      <c r="U38" s="222"/>
      <c r="V38" s="223"/>
    </row>
    <row r="39" spans="1:22" ht="12.75" hidden="1" x14ac:dyDescent="0.2">
      <c r="A39" s="41"/>
      <c r="B39" s="48"/>
      <c r="C39" s="48"/>
      <c r="D39" s="44"/>
      <c r="E39" s="44"/>
      <c r="F39" s="42"/>
      <c r="G39" s="42"/>
      <c r="L39" s="224"/>
      <c r="O39" s="224"/>
      <c r="R39" s="224"/>
      <c r="U39" s="224"/>
    </row>
    <row r="40" spans="1:22" ht="12.75" hidden="1" x14ac:dyDescent="0.2">
      <c r="A40" s="31"/>
      <c r="B40" s="48"/>
      <c r="C40" s="48"/>
      <c r="D40" s="44"/>
      <c r="E40" s="44"/>
      <c r="F40" s="31"/>
      <c r="G40" s="31"/>
    </row>
    <row r="41" spans="1:22" ht="12.75" x14ac:dyDescent="0.2">
      <c r="A41" s="40"/>
      <c r="B41" s="48" t="s">
        <v>121</v>
      </c>
      <c r="C41" s="48"/>
      <c r="D41" s="44"/>
      <c r="E41" s="44"/>
      <c r="K41" s="205" t="str">
        <f ca="1">"NPV ("&amp;INDEX($B:$B,MID(_xlfn.FORMULATEXT(L34),FIND("(L",_xlfn.FORMULATEXT(L34))+2,2),1)&amp;"-"&amp;INDEX($B:$B,MID(_xlfn.FORMULATEXT(L34),FIND("),",_xlfn.FORMULATEXT(L34))-2,2),1)&amp;")"</f>
        <v>NPV (2021-2035)</v>
      </c>
      <c r="L41" s="212">
        <f>NPV('Table 3 Comparison'!$P$37,L12:L26)</f>
        <v>10.883042170924192</v>
      </c>
      <c r="M41" s="212">
        <f>NPV('Table 3 Comparison'!$P$37,M12:M26)</f>
        <v>10.88304217092419</v>
      </c>
      <c r="O41" s="212">
        <f>NPV('Table 3 Comparison'!$P$37,O12:O26)</f>
        <v>23.463905202481399</v>
      </c>
      <c r="P41" s="212">
        <f>NPV('Table 3 Comparison'!$P$37,P12:P26)</f>
        <v>23.463905202481406</v>
      </c>
      <c r="R41" s="212">
        <f>NPV('Table 3 Comparison'!$P$37,R12:R26)</f>
        <v>10.672800164073644</v>
      </c>
      <c r="S41" s="212">
        <f>NPV('Table 3 Comparison'!$P$37,S12:S26)</f>
        <v>10.672800164073644</v>
      </c>
      <c r="U41" s="212">
        <f>NPV('Table 3 Comparison'!$P$37,U12:U26)</f>
        <v>11.880490879221043</v>
      </c>
      <c r="V41" s="212">
        <f>NPV('Table 3 Comparison'!$P$37,V12:V26)</f>
        <v>11.880490879221041</v>
      </c>
    </row>
    <row r="42" spans="1:22" ht="12.75" x14ac:dyDescent="0.2">
      <c r="A42" s="40"/>
      <c r="B42" s="48" t="s">
        <v>242</v>
      </c>
      <c r="C42" s="48"/>
      <c r="D42" s="44"/>
      <c r="E42" s="44"/>
      <c r="K42" s="205" t="s">
        <v>129</v>
      </c>
      <c r="M42" s="205">
        <f>M41-L41</f>
        <v>0</v>
      </c>
      <c r="P42" s="205">
        <f>P41-O41</f>
        <v>0</v>
      </c>
      <c r="S42" s="205">
        <f>S41-R41</f>
        <v>0</v>
      </c>
      <c r="V42" s="205">
        <f>V41-U41</f>
        <v>0</v>
      </c>
    </row>
    <row r="43" spans="1:22" ht="12.75" x14ac:dyDescent="0.2">
      <c r="B43" s="48" t="s">
        <v>243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Table 1 Preferred Portfolio</vt:lpstr>
      <vt:lpstr>Table 2 QF Signed Queue</vt:lpstr>
      <vt:lpstr>Table 3 Comparison</vt:lpstr>
      <vt:lpstr>Table 4 Gas Price</vt:lpstr>
      <vt:lpstr> Table 5 Electric Price</vt:lpstr>
      <vt:lpstr>Table6 Integration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CC_OR_Solar</vt:lpstr>
      <vt:lpstr>CC_UT_Solar</vt:lpstr>
      <vt:lpstr>' Table 5 Electric Price'!Print_Area</vt:lpstr>
      <vt:lpstr>'Table 3 Comparison'!Print_Area</vt:lpstr>
      <vt:lpstr>'Table 4 Gas Price'!Print_Area</vt:lpstr>
      <vt:lpstr>'Table6 Integration'!Print_Area</vt:lpstr>
      <vt:lpstr>'Tariff Page'!Print_Area</vt:lpstr>
      <vt:lpstr>'Tariff Page Solar Fixed'!Print_Area</vt:lpstr>
      <vt:lpstr>'Tariff Page Solar Tracking'!Print_Area</vt:lpstr>
      <vt:lpstr>'Tariff Page Wind'!Print_Area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2021-04-29T20:29:56Z</cp:lastPrinted>
  <dcterms:created xsi:type="dcterms:W3CDTF">2001-03-19T15:45:46Z</dcterms:created>
  <dcterms:modified xsi:type="dcterms:W3CDTF">2021-04-30T17:49:15Z</dcterms:modified>
</cp:coreProperties>
</file>