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T12\"/>
    </mc:Choice>
  </mc:AlternateContent>
  <bookViews>
    <workbookView xWindow="0" yWindow="0" windowWidth="21540" windowHeight="10935"/>
  </bookViews>
  <sheets>
    <sheet name="A-Blocking" sheetId="8" r:id="rId1"/>
    <sheet name="B-Sch197 Comparison" sheetId="9" r:id="rId2"/>
    <sheet name="C-Res Sch197 Rate Design" sheetId="1" r:id="rId3"/>
    <sheet name="D-Sch73" sheetId="7" r:id="rId4"/>
    <sheet name="E-RateSpread Order" sheetId="6" r:id="rId5"/>
  </sheets>
  <externalReferences>
    <externalReference r:id="rId6"/>
    <externalReference r:id="rId7"/>
    <externalReference r:id="rId8"/>
    <externalReference r:id="rId9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'A-Blocking'!$C$672:$C$690</definedName>
    <definedName name="__123Graph_A" localSheetId="1" hidden="1">[1]Inputs!#REF!</definedName>
    <definedName name="__123Graph_A" localSheetId="2" hidden="1">'C-Res Sch197 Rate Design'!#REF!</definedName>
    <definedName name="__123Graph_A" hidden="1">[1]Inputs!#REF!</definedName>
    <definedName name="__123Graph_AGRAPH1" localSheetId="0" hidden="1">'A-Blocking'!$C$2435:$C$2435</definedName>
    <definedName name="__123Graph_AGRAPH1" localSheetId="2" hidden="1">'C-Res Sch197 Rate Design'!#REF!</definedName>
    <definedName name="__123Graph_B" localSheetId="0" hidden="1">'A-Blocking'!#REF!</definedName>
    <definedName name="__123Graph_B" localSheetId="1" hidden="1">[1]Inputs!#REF!</definedName>
    <definedName name="__123Graph_B" localSheetId="2" hidden="1">'C-Res Sch197 Rate Design'!#REF!</definedName>
    <definedName name="__123Graph_B" hidden="1">[1]Inputs!#REF!</definedName>
    <definedName name="__123Graph_C" localSheetId="0" hidden="1">'A-Blocking'!#REF!</definedName>
    <definedName name="__123Graph_C" localSheetId="2" hidden="1">'C-Res Sch197 Rate Design'!#REF!</definedName>
    <definedName name="__123Graph_D" localSheetId="0" hidden="1">'A-Blocking'!#REF!</definedName>
    <definedName name="__123Graph_D" localSheetId="1" hidden="1">[1]Inputs!#REF!</definedName>
    <definedName name="__123Graph_D" localSheetId="2" hidden="1">'C-Res Sch197 Rate Design'!#REF!</definedName>
    <definedName name="__123Graph_D" hidden="1">[1]Inputs!#REF!</definedName>
    <definedName name="__123Graph_E" localSheetId="0" hidden="1">'A-Blocking'!#REF!</definedName>
    <definedName name="__123Graph_E" localSheetId="2" hidden="1">'C-Res Sch197 Rate Design'!#REF!</definedName>
    <definedName name="__123Graph_E" hidden="1">[2]Input!$E$22:$E$37</definedName>
    <definedName name="__123Graph_F" localSheetId="0" hidden="1">'A-Blocking'!$F$672:$F$690</definedName>
    <definedName name="__123Graph_F" localSheetId="2" hidden="1">'C-Res Sch197 Rate Design'!#REF!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0" hidden="1">'A-Blocking'!#REF!</definedName>
    <definedName name="_Dist_Values" localSheetId="2" hidden="1">'C-Res Sch197 Rate Design'!#REF!</definedName>
    <definedName name="_Fill" localSheetId="0" hidden="1">'A-Blocking'!#REF!</definedName>
    <definedName name="_Fill" localSheetId="1" hidden="1">#REF!</definedName>
    <definedName name="_Fill" localSheetId="2" hidden="1">'C-Res Sch197 Rate Design'!#REF!</definedName>
    <definedName name="_Fill" hidden="1">#REF!</definedName>
    <definedName name="_xlnm._FilterDatabase" localSheetId="0" hidden="1">'A-Blocking'!#REF!</definedName>
    <definedName name="_xlnm._FilterDatabase" localSheetId="1" hidden="1">#REF!</definedName>
    <definedName name="_xlnm._FilterDatabase" localSheetId="2" hidden="1">'C-Res Sch197 Rate Design'!#REF!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1" hidden="1">255</definedName>
    <definedName name="_Order1" hidden="1">255</definedName>
    <definedName name="_Order2" localSheetId="1" hidden="1">255</definedName>
    <definedName name="_Order2" localSheetId="3" hidden="1">0</definedName>
    <definedName name="_Order2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localSheetId="1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1" hidden="1">[1]Inputs!#REF!</definedName>
    <definedName name="dsd" hidden="1">[1]Inputs!#REF!</definedName>
    <definedName name="DUDE" localSheetId="1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[3]Inputs!#REF!</definedName>
    <definedName name="PricingInfo" hidden="1">[3]Inputs!#REF!</definedName>
    <definedName name="_xlnm.Print_Area" localSheetId="0">'A-Blocking'!$A$1:$Q$2677</definedName>
    <definedName name="_xlnm.Print_Area" localSheetId="2">'C-Res Sch197 Rate Design'!$A$1:$J$228</definedName>
    <definedName name="_xlnm.Print_Titles" localSheetId="0">'A-Blocking'!$1:$9</definedName>
    <definedName name="_xlnm.Print_Titles" localSheetId="2">'C-Res Sch197 Rate Design'!$1:$7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0" hidden="1">'A-Blocking'!#REF!</definedName>
    <definedName name="solver_adj" localSheetId="2" hidden="1">'C-Res Sch197 Rate Design'!#REF!</definedName>
    <definedName name="solver_cvg" localSheetId="0" hidden="1">0.001</definedName>
    <definedName name="solver_cvg" localSheetId="2" hidden="1">0.001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0</definedName>
    <definedName name="solver_num" localSheetId="2" hidden="1">0</definedName>
    <definedName name="solver_nwt" localSheetId="0" hidden="1">1</definedName>
    <definedName name="solver_nwt" localSheetId="2" hidden="1">1</definedName>
    <definedName name="solver_opt" localSheetId="0" hidden="1">'A-Blocking'!#REF!</definedName>
    <definedName name="solver_opt" localSheetId="2" hidden="1">'C-Res Sch197 Rate Design'!#REF!</definedName>
    <definedName name="solver_pre" localSheetId="0" hidden="1">0.000001</definedName>
    <definedName name="solver_pre" localSheetId="2" hidden="1">0.000001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" hidden="1">[4]Inputs!#REF!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5" i="8" l="1"/>
  <c r="N1394" i="8"/>
  <c r="I20" i="9" s="1"/>
  <c r="N1203" i="8"/>
  <c r="N1807" i="8"/>
  <c r="I40" i="9" s="1"/>
  <c r="I45" i="9"/>
  <c r="I44" i="9"/>
  <c r="I42" i="9"/>
  <c r="I41" i="9"/>
  <c r="I39" i="9"/>
  <c r="I38" i="9"/>
  <c r="I35" i="9"/>
  <c r="I34" i="9"/>
  <c r="I33" i="9"/>
  <c r="I32" i="9"/>
  <c r="I31" i="9"/>
  <c r="I30" i="9"/>
  <c r="I29" i="9"/>
  <c r="I28" i="9"/>
  <c r="I27" i="9"/>
  <c r="I25" i="9"/>
  <c r="I24" i="9"/>
  <c r="I22" i="9"/>
  <c r="I21" i="9"/>
  <c r="I18" i="9"/>
  <c r="I17" i="9"/>
  <c r="I16" i="9"/>
  <c r="I13" i="9"/>
  <c r="I12" i="9"/>
  <c r="I11" i="9"/>
  <c r="K45" i="9" l="1"/>
  <c r="K44" i="9"/>
  <c r="G43" i="9"/>
  <c r="G46" i="9" s="1"/>
  <c r="K42" i="9"/>
  <c r="K41" i="9"/>
  <c r="K40" i="9"/>
  <c r="K39" i="9"/>
  <c r="K38" i="9"/>
  <c r="I43" i="9"/>
  <c r="I46" i="9" s="1"/>
  <c r="G36" i="9"/>
  <c r="K35" i="9"/>
  <c r="K34" i="9"/>
  <c r="K33" i="9"/>
  <c r="K32" i="9"/>
  <c r="K31" i="9"/>
  <c r="K30" i="9"/>
  <c r="K29" i="9"/>
  <c r="K28" i="9"/>
  <c r="K27" i="9"/>
  <c r="G26" i="9"/>
  <c r="I26" i="9"/>
  <c r="K24" i="9"/>
  <c r="I23" i="9"/>
  <c r="G23" i="9"/>
  <c r="K22" i="9"/>
  <c r="K21" i="9"/>
  <c r="K20" i="9"/>
  <c r="G19" i="9"/>
  <c r="K18" i="9"/>
  <c r="K17" i="9"/>
  <c r="I19" i="9"/>
  <c r="G14" i="9"/>
  <c r="K13" i="9"/>
  <c r="K12" i="9"/>
  <c r="I14" i="9"/>
  <c r="J227" i="1"/>
  <c r="Q45" i="9"/>
  <c r="Q44" i="9"/>
  <c r="Q35" i="9"/>
  <c r="Q34" i="9"/>
  <c r="Q31" i="9"/>
  <c r="Q13" i="9"/>
  <c r="O42" i="9"/>
  <c r="Q42" i="9" s="1"/>
  <c r="O41" i="9"/>
  <c r="Q41" i="9" s="1"/>
  <c r="O39" i="9"/>
  <c r="Q39" i="9" s="1"/>
  <c r="O38" i="9"/>
  <c r="Q38" i="9" s="1"/>
  <c r="O33" i="9"/>
  <c r="Q33" i="9" s="1"/>
  <c r="O32" i="9"/>
  <c r="Q32" i="9" s="1"/>
  <c r="O30" i="9"/>
  <c r="Q30" i="9" s="1"/>
  <c r="O29" i="9"/>
  <c r="Q29" i="9" s="1"/>
  <c r="O28" i="9"/>
  <c r="Q28" i="9" s="1"/>
  <c r="O27" i="9"/>
  <c r="Q27" i="9" s="1"/>
  <c r="O25" i="9"/>
  <c r="Q25" i="9" s="1"/>
  <c r="O24" i="9"/>
  <c r="Q24" i="9" s="1"/>
  <c r="O22" i="9"/>
  <c r="Q22" i="9" s="1"/>
  <c r="O20" i="9"/>
  <c r="Q20" i="9" s="1"/>
  <c r="O21" i="9"/>
  <c r="Q21" i="9" s="1"/>
  <c r="O18" i="9"/>
  <c r="Q18" i="9" s="1"/>
  <c r="O17" i="9"/>
  <c r="Q17" i="9" s="1"/>
  <c r="O16" i="9"/>
  <c r="O12" i="9"/>
  <c r="Q12" i="9" s="1"/>
  <c r="O11" i="9"/>
  <c r="Q11" i="9" s="1"/>
  <c r="K43" i="9" l="1"/>
  <c r="K46" i="9" s="1"/>
  <c r="K23" i="9"/>
  <c r="G47" i="9"/>
  <c r="K11" i="9"/>
  <c r="K14" i="9" s="1"/>
  <c r="K16" i="9"/>
  <c r="K25" i="9"/>
  <c r="K26" i="9" s="1"/>
  <c r="I36" i="9"/>
  <c r="I47" i="9" s="1"/>
  <c r="O36" i="9"/>
  <c r="Q16" i="9"/>
  <c r="O14" i="9"/>
  <c r="N223" i="8"/>
  <c r="O26" i="9"/>
  <c r="O23" i="9"/>
  <c r="M19" i="9"/>
  <c r="O19" i="9"/>
  <c r="A12" i="9"/>
  <c r="E8" i="9"/>
  <c r="G8" i="9" s="1"/>
  <c r="I8" i="9" s="1"/>
  <c r="K8" i="9" s="1"/>
  <c r="I2674" i="8"/>
  <c r="N2674" i="8" s="1"/>
  <c r="I2673" i="8"/>
  <c r="N2673" i="8" s="1"/>
  <c r="I2672" i="8"/>
  <c r="N2672" i="8" s="1"/>
  <c r="I2671" i="8"/>
  <c r="N2671" i="8" s="1"/>
  <c r="I2670" i="8"/>
  <c r="N2670" i="8" s="1"/>
  <c r="H2675" i="8"/>
  <c r="I2675" i="8" s="1"/>
  <c r="N2675" i="8" s="1"/>
  <c r="N2663" i="8"/>
  <c r="H2663" i="8"/>
  <c r="I2662" i="8"/>
  <c r="H2662" i="8"/>
  <c r="H2664" i="8" s="1"/>
  <c r="H2667" i="8" s="1"/>
  <c r="H2653" i="8"/>
  <c r="I2648" i="8"/>
  <c r="H2648" i="8"/>
  <c r="H2645" i="8"/>
  <c r="N2639" i="8"/>
  <c r="N2637" i="8"/>
  <c r="K2632" i="8"/>
  <c r="K2631" i="8"/>
  <c r="H2627" i="8"/>
  <c r="H2628" i="8"/>
  <c r="K2622" i="8"/>
  <c r="K2621" i="8"/>
  <c r="H2618" i="8"/>
  <c r="H2617" i="8"/>
  <c r="H2619" i="8"/>
  <c r="H2616" i="8"/>
  <c r="H2615" i="8"/>
  <c r="H2613" i="8"/>
  <c r="N2613" i="8"/>
  <c r="N2610" i="8"/>
  <c r="L2610" i="8" s="1"/>
  <c r="L2603" i="8"/>
  <c r="K2603" i="8"/>
  <c r="K2602" i="8"/>
  <c r="I2601" i="8"/>
  <c r="H2601" i="8"/>
  <c r="I2599" i="8"/>
  <c r="H2599" i="8"/>
  <c r="I2598" i="8"/>
  <c r="H2598" i="8"/>
  <c r="H2597" i="8"/>
  <c r="H2590" i="8"/>
  <c r="L2586" i="8"/>
  <c r="I2586" i="8"/>
  <c r="H2586" i="8"/>
  <c r="I2585" i="8"/>
  <c r="H2585" i="8"/>
  <c r="I2584" i="8"/>
  <c r="H2584" i="8"/>
  <c r="I2582" i="8"/>
  <c r="I2581" i="8"/>
  <c r="I2579" i="8"/>
  <c r="I2578" i="8"/>
  <c r="I2576" i="8"/>
  <c r="I2575" i="8"/>
  <c r="I2573" i="8"/>
  <c r="I2572" i="8"/>
  <c r="N2566" i="8"/>
  <c r="N2564" i="8"/>
  <c r="N2560" i="8"/>
  <c r="I2554" i="8"/>
  <c r="H2554" i="8"/>
  <c r="N2554" i="8"/>
  <c r="I2553" i="8"/>
  <c r="I2552" i="8"/>
  <c r="I2551" i="8"/>
  <c r="N2550" i="8"/>
  <c r="I2550" i="8"/>
  <c r="I2548" i="8"/>
  <c r="N2548" i="8"/>
  <c r="H2548" i="8"/>
  <c r="N2547" i="8"/>
  <c r="H2547" i="8"/>
  <c r="H2545" i="8"/>
  <c r="N2544" i="8"/>
  <c r="I2544" i="8"/>
  <c r="N2543" i="8"/>
  <c r="I2543" i="8"/>
  <c r="K2536" i="8"/>
  <c r="K2535" i="8"/>
  <c r="H2534" i="8"/>
  <c r="H2533" i="8"/>
  <c r="H2531" i="8"/>
  <c r="H2530" i="8"/>
  <c r="K2521" i="8"/>
  <c r="K2520" i="8"/>
  <c r="I2519" i="8"/>
  <c r="H2519" i="8"/>
  <c r="I2518" i="8"/>
  <c r="H2518" i="8"/>
  <c r="I2517" i="8"/>
  <c r="H2517" i="8"/>
  <c r="I2516" i="8"/>
  <c r="H2516" i="8"/>
  <c r="I2515" i="8"/>
  <c r="H2515" i="8"/>
  <c r="I2514" i="8"/>
  <c r="I2520" i="8" s="1"/>
  <c r="H2514" i="8"/>
  <c r="I2507" i="8"/>
  <c r="H2507" i="8"/>
  <c r="H2484" i="8"/>
  <c r="H2483" i="8"/>
  <c r="I2481" i="8"/>
  <c r="H2481" i="8"/>
  <c r="I2480" i="8"/>
  <c r="H2480" i="8"/>
  <c r="I2478" i="8"/>
  <c r="H2478" i="8"/>
  <c r="I2477" i="8"/>
  <c r="H2477" i="8"/>
  <c r="I2475" i="8"/>
  <c r="H2475" i="8"/>
  <c r="I2474" i="8"/>
  <c r="H2474" i="8"/>
  <c r="I2462" i="8"/>
  <c r="H2462" i="8"/>
  <c r="I2461" i="8"/>
  <c r="H2461" i="8"/>
  <c r="I2459" i="8"/>
  <c r="H2459" i="8"/>
  <c r="I2458" i="8"/>
  <c r="H2458" i="8"/>
  <c r="I2456" i="8"/>
  <c r="H2456" i="8"/>
  <c r="I2455" i="8"/>
  <c r="H2455" i="8"/>
  <c r="I2453" i="8"/>
  <c r="H2453" i="8"/>
  <c r="I2452" i="8"/>
  <c r="H2452" i="8"/>
  <c r="I2440" i="8"/>
  <c r="H2440" i="8"/>
  <c r="I2439" i="8"/>
  <c r="H2439" i="8"/>
  <c r="I2428" i="8"/>
  <c r="H2330" i="8"/>
  <c r="K2432" i="8"/>
  <c r="K2431" i="8"/>
  <c r="H2430" i="8"/>
  <c r="I2430" i="8"/>
  <c r="H2429" i="8"/>
  <c r="I2429" i="8"/>
  <c r="H2428" i="8"/>
  <c r="H2427" i="8"/>
  <c r="I2427" i="8"/>
  <c r="H2426" i="8"/>
  <c r="I2426" i="8"/>
  <c r="H2419" i="8"/>
  <c r="K2417" i="8"/>
  <c r="K2416" i="8"/>
  <c r="I2415" i="8"/>
  <c r="H2415" i="8"/>
  <c r="H2414" i="8"/>
  <c r="H2413" i="8"/>
  <c r="H2412" i="8"/>
  <c r="H2411" i="8"/>
  <c r="H2410" i="8"/>
  <c r="I2410" i="8"/>
  <c r="L2383" i="8"/>
  <c r="H2380" i="8"/>
  <c r="H2379" i="8"/>
  <c r="H2377" i="8"/>
  <c r="I2377" i="8"/>
  <c r="H2376" i="8"/>
  <c r="I2376" i="8"/>
  <c r="H2374" i="8"/>
  <c r="H2373" i="8"/>
  <c r="I2373" i="8"/>
  <c r="H2371" i="8"/>
  <c r="I2371" i="8"/>
  <c r="H2370" i="8"/>
  <c r="I2370" i="8"/>
  <c r="I2355" i="8"/>
  <c r="H2355" i="8"/>
  <c r="I2354" i="8"/>
  <c r="H2354" i="8"/>
  <c r="I2352" i="8"/>
  <c r="H2352" i="8"/>
  <c r="I2351" i="8"/>
  <c r="H2351" i="8"/>
  <c r="I2349" i="8"/>
  <c r="H2349" i="8"/>
  <c r="I2348" i="8"/>
  <c r="H2348" i="8"/>
  <c r="I2336" i="8"/>
  <c r="H2336" i="8"/>
  <c r="L2335" i="8"/>
  <c r="N2335" i="8" s="1"/>
  <c r="I2335" i="8"/>
  <c r="H2335" i="8"/>
  <c r="I2330" i="8"/>
  <c r="L2328" i="8"/>
  <c r="K2328" i="8"/>
  <c r="K2327" i="8"/>
  <c r="H2325" i="8"/>
  <c r="H2324" i="8"/>
  <c r="H2323" i="8"/>
  <c r="H2322" i="8"/>
  <c r="L2313" i="8"/>
  <c r="L2521" i="8" s="1"/>
  <c r="K2313" i="8"/>
  <c r="K2312" i="8"/>
  <c r="H2311" i="8"/>
  <c r="I2311" i="8"/>
  <c r="H2310" i="8"/>
  <c r="H2309" i="8"/>
  <c r="H2308" i="8"/>
  <c r="H2307" i="8"/>
  <c r="H2306" i="8"/>
  <c r="I2306" i="8"/>
  <c r="H2295" i="8"/>
  <c r="H2294" i="8"/>
  <c r="H2292" i="8"/>
  <c r="H2291" i="8"/>
  <c r="H2288" i="8"/>
  <c r="L2493" i="8"/>
  <c r="L2283" i="8"/>
  <c r="L2282" i="8"/>
  <c r="L2488" i="8"/>
  <c r="L2487" i="8"/>
  <c r="H2276" i="8"/>
  <c r="H2275" i="8"/>
  <c r="H2273" i="8"/>
  <c r="I2273" i="8"/>
  <c r="H2272" i="8"/>
  <c r="I2272" i="8"/>
  <c r="H2270" i="8"/>
  <c r="I2269" i="8"/>
  <c r="H2269" i="8"/>
  <c r="H2267" i="8"/>
  <c r="I2267" i="8"/>
  <c r="H2266" i="8"/>
  <c r="I2266" i="8"/>
  <c r="L2462" i="8"/>
  <c r="N2462" i="8" s="1"/>
  <c r="H2254" i="8"/>
  <c r="L2461" i="8"/>
  <c r="N2461" i="8" s="1"/>
  <c r="I2251" i="8"/>
  <c r="H2251" i="8"/>
  <c r="H2250" i="8"/>
  <c r="I2250" i="8"/>
  <c r="H2248" i="8"/>
  <c r="I2248" i="8"/>
  <c r="I2247" i="8"/>
  <c r="H2247" i="8"/>
  <c r="I2245" i="8"/>
  <c r="H2245" i="8"/>
  <c r="H2244" i="8"/>
  <c r="I2244" i="8"/>
  <c r="N2242" i="8"/>
  <c r="L2450" i="8"/>
  <c r="N2450" i="8" s="1"/>
  <c r="L2345" i="8"/>
  <c r="N2345" i="8" s="1"/>
  <c r="L2239" i="8"/>
  <c r="N2239" i="8" s="1"/>
  <c r="N2236" i="8"/>
  <c r="L2336" i="8"/>
  <c r="N2336" i="8" s="1"/>
  <c r="H2232" i="8"/>
  <c r="L2439" i="8"/>
  <c r="N2439" i="8" s="1"/>
  <c r="I2231" i="8"/>
  <c r="H2231" i="8"/>
  <c r="N2231" i="8"/>
  <c r="L2226" i="8"/>
  <c r="K2226" i="8"/>
  <c r="K2225" i="8"/>
  <c r="H2222" i="8"/>
  <c r="I2221" i="8"/>
  <c r="H2220" i="8"/>
  <c r="H2219" i="8"/>
  <c r="H2217" i="8"/>
  <c r="H2209" i="8"/>
  <c r="H2208" i="8"/>
  <c r="H2207" i="8"/>
  <c r="L2203" i="8"/>
  <c r="K2203" i="8"/>
  <c r="L2202" i="8"/>
  <c r="K2202" i="8"/>
  <c r="H2178" i="8"/>
  <c r="H2200" i="8"/>
  <c r="I2200" i="8"/>
  <c r="H2199" i="8"/>
  <c r="H2198" i="8"/>
  <c r="I2198" i="8"/>
  <c r="H2197" i="8"/>
  <c r="H2196" i="8"/>
  <c r="H2195" i="8"/>
  <c r="H2194" i="8"/>
  <c r="H2187" i="8"/>
  <c r="H2186" i="8"/>
  <c r="H2185" i="8"/>
  <c r="L2180" i="8"/>
  <c r="K2180" i="8"/>
  <c r="K2179" i="8"/>
  <c r="N2178" i="8"/>
  <c r="I2178" i="8"/>
  <c r="H2176" i="8"/>
  <c r="H2175" i="8"/>
  <c r="H2174" i="8"/>
  <c r="H2173" i="8"/>
  <c r="H2172" i="8"/>
  <c r="H2171" i="8"/>
  <c r="H2164" i="8"/>
  <c r="L2163" i="8"/>
  <c r="L2209" i="8" s="1"/>
  <c r="H2163" i="8"/>
  <c r="H2162" i="8"/>
  <c r="L2157" i="8"/>
  <c r="K2157" i="8"/>
  <c r="K2156" i="8"/>
  <c r="H2154" i="8"/>
  <c r="I2154" i="8"/>
  <c r="H2153" i="8"/>
  <c r="I2153" i="8"/>
  <c r="H2152" i="8"/>
  <c r="I2152" i="8"/>
  <c r="H2151" i="8"/>
  <c r="H2150" i="8"/>
  <c r="H2149" i="8"/>
  <c r="H2148" i="8"/>
  <c r="H2141" i="8"/>
  <c r="H2140" i="8"/>
  <c r="H2139" i="8"/>
  <c r="L2135" i="8"/>
  <c r="K2135" i="8"/>
  <c r="K2134" i="8"/>
  <c r="H2132" i="8"/>
  <c r="I2132" i="8"/>
  <c r="H2131" i="8"/>
  <c r="I2131" i="8"/>
  <c r="H2130" i="8"/>
  <c r="H2129" i="8"/>
  <c r="H2128" i="8"/>
  <c r="H2127" i="8"/>
  <c r="I2127" i="8"/>
  <c r="H2126" i="8"/>
  <c r="H2119" i="8"/>
  <c r="H2118" i="8"/>
  <c r="L2113" i="8"/>
  <c r="K2113" i="8"/>
  <c r="K2112" i="8"/>
  <c r="H2110" i="8"/>
  <c r="H2109" i="8"/>
  <c r="H2108" i="8"/>
  <c r="H2107" i="8"/>
  <c r="H2105" i="8"/>
  <c r="H2097" i="8"/>
  <c r="H2096" i="8"/>
  <c r="I2095" i="8"/>
  <c r="L2091" i="8"/>
  <c r="K2091" i="8"/>
  <c r="K2090" i="8"/>
  <c r="N2089" i="8"/>
  <c r="I2089" i="8"/>
  <c r="H2089" i="8"/>
  <c r="H2088" i="8"/>
  <c r="H2087" i="8"/>
  <c r="H2086" i="8"/>
  <c r="H2083" i="8"/>
  <c r="L2080" i="8"/>
  <c r="H2075" i="8"/>
  <c r="H2074" i="8"/>
  <c r="H2073" i="8"/>
  <c r="L2068" i="8"/>
  <c r="K2068" i="8"/>
  <c r="K2067" i="8"/>
  <c r="H2065" i="8"/>
  <c r="H2064" i="8"/>
  <c r="H2063" i="8"/>
  <c r="H2062" i="8"/>
  <c r="H2060" i="8"/>
  <c r="H2059" i="8"/>
  <c r="I2058" i="8"/>
  <c r="H2058" i="8"/>
  <c r="H2051" i="8"/>
  <c r="H2050" i="8"/>
  <c r="H2049" i="8"/>
  <c r="L2044" i="8"/>
  <c r="K2044" i="8"/>
  <c r="K2043" i="8"/>
  <c r="H2041" i="8"/>
  <c r="H2040" i="8"/>
  <c r="H2039" i="8"/>
  <c r="H2038" i="8"/>
  <c r="H2037" i="8"/>
  <c r="H2036" i="8"/>
  <c r="H2035" i="8"/>
  <c r="H2034" i="8"/>
  <c r="H2027" i="8"/>
  <c r="H2026" i="8"/>
  <c r="I2025" i="8"/>
  <c r="H2025" i="8"/>
  <c r="L2020" i="8"/>
  <c r="K2020" i="8"/>
  <c r="L2019" i="8"/>
  <c r="K2019" i="8"/>
  <c r="H2017" i="8"/>
  <c r="H2016" i="8"/>
  <c r="H2015" i="8"/>
  <c r="H2014" i="8"/>
  <c r="H2013" i="8"/>
  <c r="H2012" i="8"/>
  <c r="H2011" i="8"/>
  <c r="H2010" i="8"/>
  <c r="L2008" i="8"/>
  <c r="L2006" i="8"/>
  <c r="H2003" i="8"/>
  <c r="H2002" i="8"/>
  <c r="L2001" i="8"/>
  <c r="N2001" i="8" s="1"/>
  <c r="H2001" i="8"/>
  <c r="K1996" i="8"/>
  <c r="K1995" i="8"/>
  <c r="I1994" i="8"/>
  <c r="H1994" i="8"/>
  <c r="H1993" i="8"/>
  <c r="H1992" i="8"/>
  <c r="H1991" i="8"/>
  <c r="H1990" i="8"/>
  <c r="L1988" i="8"/>
  <c r="L2060" i="8" s="1"/>
  <c r="L2057" i="8"/>
  <c r="L2056" i="8"/>
  <c r="L2055" i="8"/>
  <c r="L2030" i="8"/>
  <c r="H1979" i="8"/>
  <c r="H1978" i="8"/>
  <c r="H1977" i="8"/>
  <c r="N1974" i="8"/>
  <c r="K1973" i="8"/>
  <c r="K1972" i="8"/>
  <c r="H1930" i="8"/>
  <c r="H1929" i="8"/>
  <c r="H1928" i="8"/>
  <c r="H1927" i="8"/>
  <c r="H1921" i="8"/>
  <c r="H1920" i="8"/>
  <c r="H1919" i="8"/>
  <c r="L1916" i="8"/>
  <c r="K1916" i="8"/>
  <c r="K1915" i="8"/>
  <c r="I1915" i="8"/>
  <c r="H1915" i="8"/>
  <c r="L1898" i="8"/>
  <c r="K1898" i="8"/>
  <c r="K1897" i="8"/>
  <c r="L1895" i="8"/>
  <c r="L1893" i="8"/>
  <c r="L1882" i="8"/>
  <c r="K1882" i="8"/>
  <c r="K1881" i="8"/>
  <c r="H1879" i="8"/>
  <c r="I1878" i="8"/>
  <c r="H1878" i="8"/>
  <c r="L1874" i="8"/>
  <c r="K1874" i="8"/>
  <c r="K1873" i="8"/>
  <c r="L1871" i="8"/>
  <c r="I1871" i="8"/>
  <c r="L1870" i="8"/>
  <c r="N1870" i="8" s="1"/>
  <c r="I1870" i="8"/>
  <c r="H1870" i="8"/>
  <c r="L1866" i="8"/>
  <c r="K1866" i="8"/>
  <c r="K1865" i="8"/>
  <c r="L1863" i="8"/>
  <c r="I1863" i="8"/>
  <c r="L1862" i="8"/>
  <c r="K1858" i="8"/>
  <c r="K1857" i="8"/>
  <c r="I1856" i="8"/>
  <c r="H1856" i="8"/>
  <c r="L1879" i="8"/>
  <c r="L1878" i="8"/>
  <c r="L1850" i="8"/>
  <c r="K1850" i="8"/>
  <c r="K1849" i="8"/>
  <c r="I1847" i="8"/>
  <c r="I1849" i="8" s="1"/>
  <c r="I1846" i="8"/>
  <c r="H1846" i="8"/>
  <c r="L1843" i="8"/>
  <c r="L1839" i="8"/>
  <c r="K1839" i="8"/>
  <c r="L1838" i="8"/>
  <c r="K1838" i="8"/>
  <c r="L1836" i="8"/>
  <c r="N1836" i="8"/>
  <c r="N1839" i="8" s="1"/>
  <c r="H1835" i="8"/>
  <c r="H1834" i="8"/>
  <c r="L1833" i="8"/>
  <c r="H1833" i="8"/>
  <c r="L1832" i="8"/>
  <c r="H1832" i="8"/>
  <c r="L1828" i="8"/>
  <c r="K1828" i="8"/>
  <c r="L1827" i="8"/>
  <c r="K1827" i="8"/>
  <c r="I1825" i="8"/>
  <c r="I1827" i="8" s="1"/>
  <c r="H1825" i="8"/>
  <c r="H1827" i="8" s="1"/>
  <c r="I1824" i="8"/>
  <c r="H1823" i="8"/>
  <c r="H1822" i="8"/>
  <c r="H1821" i="8"/>
  <c r="K1817" i="8"/>
  <c r="K1816" i="8"/>
  <c r="I1815" i="8"/>
  <c r="L1825" i="8"/>
  <c r="N1825" i="8" s="1"/>
  <c r="N1828" i="8" s="1"/>
  <c r="N1813" i="8"/>
  <c r="L1812" i="8"/>
  <c r="L1822" i="8"/>
  <c r="H1811" i="8"/>
  <c r="L1821" i="8"/>
  <c r="H1810" i="8"/>
  <c r="K1806" i="8"/>
  <c r="K1805" i="8"/>
  <c r="I1804" i="8"/>
  <c r="I1791" i="8"/>
  <c r="H1791" i="8"/>
  <c r="N1791" i="8"/>
  <c r="L1787" i="8"/>
  <c r="I1786" i="8"/>
  <c r="H1786" i="8"/>
  <c r="N1786" i="8"/>
  <c r="H1784" i="8"/>
  <c r="H1782" i="8"/>
  <c r="I1782" i="8"/>
  <c r="L1781" i="8"/>
  <c r="N1781" i="8" s="1"/>
  <c r="H1781" i="8"/>
  <c r="I1781" i="8"/>
  <c r="H1780" i="8"/>
  <c r="I1780" i="8"/>
  <c r="H1778" i="8"/>
  <c r="N1777" i="8"/>
  <c r="H1777" i="8"/>
  <c r="I1777" i="8"/>
  <c r="I1768" i="8"/>
  <c r="N1768" i="8"/>
  <c r="H1768" i="8"/>
  <c r="L1767" i="8"/>
  <c r="N1767" i="8" s="1"/>
  <c r="I1767" i="8"/>
  <c r="H1767" i="8"/>
  <c r="I1765" i="8"/>
  <c r="N1765" i="8"/>
  <c r="H1765" i="8"/>
  <c r="I1764" i="8"/>
  <c r="N1764" i="8"/>
  <c r="H1764" i="8"/>
  <c r="I1763" i="8"/>
  <c r="N1763" i="8"/>
  <c r="H1763" i="8"/>
  <c r="I1762" i="8"/>
  <c r="N1762" i="8"/>
  <c r="H1762" i="8"/>
  <c r="I1761" i="8"/>
  <c r="N1761" i="8"/>
  <c r="H1761" i="8"/>
  <c r="I1760" i="8"/>
  <c r="N1760" i="8"/>
  <c r="H1760" i="8"/>
  <c r="I1759" i="8"/>
  <c r="N1759" i="8"/>
  <c r="H1759" i="8"/>
  <c r="I1757" i="8"/>
  <c r="N1757" i="8"/>
  <c r="H1757" i="8"/>
  <c r="I1756" i="8"/>
  <c r="N1756" i="8"/>
  <c r="H1756" i="8"/>
  <c r="I1755" i="8"/>
  <c r="N1755" i="8"/>
  <c r="H1755" i="8"/>
  <c r="I1754" i="8"/>
  <c r="N1754" i="8"/>
  <c r="H1754" i="8"/>
  <c r="I1753" i="8"/>
  <c r="N1753" i="8"/>
  <c r="H1753" i="8"/>
  <c r="I1752" i="8"/>
  <c r="N1752" i="8"/>
  <c r="H1752" i="8"/>
  <c r="I1751" i="8"/>
  <c r="N1751" i="8"/>
  <c r="H1751" i="8"/>
  <c r="I1750" i="8"/>
  <c r="N1750" i="8"/>
  <c r="H1750" i="8"/>
  <c r="I1749" i="8"/>
  <c r="N1749" i="8"/>
  <c r="H1749" i="8"/>
  <c r="I1748" i="8"/>
  <c r="N1748" i="8"/>
  <c r="H1748" i="8"/>
  <c r="I1746" i="8"/>
  <c r="N1746" i="8"/>
  <c r="H1746" i="8"/>
  <c r="I1745" i="8"/>
  <c r="N1745" i="8"/>
  <c r="H1745" i="8"/>
  <c r="I1744" i="8"/>
  <c r="N1744" i="8"/>
  <c r="H1744" i="8"/>
  <c r="L1743" i="8"/>
  <c r="N1743" i="8" s="1"/>
  <c r="I1743" i="8"/>
  <c r="H1743" i="8"/>
  <c r="I1741" i="8"/>
  <c r="N1741" i="8"/>
  <c r="H1741" i="8"/>
  <c r="I1740" i="8"/>
  <c r="N1740" i="8"/>
  <c r="H1740" i="8"/>
  <c r="H1804" i="8"/>
  <c r="H1731" i="8"/>
  <c r="H1730" i="8"/>
  <c r="H1729" i="8"/>
  <c r="N1728" i="8"/>
  <c r="H1728" i="8"/>
  <c r="I1728" i="8"/>
  <c r="H1727" i="8"/>
  <c r="H1725" i="8"/>
  <c r="H1724" i="8"/>
  <c r="N1723" i="8"/>
  <c r="H1723" i="8"/>
  <c r="I1723" i="8"/>
  <c r="H1722" i="8"/>
  <c r="H1721" i="8"/>
  <c r="K1715" i="8"/>
  <c r="K1714" i="8"/>
  <c r="I1704" i="8"/>
  <c r="H1709" i="8"/>
  <c r="I1709" i="8"/>
  <c r="H1707" i="8"/>
  <c r="I1707" i="8"/>
  <c r="H1705" i="8"/>
  <c r="I1705" i="8"/>
  <c r="H1704" i="8"/>
  <c r="H1703" i="8"/>
  <c r="I1703" i="8"/>
  <c r="H1702" i="8"/>
  <c r="I1702" i="8"/>
  <c r="H1701" i="8"/>
  <c r="I1701" i="8"/>
  <c r="H1700" i="8"/>
  <c r="H1698" i="8"/>
  <c r="I1698" i="8"/>
  <c r="H1697" i="8"/>
  <c r="I1697" i="8"/>
  <c r="H1680" i="8"/>
  <c r="H1679" i="8"/>
  <c r="H1678" i="8"/>
  <c r="H1677" i="8"/>
  <c r="H1676" i="8"/>
  <c r="H1675" i="8"/>
  <c r="H1674" i="8"/>
  <c r="H1673" i="8"/>
  <c r="H1672" i="8"/>
  <c r="H1671" i="8"/>
  <c r="H1670" i="8"/>
  <c r="H1669" i="8"/>
  <c r="H1668" i="8"/>
  <c r="H1667" i="8"/>
  <c r="H1666" i="8"/>
  <c r="H1664" i="8"/>
  <c r="H1663" i="8"/>
  <c r="H1662" i="8"/>
  <c r="L1656" i="8"/>
  <c r="K1656" i="8"/>
  <c r="L1655" i="8"/>
  <c r="K1655" i="8"/>
  <c r="L1652" i="8"/>
  <c r="H1652" i="8"/>
  <c r="H1651" i="8"/>
  <c r="H1648" i="8"/>
  <c r="H1647" i="8"/>
  <c r="H1646" i="8"/>
  <c r="H1645" i="8"/>
  <c r="H1644" i="8"/>
  <c r="H1643" i="8"/>
  <c r="H1642" i="8"/>
  <c r="L1638" i="8"/>
  <c r="K1638" i="8"/>
  <c r="K1637" i="8"/>
  <c r="L1634" i="8"/>
  <c r="H1634" i="8"/>
  <c r="L1630" i="8"/>
  <c r="H1630" i="8"/>
  <c r="L1629" i="8"/>
  <c r="H1629" i="8"/>
  <c r="H1628" i="8"/>
  <c r="H1627" i="8"/>
  <c r="H1626" i="8"/>
  <c r="H1625" i="8"/>
  <c r="L1624" i="8"/>
  <c r="H1624" i="8"/>
  <c r="H1623" i="8"/>
  <c r="H1622" i="8"/>
  <c r="K1618" i="8"/>
  <c r="K1617" i="8"/>
  <c r="H1614" i="8"/>
  <c r="L1613" i="8"/>
  <c r="L1651" i="8" s="1"/>
  <c r="H1613" i="8"/>
  <c r="L1628" i="8"/>
  <c r="L1627" i="8"/>
  <c r="H1609" i="8"/>
  <c r="L1646" i="8"/>
  <c r="H1608" i="8"/>
  <c r="L1644" i="8"/>
  <c r="H1606" i="8"/>
  <c r="L1643" i="8"/>
  <c r="H1605" i="8"/>
  <c r="L1642" i="8"/>
  <c r="N1642" i="8" s="1"/>
  <c r="H1604" i="8"/>
  <c r="L1600" i="8"/>
  <c r="K1600" i="8"/>
  <c r="K1599" i="8"/>
  <c r="H1597" i="8"/>
  <c r="H1583" i="8"/>
  <c r="I1582" i="8"/>
  <c r="H1582" i="8"/>
  <c r="L1578" i="8"/>
  <c r="K1578" i="8"/>
  <c r="K1577" i="8"/>
  <c r="L1562" i="8"/>
  <c r="H1561" i="8"/>
  <c r="I1560" i="8"/>
  <c r="H1560" i="8"/>
  <c r="K1556" i="8"/>
  <c r="K1555" i="8"/>
  <c r="I1554" i="8"/>
  <c r="H1554" i="8"/>
  <c r="L1544" i="8"/>
  <c r="L1539" i="8"/>
  <c r="H1539" i="8"/>
  <c r="L1538" i="8"/>
  <c r="I1538" i="8"/>
  <c r="H1538" i="8"/>
  <c r="L1534" i="8"/>
  <c r="K1534" i="8"/>
  <c r="K1533" i="8"/>
  <c r="N1532" i="8"/>
  <c r="N1513" i="8" s="1"/>
  <c r="N1492" i="8" s="1"/>
  <c r="H1531" i="8"/>
  <c r="H1530" i="8"/>
  <c r="H1529" i="8"/>
  <c r="H1528" i="8"/>
  <c r="H1527" i="8"/>
  <c r="H1520" i="8"/>
  <c r="L1519" i="8"/>
  <c r="I1519" i="8"/>
  <c r="H1519" i="8"/>
  <c r="L1515" i="8"/>
  <c r="K1515" i="8"/>
  <c r="K1514" i="8"/>
  <c r="H1512" i="8"/>
  <c r="H1511" i="8"/>
  <c r="H1510" i="8"/>
  <c r="H1509" i="8"/>
  <c r="H1508" i="8"/>
  <c r="L1506" i="8"/>
  <c r="L1501" i="8"/>
  <c r="H1501" i="8"/>
  <c r="L1500" i="8"/>
  <c r="I1500" i="8"/>
  <c r="K1494" i="8"/>
  <c r="K1493" i="8"/>
  <c r="I1492" i="8"/>
  <c r="H1492" i="8"/>
  <c r="H1491" i="8"/>
  <c r="H1490" i="8"/>
  <c r="H1489" i="8"/>
  <c r="H1488" i="8"/>
  <c r="H1487" i="8"/>
  <c r="L1524" i="8"/>
  <c r="L1520" i="8"/>
  <c r="H1480" i="8"/>
  <c r="N1479" i="8"/>
  <c r="L1901" i="8"/>
  <c r="L1475" i="8"/>
  <c r="K1475" i="8"/>
  <c r="L1474" i="8"/>
  <c r="K1474" i="8"/>
  <c r="H1472" i="8"/>
  <c r="H1471" i="8"/>
  <c r="L1469" i="8"/>
  <c r="H1469" i="8"/>
  <c r="H1468" i="8"/>
  <c r="L1463" i="8"/>
  <c r="H1460" i="8"/>
  <c r="L1459" i="8"/>
  <c r="N1459" i="8" s="1"/>
  <c r="I1459" i="8"/>
  <c r="H1459" i="8"/>
  <c r="L1455" i="8"/>
  <c r="K1455" i="8"/>
  <c r="K1454" i="8"/>
  <c r="L1441" i="8"/>
  <c r="H1439" i="8"/>
  <c r="L1435" i="8"/>
  <c r="K1435" i="8"/>
  <c r="L1434" i="8"/>
  <c r="K1434" i="8"/>
  <c r="H1432" i="8"/>
  <c r="I1432" i="8"/>
  <c r="H1431" i="8"/>
  <c r="I1431" i="8"/>
  <c r="H1430" i="8"/>
  <c r="I1430" i="8"/>
  <c r="I1429" i="8"/>
  <c r="H1429" i="8"/>
  <c r="H1428" i="8"/>
  <c r="H1427" i="8"/>
  <c r="L1423" i="8"/>
  <c r="H1420" i="8"/>
  <c r="L1419" i="8"/>
  <c r="N1419" i="8" s="1"/>
  <c r="I1419" i="8"/>
  <c r="H1419" i="8"/>
  <c r="L1415" i="8"/>
  <c r="K1415" i="8"/>
  <c r="L1414" i="8"/>
  <c r="K1414" i="8"/>
  <c r="L1409" i="8"/>
  <c r="L1405" i="8"/>
  <c r="L1404" i="8"/>
  <c r="L1401" i="8"/>
  <c r="H1400" i="8"/>
  <c r="I1399" i="8"/>
  <c r="H1399" i="8"/>
  <c r="K1393" i="8"/>
  <c r="K1392" i="8"/>
  <c r="N1391" i="8"/>
  <c r="I1391" i="8"/>
  <c r="H1391" i="8"/>
  <c r="L2302" i="8"/>
  <c r="L1422" i="8"/>
  <c r="L2299" i="8"/>
  <c r="H1378" i="8"/>
  <c r="L1399" i="8"/>
  <c r="I1377" i="8"/>
  <c r="N1377" i="8"/>
  <c r="H1377" i="8"/>
  <c r="L1372" i="8"/>
  <c r="K1372" i="8"/>
  <c r="K1371" i="8"/>
  <c r="L1330" i="8"/>
  <c r="K1330" i="8"/>
  <c r="K1329" i="8"/>
  <c r="H1325" i="8"/>
  <c r="I1325" i="8"/>
  <c r="H1324" i="8"/>
  <c r="I1324" i="8"/>
  <c r="H1323" i="8"/>
  <c r="I1323" i="8"/>
  <c r="H1322" i="8"/>
  <c r="I1322" i="8"/>
  <c r="H1321" i="8"/>
  <c r="I1321" i="8"/>
  <c r="I1320" i="8"/>
  <c r="H1320" i="8"/>
  <c r="I1319" i="8"/>
  <c r="H1319" i="8"/>
  <c r="I1318" i="8"/>
  <c r="H1318" i="8"/>
  <c r="I1316" i="8"/>
  <c r="H1316" i="8"/>
  <c r="I1315" i="8"/>
  <c r="H1315" i="8"/>
  <c r="I1314" i="8"/>
  <c r="H1314" i="8"/>
  <c r="I1313" i="8"/>
  <c r="H1313" i="8"/>
  <c r="I1312" i="8"/>
  <c r="H1312" i="8"/>
  <c r="I1311" i="8"/>
  <c r="H1311" i="8"/>
  <c r="I1309" i="8"/>
  <c r="H1309" i="8"/>
  <c r="I1308" i="8"/>
  <c r="H1308" i="8"/>
  <c r="I1307" i="8"/>
  <c r="H1307" i="8"/>
  <c r="I1306" i="8"/>
  <c r="H1306" i="8"/>
  <c r="I1305" i="8"/>
  <c r="H1305" i="8"/>
  <c r="I1304" i="8"/>
  <c r="H1304" i="8"/>
  <c r="I1303" i="8"/>
  <c r="H1303" i="8"/>
  <c r="I1302" i="8"/>
  <c r="H1302" i="8"/>
  <c r="I1301" i="8"/>
  <c r="H1301" i="8"/>
  <c r="I1300" i="8"/>
  <c r="H1300" i="8"/>
  <c r="I1299" i="8"/>
  <c r="H1299" i="8"/>
  <c r="I1297" i="8"/>
  <c r="H1297" i="8"/>
  <c r="I1296" i="8"/>
  <c r="H1296" i="8"/>
  <c r="I1295" i="8"/>
  <c r="H1295" i="8"/>
  <c r="I1294" i="8"/>
  <c r="L1288" i="8"/>
  <c r="K1288" i="8"/>
  <c r="K1287" i="8"/>
  <c r="H1283" i="8"/>
  <c r="I1283" i="8"/>
  <c r="H1282" i="8"/>
  <c r="I1282" i="8"/>
  <c r="H1281" i="8"/>
  <c r="I1281" i="8"/>
  <c r="H1280" i="8"/>
  <c r="I1280" i="8"/>
  <c r="H1279" i="8"/>
  <c r="I1279" i="8"/>
  <c r="H1278" i="8"/>
  <c r="I1278" i="8"/>
  <c r="H1277" i="8"/>
  <c r="I1277" i="8"/>
  <c r="H1276" i="8"/>
  <c r="I1276" i="8"/>
  <c r="H1274" i="8"/>
  <c r="I1274" i="8"/>
  <c r="H1273" i="8"/>
  <c r="I1273" i="8"/>
  <c r="H1272" i="8"/>
  <c r="I1272" i="8"/>
  <c r="H1271" i="8"/>
  <c r="I1271" i="8"/>
  <c r="H1270" i="8"/>
  <c r="I1270" i="8"/>
  <c r="H1269" i="8"/>
  <c r="I1269" i="8"/>
  <c r="H1267" i="8"/>
  <c r="I1267" i="8"/>
  <c r="H1266" i="8"/>
  <c r="I1266" i="8"/>
  <c r="H1265" i="8"/>
  <c r="I1265" i="8"/>
  <c r="H1264" i="8"/>
  <c r="I1264" i="8"/>
  <c r="H1263" i="8"/>
  <c r="I1263" i="8"/>
  <c r="H1262" i="8"/>
  <c r="I1262" i="8"/>
  <c r="H1261" i="8"/>
  <c r="I1261" i="8"/>
  <c r="H1260" i="8"/>
  <c r="I1260" i="8"/>
  <c r="H1259" i="8"/>
  <c r="I1259" i="8"/>
  <c r="H1258" i="8"/>
  <c r="I1258" i="8"/>
  <c r="H1257" i="8"/>
  <c r="I1257" i="8"/>
  <c r="H1255" i="8"/>
  <c r="I1255" i="8"/>
  <c r="H1254" i="8"/>
  <c r="I1254" i="8"/>
  <c r="H1253" i="8"/>
  <c r="I1253" i="8"/>
  <c r="H1252" i="8"/>
  <c r="L1246" i="8"/>
  <c r="K1246" i="8"/>
  <c r="L1245" i="8"/>
  <c r="K1245" i="8"/>
  <c r="H1202" i="8"/>
  <c r="H1241" i="8"/>
  <c r="H1240" i="8"/>
  <c r="H1239" i="8"/>
  <c r="H1238" i="8"/>
  <c r="H1237" i="8"/>
  <c r="H1236" i="8"/>
  <c r="H1235" i="8"/>
  <c r="H1234" i="8"/>
  <c r="H1232" i="8"/>
  <c r="H1231" i="8"/>
  <c r="H1230" i="8"/>
  <c r="H1229" i="8"/>
  <c r="H1228" i="8"/>
  <c r="H1227" i="8"/>
  <c r="H1225" i="8"/>
  <c r="H1224" i="8"/>
  <c r="H1223" i="8"/>
  <c r="H1222" i="8"/>
  <c r="H1221" i="8"/>
  <c r="H1220" i="8"/>
  <c r="H1219" i="8"/>
  <c r="H1218" i="8"/>
  <c r="H1217" i="8"/>
  <c r="H1216" i="8"/>
  <c r="H1215" i="8"/>
  <c r="H1213" i="8"/>
  <c r="H1212" i="8"/>
  <c r="H1211" i="8"/>
  <c r="H1210" i="8"/>
  <c r="K1204" i="8"/>
  <c r="K1203" i="8"/>
  <c r="I1202" i="8"/>
  <c r="L1163" i="8"/>
  <c r="K1163" i="8"/>
  <c r="K1162" i="8"/>
  <c r="I1160" i="8"/>
  <c r="H1160" i="8"/>
  <c r="I1159" i="8"/>
  <c r="H1159" i="8"/>
  <c r="I1158" i="8"/>
  <c r="H1158" i="8"/>
  <c r="H1157" i="8"/>
  <c r="I1157" i="8"/>
  <c r="H1156" i="8"/>
  <c r="H1155" i="8"/>
  <c r="H1154" i="8"/>
  <c r="I1153" i="8"/>
  <c r="H1153" i="8"/>
  <c r="L1152" i="8"/>
  <c r="N1152" i="8" s="1"/>
  <c r="N1151" i="8"/>
  <c r="L1151" i="8"/>
  <c r="L1149" i="8"/>
  <c r="L1146" i="8"/>
  <c r="N1146" i="8" s="1"/>
  <c r="L1141" i="8"/>
  <c r="K1141" i="8"/>
  <c r="K1140" i="8"/>
  <c r="I1131" i="8"/>
  <c r="H1131" i="8"/>
  <c r="L1119" i="8"/>
  <c r="K1119" i="8"/>
  <c r="K1118" i="8"/>
  <c r="H1116" i="8"/>
  <c r="H1114" i="8"/>
  <c r="H1111" i="8"/>
  <c r="H1109" i="8"/>
  <c r="N1063" i="8"/>
  <c r="L1097" i="8"/>
  <c r="K1097" i="8"/>
  <c r="K1096" i="8"/>
  <c r="H1073" i="8"/>
  <c r="H1094" i="8"/>
  <c r="I1094" i="8"/>
  <c r="H1093" i="8"/>
  <c r="I1093" i="8"/>
  <c r="H1092" i="8"/>
  <c r="H1091" i="8"/>
  <c r="H1090" i="8"/>
  <c r="H1089" i="8"/>
  <c r="H1088" i="8"/>
  <c r="I1088" i="8"/>
  <c r="H1087" i="8"/>
  <c r="L1080" i="8"/>
  <c r="N1080" i="8" s="1"/>
  <c r="L1075" i="8"/>
  <c r="K1075" i="8"/>
  <c r="K1074" i="8"/>
  <c r="I1073" i="8"/>
  <c r="H1071" i="8"/>
  <c r="H1066" i="8"/>
  <c r="L1064" i="8"/>
  <c r="L1086" i="8" s="1"/>
  <c r="N1086" i="8" s="1"/>
  <c r="L1063" i="8"/>
  <c r="L1129" i="8" s="1"/>
  <c r="L1062" i="8"/>
  <c r="L1106" i="8" s="1"/>
  <c r="L1061" i="8"/>
  <c r="L1127" i="8" s="1"/>
  <c r="L1058" i="8"/>
  <c r="L1102" i="8" s="1"/>
  <c r="L1052" i="8"/>
  <c r="K1052" i="8"/>
  <c r="K1051" i="8"/>
  <c r="I1041" i="8"/>
  <c r="H1041" i="8"/>
  <c r="L1040" i="8"/>
  <c r="L1039" i="8"/>
  <c r="L1038" i="8"/>
  <c r="L1037" i="8"/>
  <c r="L1036" i="8"/>
  <c r="L1034" i="8"/>
  <c r="L1028" i="8"/>
  <c r="K1028" i="8"/>
  <c r="K1027" i="8"/>
  <c r="H1025" i="8"/>
  <c r="H1024" i="8"/>
  <c r="H1023" i="8"/>
  <c r="H1022" i="8"/>
  <c r="H1021" i="8"/>
  <c r="H1020" i="8"/>
  <c r="I1019" i="8"/>
  <c r="H1019" i="8"/>
  <c r="H1018" i="8"/>
  <c r="I1017" i="8"/>
  <c r="H1017" i="8"/>
  <c r="L1016" i="8"/>
  <c r="L1015" i="8"/>
  <c r="L1013" i="8"/>
  <c r="L1011" i="8"/>
  <c r="L1010" i="8"/>
  <c r="L1009" i="8"/>
  <c r="L1004" i="8"/>
  <c r="K1004" i="8"/>
  <c r="K1003" i="8"/>
  <c r="H978" i="8"/>
  <c r="H1001" i="8"/>
  <c r="H1000" i="8"/>
  <c r="H999" i="8"/>
  <c r="H998" i="8"/>
  <c r="H997" i="8"/>
  <c r="H996" i="8"/>
  <c r="H995" i="8"/>
  <c r="H994" i="8"/>
  <c r="H993" i="8"/>
  <c r="L991" i="8"/>
  <c r="L989" i="8"/>
  <c r="L987" i="8"/>
  <c r="L985" i="8"/>
  <c r="K980" i="8"/>
  <c r="K979" i="8"/>
  <c r="I978" i="8"/>
  <c r="L977" i="8"/>
  <c r="L1001" i="8" s="1"/>
  <c r="H975" i="8"/>
  <c r="H974" i="8"/>
  <c r="L972" i="8"/>
  <c r="L1044" i="8" s="1"/>
  <c r="H972" i="8"/>
  <c r="H971" i="8"/>
  <c r="L1896" i="8"/>
  <c r="L1890" i="8"/>
  <c r="L957" i="8"/>
  <c r="K957" i="8"/>
  <c r="K956" i="8"/>
  <c r="I954" i="8"/>
  <c r="H954" i="8"/>
  <c r="I953" i="8"/>
  <c r="H953" i="8"/>
  <c r="H952" i="8"/>
  <c r="H951" i="8"/>
  <c r="H950" i="8"/>
  <c r="H956" i="8" s="1"/>
  <c r="H945" i="8"/>
  <c r="H944" i="8"/>
  <c r="H943" i="8"/>
  <c r="L939" i="8"/>
  <c r="K939" i="8"/>
  <c r="K938" i="8"/>
  <c r="I936" i="8"/>
  <c r="H936" i="8"/>
  <c r="I935" i="8"/>
  <c r="H935" i="8"/>
  <c r="H934" i="8"/>
  <c r="I933" i="8"/>
  <c r="H933" i="8"/>
  <c r="H932" i="8"/>
  <c r="H927" i="8"/>
  <c r="I926" i="8"/>
  <c r="H926" i="8"/>
  <c r="H925" i="8"/>
  <c r="L921" i="8"/>
  <c r="K921" i="8"/>
  <c r="K920" i="8"/>
  <c r="I918" i="8"/>
  <c r="H918" i="8"/>
  <c r="I917" i="8"/>
  <c r="H917" i="8"/>
  <c r="I916" i="8"/>
  <c r="H916" i="8"/>
  <c r="H915" i="8"/>
  <c r="H914" i="8"/>
  <c r="H909" i="8"/>
  <c r="H908" i="8"/>
  <c r="H907" i="8"/>
  <c r="L903" i="8"/>
  <c r="K903" i="8"/>
  <c r="K902" i="8"/>
  <c r="N901" i="8"/>
  <c r="I901" i="8"/>
  <c r="H901" i="8"/>
  <c r="I900" i="8"/>
  <c r="H900" i="8"/>
  <c r="I899" i="8"/>
  <c r="H899" i="8"/>
  <c r="H898" i="8"/>
  <c r="H897" i="8"/>
  <c r="H896" i="8"/>
  <c r="H891" i="8"/>
  <c r="H890" i="8"/>
  <c r="H889" i="8"/>
  <c r="L885" i="8"/>
  <c r="K885" i="8"/>
  <c r="K884" i="8"/>
  <c r="I882" i="8"/>
  <c r="H882" i="8"/>
  <c r="I881" i="8"/>
  <c r="H880" i="8"/>
  <c r="H878" i="8"/>
  <c r="H873" i="8"/>
  <c r="H871" i="8"/>
  <c r="I870" i="8"/>
  <c r="H870" i="8"/>
  <c r="L866" i="8"/>
  <c r="K866" i="8"/>
  <c r="K865" i="8"/>
  <c r="I863" i="8"/>
  <c r="H863" i="8"/>
  <c r="H861" i="8"/>
  <c r="H860" i="8"/>
  <c r="H859" i="8"/>
  <c r="H854" i="8"/>
  <c r="H853" i="8"/>
  <c r="H852" i="8"/>
  <c r="I851" i="8"/>
  <c r="H851" i="8"/>
  <c r="L847" i="8"/>
  <c r="K847" i="8"/>
  <c r="K846" i="8"/>
  <c r="H845" i="8"/>
  <c r="I844" i="8"/>
  <c r="H843" i="8"/>
  <c r="H842" i="8"/>
  <c r="H840" i="8"/>
  <c r="H835" i="8"/>
  <c r="L834" i="8"/>
  <c r="L872" i="8" s="1"/>
  <c r="H834" i="8"/>
  <c r="H833" i="8"/>
  <c r="H832" i="8"/>
  <c r="L828" i="8"/>
  <c r="K828" i="8"/>
  <c r="K827" i="8"/>
  <c r="I825" i="8"/>
  <c r="H825" i="8"/>
  <c r="I824" i="8"/>
  <c r="H824" i="8"/>
  <c r="H823" i="8"/>
  <c r="H822" i="8"/>
  <c r="I822" i="8"/>
  <c r="H821" i="8"/>
  <c r="I821" i="8"/>
  <c r="H816" i="8"/>
  <c r="H815" i="8"/>
  <c r="H814" i="8"/>
  <c r="H813" i="8"/>
  <c r="L809" i="8"/>
  <c r="K809" i="8"/>
  <c r="K808" i="8"/>
  <c r="H769" i="8"/>
  <c r="I806" i="8"/>
  <c r="H805" i="8"/>
  <c r="H804" i="8"/>
  <c r="H802" i="8"/>
  <c r="H796" i="8"/>
  <c r="H795" i="8"/>
  <c r="I794" i="8"/>
  <c r="H794" i="8"/>
  <c r="L790" i="8"/>
  <c r="K790" i="8"/>
  <c r="K789" i="8"/>
  <c r="I787" i="8"/>
  <c r="H787" i="8"/>
  <c r="H785" i="8"/>
  <c r="H784" i="8"/>
  <c r="H783" i="8"/>
  <c r="H778" i="8"/>
  <c r="H777" i="8"/>
  <c r="H776" i="8"/>
  <c r="H775" i="8"/>
  <c r="L771" i="8"/>
  <c r="K771" i="8"/>
  <c r="K770" i="8"/>
  <c r="N769" i="8"/>
  <c r="I769" i="8"/>
  <c r="I768" i="8"/>
  <c r="H768" i="8"/>
  <c r="H766" i="8"/>
  <c r="H765" i="8"/>
  <c r="H764" i="8"/>
  <c r="L762" i="8"/>
  <c r="L781" i="8" s="1"/>
  <c r="N781" i="8" s="1"/>
  <c r="L760" i="8"/>
  <c r="L779" i="8" s="1"/>
  <c r="L759" i="8"/>
  <c r="L778" i="8" s="1"/>
  <c r="H759" i="8"/>
  <c r="H758" i="8"/>
  <c r="H757" i="8"/>
  <c r="H756" i="8"/>
  <c r="L751" i="8"/>
  <c r="K751" i="8"/>
  <c r="K750" i="8"/>
  <c r="L748" i="8"/>
  <c r="H748" i="8"/>
  <c r="H747" i="8"/>
  <c r="H746" i="8"/>
  <c r="H745" i="8"/>
  <c r="H744" i="8"/>
  <c r="H743" i="8"/>
  <c r="L738" i="8"/>
  <c r="H738" i="8"/>
  <c r="H737" i="8"/>
  <c r="H736" i="8"/>
  <c r="I735" i="8"/>
  <c r="H735" i="8"/>
  <c r="L730" i="8"/>
  <c r="K730" i="8"/>
  <c r="K729" i="8"/>
  <c r="H686" i="8"/>
  <c r="H727" i="8"/>
  <c r="H726" i="8"/>
  <c r="H725" i="8"/>
  <c r="I723" i="8"/>
  <c r="H724" i="8"/>
  <c r="H723" i="8"/>
  <c r="H722" i="8"/>
  <c r="L720" i="8"/>
  <c r="L718" i="8"/>
  <c r="H717" i="8"/>
  <c r="H716" i="8"/>
  <c r="H715" i="8"/>
  <c r="H714" i="8"/>
  <c r="L709" i="8"/>
  <c r="K709" i="8"/>
  <c r="K708" i="8"/>
  <c r="L706" i="8"/>
  <c r="H704" i="8"/>
  <c r="L696" i="8"/>
  <c r="H694" i="8"/>
  <c r="I693" i="8"/>
  <c r="H693" i="8"/>
  <c r="I694" i="8"/>
  <c r="K688" i="8"/>
  <c r="K687" i="8"/>
  <c r="I686" i="8"/>
  <c r="L727" i="8"/>
  <c r="L682" i="8"/>
  <c r="L898" i="8" s="1"/>
  <c r="L763" i="8"/>
  <c r="L894" i="8"/>
  <c r="L698" i="8"/>
  <c r="L892" i="8"/>
  <c r="L557" i="8" s="1"/>
  <c r="L590" i="8" s="1"/>
  <c r="L891" i="8"/>
  <c r="H674" i="8"/>
  <c r="H673" i="8"/>
  <c r="L674" i="8"/>
  <c r="L667" i="8"/>
  <c r="K667" i="8"/>
  <c r="K666" i="8"/>
  <c r="L650" i="8"/>
  <c r="K650" i="8"/>
  <c r="L649" i="8"/>
  <c r="K649" i="8"/>
  <c r="L634" i="8"/>
  <c r="K634" i="8"/>
  <c r="L633" i="8"/>
  <c r="K633" i="8"/>
  <c r="L617" i="8"/>
  <c r="K617" i="8"/>
  <c r="L616" i="8"/>
  <c r="K616" i="8"/>
  <c r="L601" i="8"/>
  <c r="K601" i="8"/>
  <c r="L600" i="8"/>
  <c r="K600" i="8"/>
  <c r="L584" i="8"/>
  <c r="K584" i="8"/>
  <c r="L583" i="8"/>
  <c r="K583" i="8"/>
  <c r="L568" i="8"/>
  <c r="K568" i="8"/>
  <c r="L567" i="8"/>
  <c r="K567" i="8"/>
  <c r="I566" i="8"/>
  <c r="H566" i="8"/>
  <c r="L563" i="8"/>
  <c r="L629" i="8" s="1"/>
  <c r="H662" i="8"/>
  <c r="L559" i="8"/>
  <c r="L556" i="8"/>
  <c r="L589" i="8" s="1"/>
  <c r="H556" i="8"/>
  <c r="H655" i="8"/>
  <c r="I555" i="8"/>
  <c r="I654" i="8"/>
  <c r="L551" i="8"/>
  <c r="K551" i="8"/>
  <c r="L550" i="8"/>
  <c r="K550" i="8"/>
  <c r="L549" i="8"/>
  <c r="L648" i="8" s="1"/>
  <c r="L547" i="8"/>
  <c r="L646" i="8" s="1"/>
  <c r="L546" i="8"/>
  <c r="L645" i="8" s="1"/>
  <c r="L545" i="8"/>
  <c r="L644" i="8" s="1"/>
  <c r="L544" i="8"/>
  <c r="L610" i="8" s="1"/>
  <c r="L543" i="8"/>
  <c r="L642" i="8" s="1"/>
  <c r="L542" i="8"/>
  <c r="L641" i="8" s="1"/>
  <c r="L541" i="8"/>
  <c r="L640" i="8" s="1"/>
  <c r="L540" i="8"/>
  <c r="L606" i="8" s="1"/>
  <c r="L535" i="8"/>
  <c r="K535" i="8"/>
  <c r="L534" i="8"/>
  <c r="K534" i="8"/>
  <c r="L517" i="8"/>
  <c r="K517" i="8"/>
  <c r="L516" i="8"/>
  <c r="K516" i="8"/>
  <c r="L501" i="8"/>
  <c r="K501" i="8"/>
  <c r="L500" i="8"/>
  <c r="K500" i="8"/>
  <c r="L483" i="8"/>
  <c r="K483" i="8"/>
  <c r="L482" i="8"/>
  <c r="K482" i="8"/>
  <c r="L467" i="8"/>
  <c r="K467" i="8"/>
  <c r="L466" i="8"/>
  <c r="K466" i="8"/>
  <c r="L449" i="8"/>
  <c r="K449" i="8"/>
  <c r="L448" i="8"/>
  <c r="K448" i="8"/>
  <c r="L433" i="8"/>
  <c r="K433" i="8"/>
  <c r="L432" i="8"/>
  <c r="K432" i="8"/>
  <c r="L415" i="8"/>
  <c r="K415" i="8"/>
  <c r="L414" i="8"/>
  <c r="K414" i="8"/>
  <c r="L399" i="8"/>
  <c r="K399" i="8"/>
  <c r="L398" i="8"/>
  <c r="K398" i="8"/>
  <c r="I397" i="8"/>
  <c r="H397" i="8"/>
  <c r="L381" i="8"/>
  <c r="K381" i="8"/>
  <c r="L380" i="8"/>
  <c r="K380" i="8"/>
  <c r="L364" i="8"/>
  <c r="K364" i="8"/>
  <c r="L363" i="8"/>
  <c r="K363" i="8"/>
  <c r="L345" i="8"/>
  <c r="K345" i="8"/>
  <c r="L344" i="8"/>
  <c r="K344" i="8"/>
  <c r="L328" i="8"/>
  <c r="K328" i="8"/>
  <c r="L327" i="8"/>
  <c r="K327" i="8"/>
  <c r="L309" i="8"/>
  <c r="K309" i="8"/>
  <c r="L308" i="8"/>
  <c r="K308" i="8"/>
  <c r="L292" i="8"/>
  <c r="K292" i="8"/>
  <c r="L291" i="8"/>
  <c r="K291" i="8"/>
  <c r="H289" i="8"/>
  <c r="H286" i="8"/>
  <c r="H279" i="8"/>
  <c r="I278" i="8"/>
  <c r="H278" i="8"/>
  <c r="I277" i="8"/>
  <c r="H277" i="8"/>
  <c r="L273" i="8"/>
  <c r="K273" i="8"/>
  <c r="L272" i="8"/>
  <c r="K272" i="8"/>
  <c r="L256" i="8"/>
  <c r="K256" i="8"/>
  <c r="L255" i="8"/>
  <c r="K255" i="8"/>
  <c r="I254" i="8"/>
  <c r="H254" i="8"/>
  <c r="L253" i="8"/>
  <c r="L289" i="8" s="1"/>
  <c r="L250" i="8"/>
  <c r="L394" i="8" s="1"/>
  <c r="L247" i="8"/>
  <c r="L391" i="8" s="1"/>
  <c r="L246" i="8"/>
  <c r="L390" i="8" s="1"/>
  <c r="L245" i="8"/>
  <c r="L389" i="8" s="1"/>
  <c r="L244" i="8"/>
  <c r="L388" i="8" s="1"/>
  <c r="L243" i="8"/>
  <c r="L387" i="8" s="1"/>
  <c r="H243" i="8"/>
  <c r="N242" i="8"/>
  <c r="L242" i="8"/>
  <c r="L386" i="8" s="1"/>
  <c r="H241" i="8"/>
  <c r="L240" i="8"/>
  <c r="L348" i="8" s="1"/>
  <c r="L237" i="8"/>
  <c r="K237" i="8"/>
  <c r="L236" i="8"/>
  <c r="K236" i="8"/>
  <c r="L235" i="8"/>
  <c r="L379" i="8" s="1"/>
  <c r="L234" i="8"/>
  <c r="L342" i="8" s="1"/>
  <c r="L233" i="8"/>
  <c r="L341" i="8" s="1"/>
  <c r="L232" i="8"/>
  <c r="L376" i="8" s="1"/>
  <c r="L231" i="8"/>
  <c r="L375" i="8" s="1"/>
  <c r="L230" i="8"/>
  <c r="L338" i="8" s="1"/>
  <c r="L229" i="8"/>
  <c r="L337" i="8" s="1"/>
  <c r="L228" i="8"/>
  <c r="L372" i="8" s="1"/>
  <c r="L227" i="8"/>
  <c r="L371" i="8" s="1"/>
  <c r="L226" i="8"/>
  <c r="L334" i="8" s="1"/>
  <c r="O221" i="8"/>
  <c r="L221" i="8"/>
  <c r="K221" i="8"/>
  <c r="K220" i="8"/>
  <c r="O218" i="8"/>
  <c r="H218" i="8"/>
  <c r="H217" i="8"/>
  <c r="H216" i="8"/>
  <c r="H215" i="8"/>
  <c r="H214" i="8"/>
  <c r="H213" i="8"/>
  <c r="H212" i="8"/>
  <c r="H211" i="8"/>
  <c r="O210" i="8"/>
  <c r="O209" i="8"/>
  <c r="O207" i="8"/>
  <c r="O206" i="8"/>
  <c r="H203" i="8"/>
  <c r="I203" i="8"/>
  <c r="H200" i="8"/>
  <c r="H197" i="8"/>
  <c r="O196" i="8"/>
  <c r="L196" i="8"/>
  <c r="H196" i="8"/>
  <c r="O195" i="8"/>
  <c r="L195" i="8"/>
  <c r="H195" i="8"/>
  <c r="H192" i="8"/>
  <c r="O191" i="8"/>
  <c r="O190" i="8"/>
  <c r="H189" i="8"/>
  <c r="I189" i="8"/>
  <c r="O184" i="8"/>
  <c r="L184" i="8"/>
  <c r="K184" i="8"/>
  <c r="K183" i="8"/>
  <c r="O181" i="8"/>
  <c r="H181" i="8"/>
  <c r="H180" i="8"/>
  <c r="H179" i="8"/>
  <c r="H178" i="8"/>
  <c r="H177" i="8"/>
  <c r="H176" i="8"/>
  <c r="H175" i="8"/>
  <c r="H174" i="8"/>
  <c r="O173" i="8"/>
  <c r="O172" i="8"/>
  <c r="O170" i="8"/>
  <c r="O169" i="8"/>
  <c r="H166" i="8"/>
  <c r="H163" i="8"/>
  <c r="H160" i="8"/>
  <c r="O159" i="8"/>
  <c r="L159" i="8"/>
  <c r="H159" i="8"/>
  <c r="O158" i="8"/>
  <c r="L158" i="8"/>
  <c r="H158" i="8"/>
  <c r="H155" i="8"/>
  <c r="O154" i="8"/>
  <c r="O153" i="8"/>
  <c r="H152" i="8"/>
  <c r="O147" i="8"/>
  <c r="L147" i="8"/>
  <c r="K147" i="8"/>
  <c r="K146" i="8"/>
  <c r="O144" i="8"/>
  <c r="H144" i="8"/>
  <c r="H143" i="8"/>
  <c r="H142" i="8"/>
  <c r="H141" i="8"/>
  <c r="H140" i="8"/>
  <c r="I140" i="8"/>
  <c r="H139" i="8"/>
  <c r="H146" i="8" s="1"/>
  <c r="H138" i="8"/>
  <c r="I138" i="8"/>
  <c r="H137" i="8"/>
  <c r="O136" i="8"/>
  <c r="O135" i="8"/>
  <c r="O133" i="8"/>
  <c r="O132" i="8"/>
  <c r="H129" i="8"/>
  <c r="H126" i="8"/>
  <c r="I126" i="8"/>
  <c r="H123" i="8"/>
  <c r="O122" i="8"/>
  <c r="L122" i="8"/>
  <c r="H122" i="8"/>
  <c r="O121" i="8"/>
  <c r="L121" i="8"/>
  <c r="H121" i="8"/>
  <c r="H118" i="8"/>
  <c r="O117" i="8"/>
  <c r="O116" i="8"/>
  <c r="H115" i="8"/>
  <c r="O110" i="8"/>
  <c r="L110" i="8"/>
  <c r="K110" i="8"/>
  <c r="K109" i="8"/>
  <c r="O107" i="8"/>
  <c r="H107" i="8"/>
  <c r="O106" i="8"/>
  <c r="H106" i="8"/>
  <c r="H105" i="8"/>
  <c r="O103" i="8"/>
  <c r="H103" i="8"/>
  <c r="O102" i="8"/>
  <c r="H102" i="8"/>
  <c r="H109" i="8" s="1"/>
  <c r="H100" i="8"/>
  <c r="O93" i="8"/>
  <c r="L93" i="8"/>
  <c r="H93" i="8"/>
  <c r="O92" i="8"/>
  <c r="L92" i="8"/>
  <c r="H92" i="8"/>
  <c r="H89" i="8"/>
  <c r="O88" i="8"/>
  <c r="O87" i="8"/>
  <c r="H86" i="8"/>
  <c r="O81" i="8"/>
  <c r="L81" i="8"/>
  <c r="K81" i="8"/>
  <c r="K80" i="8"/>
  <c r="O78" i="8"/>
  <c r="H78" i="8"/>
  <c r="H77" i="8"/>
  <c r="H76" i="8"/>
  <c r="H75" i="8"/>
  <c r="H74" i="8"/>
  <c r="H73" i="8"/>
  <c r="H72" i="8"/>
  <c r="H71" i="8"/>
  <c r="O70" i="8"/>
  <c r="O69" i="8"/>
  <c r="L69" i="8"/>
  <c r="O67" i="8"/>
  <c r="L67" i="8"/>
  <c r="O66" i="8"/>
  <c r="H63" i="8"/>
  <c r="H60" i="8"/>
  <c r="H57" i="8"/>
  <c r="O56" i="8"/>
  <c r="L56" i="8"/>
  <c r="H56" i="8"/>
  <c r="O55" i="8"/>
  <c r="L55" i="8"/>
  <c r="H55" i="8"/>
  <c r="H52" i="8"/>
  <c r="O51" i="8"/>
  <c r="O50" i="8"/>
  <c r="H49" i="8"/>
  <c r="O44" i="8"/>
  <c r="L181" i="8"/>
  <c r="H41" i="8"/>
  <c r="H40" i="8"/>
  <c r="H39" i="8"/>
  <c r="H38" i="8"/>
  <c r="H37" i="8"/>
  <c r="H36" i="8"/>
  <c r="H35" i="8"/>
  <c r="H34" i="8"/>
  <c r="L173" i="8"/>
  <c r="L209" i="8"/>
  <c r="O31" i="8"/>
  <c r="O208" i="8" s="1"/>
  <c r="L31" i="8"/>
  <c r="L171" i="8" s="1"/>
  <c r="L207" i="8"/>
  <c r="L169" i="8"/>
  <c r="L205" i="8"/>
  <c r="L167" i="8"/>
  <c r="H26" i="8"/>
  <c r="I26" i="8"/>
  <c r="H23" i="8"/>
  <c r="H20" i="8"/>
  <c r="I20" i="8"/>
  <c r="H19" i="8"/>
  <c r="Q19" i="8"/>
  <c r="O17" i="8"/>
  <c r="O194" i="8" s="1"/>
  <c r="Q194" i="8" s="1"/>
  <c r="O16" i="8"/>
  <c r="O193" i="8" s="1"/>
  <c r="Q193" i="8" s="1"/>
  <c r="H15" i="8"/>
  <c r="L191" i="8"/>
  <c r="L153" i="8"/>
  <c r="H12" i="8"/>
  <c r="D3" i="7"/>
  <c r="B3" i="7" s="1"/>
  <c r="B5" i="7"/>
  <c r="B4" i="7"/>
  <c r="K36" i="9" l="1"/>
  <c r="K47" i="9" s="1"/>
  <c r="K19" i="9"/>
  <c r="L798" i="8"/>
  <c r="L1124" i="8"/>
  <c r="N1538" i="8"/>
  <c r="N2586" i="8"/>
  <c r="H183" i="8"/>
  <c r="H1637" i="8"/>
  <c r="H185" i="8"/>
  <c r="H220" i="8"/>
  <c r="L264" i="8"/>
  <c r="L268" i="8"/>
  <c r="L316" i="8"/>
  <c r="L325" i="8"/>
  <c r="L1083" i="8"/>
  <c r="N1083" i="8" s="1"/>
  <c r="H1162" i="8"/>
  <c r="H1242" i="8"/>
  <c r="H1245" i="8" s="1"/>
  <c r="H1248" i="8" s="1"/>
  <c r="L1633" i="8"/>
  <c r="H1649" i="8"/>
  <c r="H2156" i="8"/>
  <c r="H1514" i="8"/>
  <c r="H1615" i="8"/>
  <c r="H1631" i="8"/>
  <c r="H2019" i="8"/>
  <c r="H2520" i="8"/>
  <c r="L262" i="8"/>
  <c r="L266" i="8"/>
  <c r="L318" i="8"/>
  <c r="L354" i="8"/>
  <c r="H902" i="8"/>
  <c r="H904" i="8" s="1"/>
  <c r="L1084" i="8"/>
  <c r="N1084" i="8" s="1"/>
  <c r="L1128" i="8"/>
  <c r="H1164" i="8"/>
  <c r="H1533" i="8"/>
  <c r="H1932" i="8"/>
  <c r="H2043" i="8"/>
  <c r="H2202" i="8"/>
  <c r="H729" i="8"/>
  <c r="H938" i="8"/>
  <c r="H1027" i="8"/>
  <c r="L1049" i="8"/>
  <c r="H1434" i="8"/>
  <c r="H43" i="8"/>
  <c r="H80" i="8"/>
  <c r="L270" i="8"/>
  <c r="H827" i="8"/>
  <c r="H1535" i="8"/>
  <c r="H1732" i="8"/>
  <c r="N1827" i="8"/>
  <c r="L2036" i="8"/>
  <c r="H732" i="8"/>
  <c r="L745" i="8"/>
  <c r="L766" i="8"/>
  <c r="L703" i="8"/>
  <c r="L853" i="8"/>
  <c r="I115" i="8"/>
  <c r="I123" i="8"/>
  <c r="I142" i="8"/>
  <c r="L478" i="8"/>
  <c r="L512" i="8"/>
  <c r="L444" i="8"/>
  <c r="L410" i="8"/>
  <c r="N348" i="8"/>
  <c r="I38" i="8"/>
  <c r="H148" i="8"/>
  <c r="Q191" i="8"/>
  <c r="N191" i="8"/>
  <c r="L511" i="8"/>
  <c r="L443" i="8"/>
  <c r="L477" i="8"/>
  <c r="L409" i="8"/>
  <c r="H253" i="8"/>
  <c r="I312" i="8"/>
  <c r="L474" i="8"/>
  <c r="L508" i="8"/>
  <c r="L440" i="8"/>
  <c r="L406" i="8"/>
  <c r="L515" i="8"/>
  <c r="L447" i="8"/>
  <c r="L481" i="8"/>
  <c r="L413" i="8"/>
  <c r="I349" i="8"/>
  <c r="H349" i="8"/>
  <c r="H351" i="8"/>
  <c r="H361" i="8"/>
  <c r="N121" i="8"/>
  <c r="Q121" i="8"/>
  <c r="I121" i="8"/>
  <c r="N122" i="8"/>
  <c r="Q122" i="8"/>
  <c r="I122" i="8"/>
  <c r="Q144" i="8"/>
  <c r="I144" i="8"/>
  <c r="I18" i="8"/>
  <c r="N18" i="8"/>
  <c r="Q18" i="8"/>
  <c r="I137" i="8"/>
  <c r="I141" i="8"/>
  <c r="I143" i="8"/>
  <c r="I39" i="8"/>
  <c r="Q41" i="8"/>
  <c r="N41" i="8"/>
  <c r="I41" i="8"/>
  <c r="H82" i="8"/>
  <c r="H222" i="8"/>
  <c r="L507" i="8"/>
  <c r="L439" i="8"/>
  <c r="L473" i="8"/>
  <c r="L405" i="8"/>
  <c r="L488" i="8"/>
  <c r="N488" i="8" s="1"/>
  <c r="L522" i="8"/>
  <c r="N522" i="8" s="1"/>
  <c r="L454" i="8"/>
  <c r="N454" i="8" s="1"/>
  <c r="L420" i="8"/>
  <c r="N420" i="8" s="1"/>
  <c r="L496" i="8"/>
  <c r="L530" i="8"/>
  <c r="L462" i="8"/>
  <c r="L428" i="8"/>
  <c r="H392" i="8"/>
  <c r="L65" i="8"/>
  <c r="L87" i="8"/>
  <c r="L109" i="8"/>
  <c r="I129" i="8"/>
  <c r="L146" i="8"/>
  <c r="O183" i="8"/>
  <c r="I192" i="8"/>
  <c r="L220" i="8"/>
  <c r="I386" i="8"/>
  <c r="L523" i="8"/>
  <c r="L455" i="8"/>
  <c r="L489" i="8"/>
  <c r="L421" i="8"/>
  <c r="L525" i="8"/>
  <c r="L457" i="8"/>
  <c r="L491" i="8"/>
  <c r="L423" i="8"/>
  <c r="L527" i="8"/>
  <c r="L459" i="8"/>
  <c r="L493" i="8"/>
  <c r="L425" i="8"/>
  <c r="L352" i="8"/>
  <c r="L361" i="8"/>
  <c r="L370" i="8"/>
  <c r="L374" i="8"/>
  <c r="L378" i="8"/>
  <c r="H386" i="8"/>
  <c r="L716" i="8"/>
  <c r="L737" i="8"/>
  <c r="L758" i="8"/>
  <c r="L695" i="8"/>
  <c r="L50" i="8"/>
  <c r="O54" i="8"/>
  <c r="L16" i="8"/>
  <c r="L17" i="8"/>
  <c r="H18" i="8"/>
  <c r="I19" i="8"/>
  <c r="I23" i="8"/>
  <c r="O43" i="8"/>
  <c r="I63" i="8"/>
  <c r="L80" i="8"/>
  <c r="O90" i="8"/>
  <c r="Q90" i="8" s="1"/>
  <c r="H94" i="8"/>
  <c r="H97" i="8"/>
  <c r="L107" i="8"/>
  <c r="L117" i="8"/>
  <c r="O119" i="8"/>
  <c r="L130" i="8"/>
  <c r="L132" i="8"/>
  <c r="L134" i="8"/>
  <c r="L136" i="8"/>
  <c r="L144" i="8"/>
  <c r="N144" i="8" s="1"/>
  <c r="L154" i="8"/>
  <c r="O156" i="8"/>
  <c r="L168" i="8"/>
  <c r="L170" i="8"/>
  <c r="O171" i="8"/>
  <c r="L172" i="8"/>
  <c r="L190" i="8"/>
  <c r="L204" i="8"/>
  <c r="L206" i="8"/>
  <c r="L208" i="8"/>
  <c r="L210" i="8"/>
  <c r="L218" i="8"/>
  <c r="I241" i="8"/>
  <c r="H242" i="8"/>
  <c r="H250" i="8"/>
  <c r="L276" i="8"/>
  <c r="L278" i="8"/>
  <c r="N278" i="8" s="1"/>
  <c r="L279" i="8"/>
  <c r="L281" i="8"/>
  <c r="L283" i="8"/>
  <c r="L286" i="8"/>
  <c r="L298" i="8"/>
  <c r="L300" i="8"/>
  <c r="L302" i="8"/>
  <c r="L304" i="8"/>
  <c r="L306" i="8"/>
  <c r="H312" i="8"/>
  <c r="L314" i="8"/>
  <c r="N314" i="8" s="1"/>
  <c r="L322" i="8"/>
  <c r="H324" i="8"/>
  <c r="L336" i="8"/>
  <c r="L340" i="8"/>
  <c r="L350" i="8"/>
  <c r="N350" i="8" s="1"/>
  <c r="L358" i="8"/>
  <c r="H359" i="8"/>
  <c r="L373" i="8"/>
  <c r="L377" i="8"/>
  <c r="H396" i="8"/>
  <c r="I663" i="8"/>
  <c r="I40" i="8"/>
  <c r="O68" i="8"/>
  <c r="N19" i="8"/>
  <c r="O27" i="8"/>
  <c r="O28" i="8"/>
  <c r="L51" i="8"/>
  <c r="O53" i="8"/>
  <c r="L64" i="8"/>
  <c r="L66" i="8"/>
  <c r="L68" i="8"/>
  <c r="L70" i="8"/>
  <c r="L78" i="8"/>
  <c r="L88" i="8"/>
  <c r="O91" i="8"/>
  <c r="Q91" i="8" s="1"/>
  <c r="O109" i="8"/>
  <c r="O146" i="8"/>
  <c r="I166" i="8"/>
  <c r="L183" i="8"/>
  <c r="I200" i="8"/>
  <c r="O220" i="8"/>
  <c r="I242" i="8"/>
  <c r="L490" i="8"/>
  <c r="L422" i="8"/>
  <c r="L524" i="8"/>
  <c r="L456" i="8"/>
  <c r="L492" i="8"/>
  <c r="L424" i="8"/>
  <c r="L526" i="8"/>
  <c r="L458" i="8"/>
  <c r="L263" i="8"/>
  <c r="L265" i="8"/>
  <c r="L267" i="8"/>
  <c r="L269" i="8"/>
  <c r="L271" i="8"/>
  <c r="L315" i="8"/>
  <c r="L317" i="8"/>
  <c r="L319" i="8"/>
  <c r="L351" i="8"/>
  <c r="L353" i="8"/>
  <c r="L355" i="8"/>
  <c r="L384" i="8"/>
  <c r="H394" i="8"/>
  <c r="O80" i="8"/>
  <c r="L116" i="8"/>
  <c r="O120" i="8"/>
  <c r="L131" i="8"/>
  <c r="N131" i="8" s="1"/>
  <c r="L133" i="8"/>
  <c r="O134" i="8"/>
  <c r="L135" i="8"/>
  <c r="O157" i="8"/>
  <c r="L280" i="8"/>
  <c r="L282" i="8"/>
  <c r="L299" i="8"/>
  <c r="L301" i="8"/>
  <c r="L303" i="8"/>
  <c r="L305" i="8"/>
  <c r="L307" i="8"/>
  <c r="L312" i="8"/>
  <c r="N312" i="8" s="1"/>
  <c r="L335" i="8"/>
  <c r="L339" i="8"/>
  <c r="L343" i="8"/>
  <c r="N386" i="8"/>
  <c r="H384" i="8"/>
  <c r="H554" i="8"/>
  <c r="H555" i="8"/>
  <c r="H563" i="8"/>
  <c r="H663" i="8"/>
  <c r="L573" i="8"/>
  <c r="L575" i="8"/>
  <c r="L577" i="8"/>
  <c r="L579" i="8"/>
  <c r="L596" i="8"/>
  <c r="L612" i="8"/>
  <c r="L613" i="8"/>
  <c r="L615" i="8"/>
  <c r="L639" i="8"/>
  <c r="L643" i="8"/>
  <c r="L656" i="8"/>
  <c r="N656" i="8" s="1"/>
  <c r="L912" i="8"/>
  <c r="N912" i="8" s="1"/>
  <c r="L930" i="8"/>
  <c r="N930" i="8" s="1"/>
  <c r="N894" i="8"/>
  <c r="L948" i="8"/>
  <c r="N948" i="8" s="1"/>
  <c r="L956" i="8"/>
  <c r="L938" i="8"/>
  <c r="L920" i="8"/>
  <c r="L902" i="8"/>
  <c r="L884" i="8"/>
  <c r="L827" i="8"/>
  <c r="L808" i="8"/>
  <c r="L666" i="8"/>
  <c r="L750" i="8"/>
  <c r="L708" i="8"/>
  <c r="L865" i="8"/>
  <c r="L846" i="8"/>
  <c r="L789" i="8"/>
  <c r="L770" i="8"/>
  <c r="I714" i="8"/>
  <c r="L729" i="8"/>
  <c r="H797" i="8"/>
  <c r="L592" i="8"/>
  <c r="L658" i="8"/>
  <c r="L607" i="8"/>
  <c r="L625" i="8"/>
  <c r="H654" i="8"/>
  <c r="L889" i="8"/>
  <c r="L969" i="8"/>
  <c r="L832" i="8"/>
  <c r="L673" i="8"/>
  <c r="L735" i="8"/>
  <c r="L693" i="8"/>
  <c r="L714" i="8"/>
  <c r="N714" i="8" s="1"/>
  <c r="L756" i="8"/>
  <c r="L820" i="8"/>
  <c r="N820" i="8" s="1"/>
  <c r="L801" i="8"/>
  <c r="N801" i="8" s="1"/>
  <c r="N763" i="8"/>
  <c r="N693" i="8"/>
  <c r="L782" i="8"/>
  <c r="N782" i="8" s="1"/>
  <c r="I796" i="8"/>
  <c r="H803" i="8"/>
  <c r="H653" i="8"/>
  <c r="L574" i="8"/>
  <c r="L576" i="8"/>
  <c r="L578" i="8"/>
  <c r="L580" i="8"/>
  <c r="L582" i="8"/>
  <c r="L608" i="8"/>
  <c r="L609" i="8"/>
  <c r="L623" i="8"/>
  <c r="L662" i="8"/>
  <c r="H683" i="8"/>
  <c r="L655" i="8"/>
  <c r="L622" i="8"/>
  <c r="L611" i="8"/>
  <c r="I653" i="8"/>
  <c r="I724" i="8"/>
  <c r="I736" i="8"/>
  <c r="I786" i="8"/>
  <c r="H1069" i="8"/>
  <c r="L910" i="8"/>
  <c r="L928" i="8"/>
  <c r="I722" i="8"/>
  <c r="L823" i="8"/>
  <c r="L804" i="8"/>
  <c r="I775" i="8"/>
  <c r="L785" i="8"/>
  <c r="I813" i="8"/>
  <c r="I827" i="8"/>
  <c r="I862" i="8"/>
  <c r="H872" i="8"/>
  <c r="H920" i="8"/>
  <c r="N928" i="8"/>
  <c r="L946" i="8"/>
  <c r="L1897" i="8"/>
  <c r="L1074" i="8"/>
  <c r="L1027" i="8"/>
  <c r="L1140" i="8"/>
  <c r="L1051" i="8"/>
  <c r="L1162" i="8"/>
  <c r="L1118" i="8"/>
  <c r="L1003" i="8"/>
  <c r="H1003" i="8"/>
  <c r="H1006" i="8" s="1"/>
  <c r="H1030" i="8"/>
  <c r="H1065" i="8"/>
  <c r="I1090" i="8"/>
  <c r="L1096" i="8"/>
  <c r="I1089" i="8"/>
  <c r="H1115" i="8"/>
  <c r="N1124" i="8"/>
  <c r="H1133" i="8"/>
  <c r="H1067" i="8"/>
  <c r="H1136" i="8"/>
  <c r="I1136" i="8"/>
  <c r="H1070" i="8"/>
  <c r="H701" i="8"/>
  <c r="H680" i="8"/>
  <c r="H703" i="8"/>
  <c r="H682" i="8"/>
  <c r="H706" i="8"/>
  <c r="H685" i="8"/>
  <c r="H767" i="8"/>
  <c r="H806" i="8"/>
  <c r="H808" i="8" s="1"/>
  <c r="I1092" i="8"/>
  <c r="H1112" i="8"/>
  <c r="N823" i="8"/>
  <c r="I823" i="8"/>
  <c r="I852" i="8"/>
  <c r="N853" i="8"/>
  <c r="I853" i="8"/>
  <c r="I873" i="8"/>
  <c r="H879" i="8"/>
  <c r="I879" i="8"/>
  <c r="I909" i="8"/>
  <c r="I952" i="8"/>
  <c r="H1113" i="8"/>
  <c r="H1138" i="8"/>
  <c r="I1138" i="8"/>
  <c r="H1072" i="8"/>
  <c r="N1149" i="8"/>
  <c r="H1337" i="8"/>
  <c r="I1337" i="8"/>
  <c r="H1342" i="8"/>
  <c r="I1342" i="8"/>
  <c r="H1178" i="8"/>
  <c r="H1346" i="8"/>
  <c r="I1346" i="8"/>
  <c r="H1182" i="8"/>
  <c r="H1350" i="8"/>
  <c r="I1350" i="8"/>
  <c r="H672" i="8"/>
  <c r="L893" i="8"/>
  <c r="L719" i="8"/>
  <c r="L837" i="8"/>
  <c r="L740" i="8"/>
  <c r="L895" i="8"/>
  <c r="L839" i="8"/>
  <c r="L721" i="8"/>
  <c r="L742" i="8"/>
  <c r="H695" i="8"/>
  <c r="H696" i="8"/>
  <c r="H675" i="8"/>
  <c r="L700" i="8"/>
  <c r="H702" i="8"/>
  <c r="H681" i="8"/>
  <c r="H705" i="8"/>
  <c r="H684" i="8"/>
  <c r="N735" i="8"/>
  <c r="H750" i="8"/>
  <c r="H753" i="8" s="1"/>
  <c r="L816" i="8"/>
  <c r="N816" i="8" s="1"/>
  <c r="L797" i="8"/>
  <c r="L761" i="8"/>
  <c r="I816" i="8"/>
  <c r="I907" i="8"/>
  <c r="I914" i="8"/>
  <c r="H940" i="8"/>
  <c r="I994" i="8"/>
  <c r="I1001" i="8"/>
  <c r="N1001" i="8"/>
  <c r="H1068" i="8"/>
  <c r="H1096" i="8"/>
  <c r="H1110" i="8"/>
  <c r="N1128" i="8"/>
  <c r="H1284" i="8"/>
  <c r="H1187" i="8"/>
  <c r="H1355" i="8"/>
  <c r="I1355" i="8"/>
  <c r="H1192" i="8"/>
  <c r="H1360" i="8"/>
  <c r="I1360" i="8"/>
  <c r="H1196" i="8"/>
  <c r="H1364" i="8"/>
  <c r="I1364" i="8"/>
  <c r="L2305" i="8"/>
  <c r="L1466" i="8"/>
  <c r="L1406" i="8"/>
  <c r="L1446" i="8"/>
  <c r="L1426" i="8"/>
  <c r="H1440" i="8"/>
  <c r="H1449" i="8"/>
  <c r="I1491" i="8"/>
  <c r="I1512" i="8"/>
  <c r="I1531" i="8"/>
  <c r="I1528" i="8"/>
  <c r="I1527" i="8"/>
  <c r="I744" i="8"/>
  <c r="L800" i="8"/>
  <c r="N800" i="8" s="1"/>
  <c r="L817" i="8"/>
  <c r="N817" i="8" s="1"/>
  <c r="I832" i="8"/>
  <c r="L835" i="8"/>
  <c r="H841" i="8"/>
  <c r="H846" i="8" s="1"/>
  <c r="H844" i="8"/>
  <c r="H922" i="8"/>
  <c r="I951" i="8"/>
  <c r="L1889" i="8"/>
  <c r="L1033" i="8"/>
  <c r="L1057" i="8"/>
  <c r="L1892" i="8"/>
  <c r="L1148" i="8"/>
  <c r="N1148" i="8" s="1"/>
  <c r="L988" i="8"/>
  <c r="L1012" i="8"/>
  <c r="H969" i="8"/>
  <c r="H1043" i="8"/>
  <c r="H1046" i="8"/>
  <c r="H1048" i="8"/>
  <c r="H976" i="8"/>
  <c r="L1060" i="8"/>
  <c r="I1065" i="8"/>
  <c r="I1087" i="8"/>
  <c r="I1109" i="8"/>
  <c r="L1145" i="8"/>
  <c r="N1145" i="8" s="1"/>
  <c r="L1371" i="8"/>
  <c r="L1329" i="8"/>
  <c r="L1287" i="8"/>
  <c r="I1252" i="8"/>
  <c r="I1284" i="8" s="1"/>
  <c r="I1326" i="8"/>
  <c r="H1338" i="8"/>
  <c r="I1338" i="8"/>
  <c r="H1343" i="8"/>
  <c r="I1343" i="8"/>
  <c r="H1179" i="8"/>
  <c r="H1347" i="8"/>
  <c r="I1347" i="8"/>
  <c r="H1183" i="8"/>
  <c r="H1351" i="8"/>
  <c r="I1351" i="8"/>
  <c r="H1188" i="8"/>
  <c r="H1356" i="8"/>
  <c r="I1356" i="8"/>
  <c r="H1193" i="8"/>
  <c r="H1361" i="8"/>
  <c r="I1361" i="8"/>
  <c r="H1197" i="8"/>
  <c r="H1365" i="8"/>
  <c r="I1365" i="8"/>
  <c r="H1407" i="8"/>
  <c r="H1385" i="8"/>
  <c r="H1410" i="8"/>
  <c r="H1452" i="8"/>
  <c r="H1470" i="8"/>
  <c r="I1472" i="8"/>
  <c r="L1566" i="8"/>
  <c r="L1588" i="8"/>
  <c r="H1684" i="8"/>
  <c r="I1684" i="8"/>
  <c r="H1688" i="8"/>
  <c r="I1688" i="8"/>
  <c r="H1692" i="8"/>
  <c r="I1692" i="8"/>
  <c r="H1734" i="8"/>
  <c r="H1736" i="8" s="1"/>
  <c r="I1729" i="8"/>
  <c r="N1729" i="8"/>
  <c r="I1769" i="8"/>
  <c r="I1778" i="8"/>
  <c r="N1778" i="8"/>
  <c r="I743" i="8"/>
  <c r="I805" i="8"/>
  <c r="L836" i="8"/>
  <c r="I943" i="8"/>
  <c r="I950" i="8"/>
  <c r="I969" i="8"/>
  <c r="L1888" i="8"/>
  <c r="L1156" i="8"/>
  <c r="L996" i="8"/>
  <c r="L1020" i="8"/>
  <c r="I996" i="8"/>
  <c r="L1068" i="8"/>
  <c r="H1098" i="8"/>
  <c r="L1108" i="8"/>
  <c r="H1132" i="8"/>
  <c r="H1134" i="8"/>
  <c r="I1133" i="8"/>
  <c r="H1135" i="8"/>
  <c r="H1137" i="8"/>
  <c r="I1137" i="8"/>
  <c r="H1339" i="8"/>
  <c r="I1339" i="8"/>
  <c r="H1344" i="8"/>
  <c r="I1344" i="8"/>
  <c r="H1180" i="8"/>
  <c r="H1348" i="8"/>
  <c r="I1348" i="8"/>
  <c r="H1185" i="8"/>
  <c r="H1353" i="8"/>
  <c r="I1353" i="8"/>
  <c r="H1189" i="8"/>
  <c r="H1357" i="8"/>
  <c r="I1357" i="8"/>
  <c r="H1194" i="8"/>
  <c r="H1362" i="8"/>
  <c r="I1362" i="8"/>
  <c r="H1198" i="8"/>
  <c r="H1366" i="8"/>
  <c r="I1366" i="8"/>
  <c r="N1399" i="8"/>
  <c r="H1408" i="8"/>
  <c r="H1386" i="8"/>
  <c r="H1411" i="8"/>
  <c r="H1389" i="8"/>
  <c r="H1467" i="8"/>
  <c r="H1479" i="8"/>
  <c r="H1500" i="8"/>
  <c r="H1516" i="8" s="1"/>
  <c r="I1643" i="8"/>
  <c r="N1715" i="8"/>
  <c r="I1724" i="8"/>
  <c r="N1724" i="8"/>
  <c r="L945" i="8"/>
  <c r="L927" i="8"/>
  <c r="L909" i="8"/>
  <c r="N909" i="8" s="1"/>
  <c r="L952" i="8"/>
  <c r="N952" i="8" s="1"/>
  <c r="L934" i="8"/>
  <c r="L916" i="8"/>
  <c r="N916" i="8" s="1"/>
  <c r="L697" i="8"/>
  <c r="L699" i="8"/>
  <c r="L717" i="8"/>
  <c r="L724" i="8"/>
  <c r="N724" i="8" s="1"/>
  <c r="L739" i="8"/>
  <c r="L741" i="8"/>
  <c r="H786" i="8"/>
  <c r="H789" i="8" s="1"/>
  <c r="H829" i="8"/>
  <c r="L819" i="8"/>
  <c r="N819" i="8" s="1"/>
  <c r="L838" i="8"/>
  <c r="L842" i="8"/>
  <c r="H862" i="8"/>
  <c r="I878" i="8"/>
  <c r="H881" i="8"/>
  <c r="N910" i="8"/>
  <c r="I925" i="8"/>
  <c r="I932" i="8"/>
  <c r="I938" i="8" s="1"/>
  <c r="H958" i="8"/>
  <c r="L1891" i="8"/>
  <c r="L1035" i="8"/>
  <c r="L1147" i="8"/>
  <c r="N1147" i="8" s="1"/>
  <c r="L1059" i="8"/>
  <c r="L1894" i="8"/>
  <c r="L990" i="8"/>
  <c r="L1150" i="8"/>
  <c r="N1150" i="8" s="1"/>
  <c r="L1014" i="8"/>
  <c r="I993" i="8"/>
  <c r="I1018" i="8"/>
  <c r="H1042" i="8"/>
  <c r="H970" i="8"/>
  <c r="H1044" i="8"/>
  <c r="H1045" i="8"/>
  <c r="H1047" i="8"/>
  <c r="H1049" i="8"/>
  <c r="H977" i="8"/>
  <c r="I1111" i="8"/>
  <c r="I1116" i="8"/>
  <c r="N1129" i="8"/>
  <c r="L1130" i="8"/>
  <c r="I1162" i="8"/>
  <c r="H1336" i="8"/>
  <c r="H1341" i="8"/>
  <c r="I1341" i="8"/>
  <c r="H1177" i="8"/>
  <c r="H1345" i="8"/>
  <c r="I1345" i="8"/>
  <c r="H1181" i="8"/>
  <c r="H1349" i="8"/>
  <c r="I1349" i="8"/>
  <c r="H1186" i="8"/>
  <c r="H1354" i="8"/>
  <c r="I1354" i="8"/>
  <c r="H1190" i="8"/>
  <c r="H1358" i="8"/>
  <c r="I1358" i="8"/>
  <c r="H1195" i="8"/>
  <c r="H1363" i="8"/>
  <c r="I1363" i="8"/>
  <c r="H1199" i="8"/>
  <c r="H1367" i="8"/>
  <c r="I1367" i="8"/>
  <c r="L2301" i="8"/>
  <c r="L1462" i="8"/>
  <c r="L1402" i="8"/>
  <c r="L1442" i="8"/>
  <c r="H1387" i="8"/>
  <c r="H1409" i="8"/>
  <c r="H1412" i="8"/>
  <c r="H1390" i="8"/>
  <c r="I1420" i="8"/>
  <c r="I1479" i="8"/>
  <c r="L2327" i="8"/>
  <c r="L2602" i="8"/>
  <c r="L1915" i="8"/>
  <c r="L1514" i="8"/>
  <c r="L1533" i="8"/>
  <c r="I1606" i="8"/>
  <c r="N1606" i="8"/>
  <c r="I1622" i="8"/>
  <c r="N1643" i="8"/>
  <c r="H1294" i="8"/>
  <c r="H1326" i="8" s="1"/>
  <c r="L2300" i="8"/>
  <c r="L1421" i="8"/>
  <c r="L2304" i="8"/>
  <c r="L1425" i="8"/>
  <c r="H1436" i="8"/>
  <c r="L1439" i="8"/>
  <c r="N1439" i="8" s="1"/>
  <c r="L1445" i="8"/>
  <c r="L2591" i="8"/>
  <c r="L2316" i="8"/>
  <c r="L1903" i="8"/>
  <c r="L2593" i="8"/>
  <c r="L2318" i="8"/>
  <c r="L1905" i="8"/>
  <c r="L2595" i="8"/>
  <c r="L2320" i="8"/>
  <c r="L1907" i="8"/>
  <c r="N1500" i="8"/>
  <c r="N1519" i="8"/>
  <c r="L1523" i="8"/>
  <c r="N1523" i="8" s="1"/>
  <c r="L1583" i="8"/>
  <c r="L1561" i="8"/>
  <c r="H1575" i="8"/>
  <c r="H1553" i="8"/>
  <c r="L1584" i="8"/>
  <c r="H1653" i="8"/>
  <c r="H1685" i="8"/>
  <c r="I1685" i="8"/>
  <c r="H1689" i="8"/>
  <c r="I1689" i="8"/>
  <c r="H1694" i="8"/>
  <c r="I1694" i="8"/>
  <c r="N1714" i="8"/>
  <c r="H1788" i="8"/>
  <c r="H1792" i="8"/>
  <c r="L1025" i="8"/>
  <c r="L1085" i="8"/>
  <c r="N1085" i="8" s="1"/>
  <c r="L1105" i="8"/>
  <c r="L1107" i="8"/>
  <c r="N1107" i="8" s="1"/>
  <c r="L2507" i="8"/>
  <c r="N2507" i="8" s="1"/>
  <c r="L2403" i="8"/>
  <c r="L2303" i="8"/>
  <c r="L1444" i="8"/>
  <c r="L1400" i="8"/>
  <c r="L1403" i="8"/>
  <c r="L1420" i="8"/>
  <c r="N1420" i="8" s="1"/>
  <c r="L1424" i="8"/>
  <c r="I1427" i="8"/>
  <c r="I1428" i="8"/>
  <c r="L1443" i="8"/>
  <c r="H1448" i="8"/>
  <c r="H1451" i="8"/>
  <c r="L1460" i="8"/>
  <c r="L1461" i="8"/>
  <c r="L1464" i="8"/>
  <c r="H1493" i="8"/>
  <c r="L1502" i="8"/>
  <c r="L1504" i="8"/>
  <c r="L1521" i="8"/>
  <c r="L1585" i="8"/>
  <c r="N1585" i="8" s="1"/>
  <c r="L1563" i="8"/>
  <c r="H1607" i="8"/>
  <c r="I1642" i="8"/>
  <c r="H1682" i="8"/>
  <c r="I1682" i="8"/>
  <c r="H1686" i="8"/>
  <c r="I1686" i="8"/>
  <c r="H1690" i="8"/>
  <c r="I1690" i="8"/>
  <c r="H1695" i="8"/>
  <c r="I1695" i="8"/>
  <c r="I1700" i="8"/>
  <c r="N1780" i="8"/>
  <c r="N1782" i="8"/>
  <c r="N1784" i="8"/>
  <c r="I1784" i="8"/>
  <c r="L986" i="8"/>
  <c r="L992" i="8"/>
  <c r="H1169" i="8"/>
  <c r="H1170" i="8"/>
  <c r="H1171" i="8"/>
  <c r="H1173" i="8"/>
  <c r="H1174" i="8"/>
  <c r="H1175" i="8"/>
  <c r="H1176" i="8"/>
  <c r="N1204" i="8"/>
  <c r="L2510" i="8"/>
  <c r="N2510" i="8" s="1"/>
  <c r="L2406" i="8"/>
  <c r="L2308" i="8"/>
  <c r="L1429" i="8"/>
  <c r="N1429" i="8" s="1"/>
  <c r="L2312" i="8"/>
  <c r="L1454" i="8"/>
  <c r="I1439" i="8"/>
  <c r="L1440" i="8"/>
  <c r="H1447" i="8"/>
  <c r="L1449" i="8"/>
  <c r="H1450" i="8"/>
  <c r="L1465" i="8"/>
  <c r="L2590" i="8"/>
  <c r="N2590" i="8" s="1"/>
  <c r="L2315" i="8"/>
  <c r="L1902" i="8"/>
  <c r="L2317" i="8"/>
  <c r="L2592" i="8"/>
  <c r="L1904" i="8"/>
  <c r="L1522" i="8"/>
  <c r="L1503" i="8"/>
  <c r="L2594" i="8"/>
  <c r="L2319" i="8"/>
  <c r="L1906" i="8"/>
  <c r="L1543" i="8"/>
  <c r="L2596" i="8"/>
  <c r="L2321" i="8"/>
  <c r="L1908" i="8"/>
  <c r="L1545" i="8"/>
  <c r="L1526" i="8"/>
  <c r="L1507" i="8"/>
  <c r="L1505" i="8"/>
  <c r="L1525" i="8"/>
  <c r="L1582" i="8"/>
  <c r="N1582" i="8" s="1"/>
  <c r="L1560" i="8"/>
  <c r="N1560" i="8" s="1"/>
  <c r="L1542" i="8"/>
  <c r="H1574" i="8"/>
  <c r="N1604" i="8"/>
  <c r="I1604" i="8"/>
  <c r="N1605" i="8"/>
  <c r="I1605" i="8"/>
  <c r="L1645" i="8"/>
  <c r="L1625" i="8"/>
  <c r="H1610" i="8"/>
  <c r="H1633" i="8"/>
  <c r="H1635" i="8" s="1"/>
  <c r="H1639" i="8" s="1"/>
  <c r="H1655" i="8"/>
  <c r="H1683" i="8"/>
  <c r="I1683" i="8"/>
  <c r="H1687" i="8"/>
  <c r="I1687" i="8"/>
  <c r="H1691" i="8"/>
  <c r="I1691" i="8"/>
  <c r="H1696" i="8"/>
  <c r="I1696" i="8"/>
  <c r="I1679" i="8"/>
  <c r="I1678" i="8"/>
  <c r="I1677" i="8"/>
  <c r="I1676" i="8"/>
  <c r="I1675" i="8"/>
  <c r="I1674" i="8"/>
  <c r="I1673" i="8"/>
  <c r="I1672" i="8"/>
  <c r="I1671" i="8"/>
  <c r="I1670" i="8"/>
  <c r="I1680" i="8"/>
  <c r="H1769" i="8"/>
  <c r="H1787" i="8"/>
  <c r="L1845" i="8"/>
  <c r="L1823" i="8"/>
  <c r="N1823" i="8" s="1"/>
  <c r="L1834" i="8"/>
  <c r="N1834" i="8" s="1"/>
  <c r="I1814" i="8"/>
  <c r="I1816" i="8" s="1"/>
  <c r="N1814" i="8"/>
  <c r="I1823" i="8"/>
  <c r="H1863" i="8"/>
  <c r="I2010" i="8"/>
  <c r="L1577" i="8"/>
  <c r="I1596" i="8"/>
  <c r="I1597" i="8"/>
  <c r="L1599" i="8"/>
  <c r="L1622" i="8"/>
  <c r="N1622" i="8" s="1"/>
  <c r="L1623" i="8"/>
  <c r="L1626" i="8"/>
  <c r="I1662" i="8"/>
  <c r="I1663" i="8"/>
  <c r="I1664" i="8"/>
  <c r="I1666" i="8"/>
  <c r="I1667" i="8"/>
  <c r="I1668" i="8"/>
  <c r="I1669" i="8"/>
  <c r="H1785" i="8"/>
  <c r="H1789" i="8"/>
  <c r="L1824" i="8"/>
  <c r="L1846" i="8"/>
  <c r="N1846" i="8" s="1"/>
  <c r="H1824" i="8"/>
  <c r="H1829" i="8" s="1"/>
  <c r="H1813" i="8"/>
  <c r="L1835" i="8"/>
  <c r="N1835" i="8" s="1"/>
  <c r="H1847" i="8"/>
  <c r="H1849" i="8" s="1"/>
  <c r="H1933" i="8"/>
  <c r="H1596" i="8"/>
  <c r="H1599" i="8" s="1"/>
  <c r="L1637" i="8"/>
  <c r="H1661" i="8"/>
  <c r="N1821" i="8"/>
  <c r="I1821" i="8"/>
  <c r="N1833" i="8"/>
  <c r="L1881" i="8"/>
  <c r="L1873" i="8"/>
  <c r="L1865" i="8"/>
  <c r="I1862" i="8"/>
  <c r="N1862" i="8"/>
  <c r="H1871" i="8"/>
  <c r="H1873" i="8" s="1"/>
  <c r="L2050" i="8"/>
  <c r="L2002" i="8"/>
  <c r="L2074" i="8"/>
  <c r="L2026" i="8"/>
  <c r="L2028" i="8"/>
  <c r="L2052" i="8"/>
  <c r="N2052" i="8" s="1"/>
  <c r="L2004" i="8"/>
  <c r="I2011" i="8"/>
  <c r="I2017" i="8"/>
  <c r="H2106" i="8"/>
  <c r="H2084" i="8"/>
  <c r="I2140" i="8"/>
  <c r="H2223" i="8"/>
  <c r="H2326" i="8"/>
  <c r="N1824" i="8"/>
  <c r="H1815" i="8"/>
  <c r="N1838" i="8"/>
  <c r="L1844" i="8"/>
  <c r="N1863" i="8"/>
  <c r="N1866" i="8" s="1"/>
  <c r="N1879" i="8"/>
  <c r="N1882" i="8" s="1"/>
  <c r="L2065" i="8"/>
  <c r="L2017" i="8"/>
  <c r="N2017" i="8" s="1"/>
  <c r="L2041" i="8"/>
  <c r="H2022" i="8"/>
  <c r="N2026" i="8"/>
  <c r="H2104" i="8"/>
  <c r="H2112" i="8" s="1"/>
  <c r="H2082" i="8"/>
  <c r="L2491" i="8"/>
  <c r="L2387" i="8"/>
  <c r="H2393" i="8"/>
  <c r="H2289" i="8"/>
  <c r="H1793" i="8"/>
  <c r="H1812" i="8"/>
  <c r="H1836" i="8"/>
  <c r="L1847" i="8"/>
  <c r="N1847" i="8"/>
  <c r="N1850" i="8" s="1"/>
  <c r="I1873" i="8"/>
  <c r="I1875" i="8" s="1"/>
  <c r="N1871" i="8"/>
  <c r="N1874" i="8" s="1"/>
  <c r="I1879" i="8"/>
  <c r="I1881" i="8" s="1"/>
  <c r="L1979" i="8"/>
  <c r="L2025" i="8"/>
  <c r="N2025" i="8" s="1"/>
  <c r="L2073" i="8"/>
  <c r="N2073" i="8" s="1"/>
  <c r="L2077" i="8"/>
  <c r="L2053" i="8"/>
  <c r="N2053" i="8" s="1"/>
  <c r="L2005" i="8"/>
  <c r="L2029" i="8"/>
  <c r="I2001" i="8"/>
  <c r="L2049" i="8"/>
  <c r="N2049" i="8" s="1"/>
  <c r="I2059" i="8"/>
  <c r="L2076" i="8"/>
  <c r="L2124" i="8"/>
  <c r="L2102" i="8"/>
  <c r="L2169" i="8" s="1"/>
  <c r="L2146" i="8"/>
  <c r="N2146" i="8" s="1"/>
  <c r="H2134" i="8"/>
  <c r="H2161" i="8"/>
  <c r="H2184" i="8"/>
  <c r="H2204" i="8" s="1"/>
  <c r="I2194" i="8"/>
  <c r="H1794" i="8"/>
  <c r="I1813" i="8"/>
  <c r="I1833" i="8"/>
  <c r="I1834" i="8"/>
  <c r="I1835" i="8"/>
  <c r="I1836" i="8"/>
  <c r="I1838" i="8" s="1"/>
  <c r="H1843" i="8"/>
  <c r="H1844" i="8"/>
  <c r="H1845" i="8"/>
  <c r="H1862" i="8"/>
  <c r="H1854" i="8"/>
  <c r="N1878" i="8"/>
  <c r="H1881" i="8"/>
  <c r="H1883" i="8" s="1"/>
  <c r="H1922" i="8"/>
  <c r="N2004" i="8"/>
  <c r="I2012" i="8"/>
  <c r="H2046" i="8"/>
  <c r="I2026" i="8"/>
  <c r="H2158" i="8"/>
  <c r="I2199" i="8"/>
  <c r="H2357" i="8"/>
  <c r="H2253" i="8"/>
  <c r="H2296" i="8" s="1"/>
  <c r="I2380" i="8"/>
  <c r="L2031" i="8"/>
  <c r="L2033" i="8"/>
  <c r="L2054" i="8"/>
  <c r="L2079" i="8"/>
  <c r="I2086" i="8"/>
  <c r="I2108" i="8"/>
  <c r="I2088" i="8"/>
  <c r="I2110" i="8"/>
  <c r="I2139" i="8"/>
  <c r="I2148" i="8"/>
  <c r="I2151" i="8"/>
  <c r="L2339" i="8"/>
  <c r="N2339" i="8" s="1"/>
  <c r="L2443" i="8"/>
  <c r="N2443" i="8" s="1"/>
  <c r="N2235" i="8"/>
  <c r="L2472" i="8"/>
  <c r="N2472" i="8" s="1"/>
  <c r="L2368" i="8"/>
  <c r="L1849" i="8"/>
  <c r="H1986" i="8"/>
  <c r="H1987" i="8"/>
  <c r="H1988" i="8"/>
  <c r="L2225" i="8"/>
  <c r="L2156" i="8"/>
  <c r="L2134" i="8"/>
  <c r="L2112" i="8"/>
  <c r="L2090" i="8"/>
  <c r="I2034" i="8"/>
  <c r="I2035" i="8"/>
  <c r="L2043" i="8"/>
  <c r="L2078" i="8"/>
  <c r="H2085" i="8"/>
  <c r="I2126" i="8"/>
  <c r="I2175" i="8"/>
  <c r="L2179" i="8"/>
  <c r="N2232" i="8"/>
  <c r="H2403" i="8"/>
  <c r="H2299" i="8"/>
  <c r="L2440" i="8"/>
  <c r="N2440" i="8" s="1"/>
  <c r="L2007" i="8"/>
  <c r="L2009" i="8"/>
  <c r="L2012" i="8"/>
  <c r="N2012" i="8" s="1"/>
  <c r="L2032" i="8"/>
  <c r="I2049" i="8"/>
  <c r="L2067" i="8"/>
  <c r="L2081" i="8"/>
  <c r="L2084" i="8"/>
  <c r="I2073" i="8"/>
  <c r="I2087" i="8"/>
  <c r="I2109" i="8"/>
  <c r="I2117" i="8"/>
  <c r="I2129" i="8"/>
  <c r="I2130" i="8"/>
  <c r="I2149" i="8"/>
  <c r="I2161" i="8"/>
  <c r="L2238" i="8"/>
  <c r="L2367" i="8"/>
  <c r="L2471" i="8"/>
  <c r="N2471" i="8" s="1"/>
  <c r="L2483" i="8"/>
  <c r="N2483" i="8" s="1"/>
  <c r="L2379" i="8"/>
  <c r="L2490" i="8"/>
  <c r="L2386" i="8"/>
  <c r="H2061" i="8"/>
  <c r="H2067" i="8" s="1"/>
  <c r="H2070" i="8" s="1"/>
  <c r="H2095" i="8"/>
  <c r="H2117" i="8"/>
  <c r="H2136" i="8" s="1"/>
  <c r="I2222" i="8"/>
  <c r="L2447" i="8"/>
  <c r="N2447" i="8" s="1"/>
  <c r="L2343" i="8"/>
  <c r="N2343" i="8" s="1"/>
  <c r="N2241" i="8"/>
  <c r="L2390" i="8"/>
  <c r="L2494" i="8"/>
  <c r="L2358" i="8"/>
  <c r="H2398" i="8"/>
  <c r="I2218" i="8"/>
  <c r="I2232" i="8"/>
  <c r="L2361" i="8"/>
  <c r="L2465" i="8"/>
  <c r="N2465" i="8" s="1"/>
  <c r="L2466" i="8"/>
  <c r="N2466" i="8" s="1"/>
  <c r="L2362" i="8"/>
  <c r="L2484" i="8"/>
  <c r="N2484" i="8" s="1"/>
  <c r="L2380" i="8"/>
  <c r="N2380" i="8" s="1"/>
  <c r="H2312" i="8"/>
  <c r="L2536" i="8"/>
  <c r="L2432" i="8"/>
  <c r="L2346" i="8"/>
  <c r="N2346" i="8" s="1"/>
  <c r="L2357" i="8"/>
  <c r="L2384" i="8"/>
  <c r="L2389" i="8"/>
  <c r="H2395" i="8"/>
  <c r="H2399" i="8"/>
  <c r="I2431" i="8"/>
  <c r="I2184" i="8"/>
  <c r="L2186" i="8"/>
  <c r="I2207" i="8"/>
  <c r="H2210" i="8"/>
  <c r="I2217" i="8"/>
  <c r="H2218" i="8"/>
  <c r="H2221" i="8"/>
  <c r="L2340" i="8"/>
  <c r="N2340" i="8" s="1"/>
  <c r="L2444" i="8"/>
  <c r="N2444" i="8" s="1"/>
  <c r="N2238" i="8"/>
  <c r="L2260" i="8"/>
  <c r="L2261" i="8"/>
  <c r="H2327" i="8"/>
  <c r="H2358" i="8"/>
  <c r="H2392" i="8"/>
  <c r="H2396" i="8"/>
  <c r="I2307" i="8"/>
  <c r="I2411" i="8"/>
  <c r="L2449" i="8"/>
  <c r="N2449" i="8" s="1"/>
  <c r="I2484" i="8"/>
  <c r="I2597" i="8"/>
  <c r="H2502" i="8"/>
  <c r="I2502" i="8"/>
  <c r="N2653" i="8"/>
  <c r="I2653" i="8"/>
  <c r="H2416" i="8"/>
  <c r="H2431" i="8"/>
  <c r="H2499" i="8"/>
  <c r="I2499" i="8"/>
  <c r="H2523" i="8"/>
  <c r="H2315" i="8"/>
  <c r="N2558" i="8"/>
  <c r="H2614" i="8"/>
  <c r="H2496" i="8"/>
  <c r="I2496" i="8"/>
  <c r="H2600" i="8"/>
  <c r="N2640" i="8"/>
  <c r="L2637" i="8"/>
  <c r="L2417" i="8"/>
  <c r="I2483" i="8"/>
  <c r="H2497" i="8"/>
  <c r="I2497" i="8"/>
  <c r="H2500" i="8"/>
  <c r="I2500" i="8"/>
  <c r="H2503" i="8"/>
  <c r="I2503" i="8"/>
  <c r="H2587" i="8"/>
  <c r="N2553" i="8"/>
  <c r="N2561" i="8"/>
  <c r="H2630" i="8"/>
  <c r="H2629" i="8"/>
  <c r="H2631" i="8" s="1"/>
  <c r="H2633" i="8" s="1"/>
  <c r="I2547" i="8"/>
  <c r="N2567" i="8"/>
  <c r="I2590" i="8"/>
  <c r="N2545" i="8"/>
  <c r="L2630" i="8"/>
  <c r="M26" i="9"/>
  <c r="I2533" i="8"/>
  <c r="N2552" i="8"/>
  <c r="N2557" i="8"/>
  <c r="N2563" i="8"/>
  <c r="I2600" i="8"/>
  <c r="L2639" i="8"/>
  <c r="H2532" i="8"/>
  <c r="I2545" i="8"/>
  <c r="N2551" i="8"/>
  <c r="H2602" i="8"/>
  <c r="H2604" i="8" s="1"/>
  <c r="I2613" i="8"/>
  <c r="H2640" i="8"/>
  <c r="Q23" i="9"/>
  <c r="H2644" i="8"/>
  <c r="H2646" i="8" s="1"/>
  <c r="H2649" i="8" s="1"/>
  <c r="M23" i="9"/>
  <c r="I2640" i="8"/>
  <c r="M36" i="9"/>
  <c r="M43" i="9"/>
  <c r="M46" i="9" s="1"/>
  <c r="N2627" i="8"/>
  <c r="H2654" i="8"/>
  <c r="H2655" i="8" s="1"/>
  <c r="H2658" i="8" s="1"/>
  <c r="N2662" i="8"/>
  <c r="N2664" i="8" s="1"/>
  <c r="N2667" i="8" s="1"/>
  <c r="I2663" i="8"/>
  <c r="I2664" i="8" s="1"/>
  <c r="I2667" i="8" s="1"/>
  <c r="A13" i="9"/>
  <c r="M14" i="9"/>
  <c r="G224" i="1" s="1"/>
  <c r="H218" i="1"/>
  <c r="H181" i="1"/>
  <c r="H144" i="1"/>
  <c r="H107" i="1"/>
  <c r="H78" i="1"/>
  <c r="H216" i="1"/>
  <c r="H208" i="1"/>
  <c r="H207" i="1"/>
  <c r="E207" i="1"/>
  <c r="H205" i="1"/>
  <c r="E205" i="1"/>
  <c r="H204" i="1"/>
  <c r="E203" i="1"/>
  <c r="H194" i="1"/>
  <c r="E194" i="1"/>
  <c r="H193" i="1"/>
  <c r="E193" i="1"/>
  <c r="H189" i="1"/>
  <c r="E189" i="1"/>
  <c r="H188" i="1"/>
  <c r="H179" i="1"/>
  <c r="H171" i="1"/>
  <c r="E171" i="1"/>
  <c r="H170" i="1"/>
  <c r="H168" i="1"/>
  <c r="E168" i="1"/>
  <c r="H167" i="1"/>
  <c r="E167" i="1"/>
  <c r="H157" i="1"/>
  <c r="E157" i="1"/>
  <c r="H156" i="1"/>
  <c r="E156" i="1"/>
  <c r="H152" i="1"/>
  <c r="E152" i="1"/>
  <c r="H151" i="1"/>
  <c r="H142" i="1"/>
  <c r="E142" i="1"/>
  <c r="H134" i="1"/>
  <c r="H133" i="1"/>
  <c r="H131" i="1"/>
  <c r="E131" i="1"/>
  <c r="H130" i="1"/>
  <c r="H120" i="1"/>
  <c r="E120" i="1"/>
  <c r="H119" i="1"/>
  <c r="E119" i="1"/>
  <c r="H115" i="1"/>
  <c r="E115" i="1"/>
  <c r="H114" i="1"/>
  <c r="E114" i="1"/>
  <c r="H105" i="1"/>
  <c r="E105" i="1"/>
  <c r="H104" i="1"/>
  <c r="H103" i="1"/>
  <c r="H101" i="1"/>
  <c r="H100" i="1"/>
  <c r="H91" i="1"/>
  <c r="E91" i="1"/>
  <c r="H90" i="1"/>
  <c r="E90" i="1"/>
  <c r="H86" i="1"/>
  <c r="H85" i="1"/>
  <c r="H76" i="1"/>
  <c r="H68" i="1"/>
  <c r="H67" i="1"/>
  <c r="H65" i="1"/>
  <c r="E65" i="1"/>
  <c r="H64" i="1"/>
  <c r="H54" i="1"/>
  <c r="E54" i="1"/>
  <c r="H53" i="1"/>
  <c r="E53" i="1"/>
  <c r="H49" i="1"/>
  <c r="H48" i="1"/>
  <c r="E76" i="1"/>
  <c r="E68" i="1"/>
  <c r="E67" i="1"/>
  <c r="H29" i="1"/>
  <c r="H66" i="1" s="1"/>
  <c r="E29" i="1"/>
  <c r="E66" i="1" s="1"/>
  <c r="E64" i="1"/>
  <c r="E166" i="1"/>
  <c r="E165" i="1"/>
  <c r="G17" i="1"/>
  <c r="H15" i="1"/>
  <c r="H192" i="1" s="1"/>
  <c r="J192" i="1" s="1"/>
  <c r="E15" i="1"/>
  <c r="E118" i="1" s="1"/>
  <c r="H14" i="1"/>
  <c r="H88" i="1" s="1"/>
  <c r="J88" i="1" s="1"/>
  <c r="E86" i="1"/>
  <c r="H2400" i="8" l="1"/>
  <c r="H2114" i="8"/>
  <c r="N1849" i="8"/>
  <c r="H45" i="8"/>
  <c r="H2090" i="8"/>
  <c r="N1881" i="8"/>
  <c r="I884" i="8"/>
  <c r="N1883" i="8"/>
  <c r="H1454" i="8"/>
  <c r="H1074" i="8"/>
  <c r="I2504" i="8"/>
  <c r="H2535" i="8"/>
  <c r="H2537" i="8" s="1"/>
  <c r="H2225" i="8"/>
  <c r="H1710" i="8"/>
  <c r="H1714" i="8" s="1"/>
  <c r="H1795" i="8"/>
  <c r="H1577" i="8"/>
  <c r="H1579" i="8" s="1"/>
  <c r="H865" i="8"/>
  <c r="H867" i="8" s="1"/>
  <c r="H1140" i="8"/>
  <c r="H1142" i="8" s="1"/>
  <c r="H111" i="8"/>
  <c r="H791" i="8"/>
  <c r="H2504" i="8"/>
  <c r="N1163" i="8"/>
  <c r="H1474" i="8"/>
  <c r="H848" i="8"/>
  <c r="N2055" i="8"/>
  <c r="H1797" i="8"/>
  <c r="I1440" i="8"/>
  <c r="N1440" i="8"/>
  <c r="N1466" i="8"/>
  <c r="H562" i="8"/>
  <c r="N167" i="8"/>
  <c r="N1843" i="8"/>
  <c r="I1843" i="8"/>
  <c r="N1562" i="8"/>
  <c r="I1633" i="8"/>
  <c r="N1633" i="8"/>
  <c r="H2227" i="8"/>
  <c r="I833" i="8"/>
  <c r="N1461" i="8"/>
  <c r="I1112" i="8"/>
  <c r="I680" i="8"/>
  <c r="I701" i="8"/>
  <c r="Q173" i="8"/>
  <c r="N173" i="8"/>
  <c r="I2374" i="8"/>
  <c r="I2270" i="8"/>
  <c r="H2606" i="8"/>
  <c r="I2419" i="8"/>
  <c r="I2523" i="8"/>
  <c r="N2591" i="8"/>
  <c r="L2150" i="8"/>
  <c r="L2128" i="8"/>
  <c r="L2106" i="8"/>
  <c r="L2173" i="8" s="1"/>
  <c r="H2329" i="8"/>
  <c r="H2331" i="8" s="1"/>
  <c r="I2141" i="8"/>
  <c r="N2102" i="8"/>
  <c r="I2096" i="8"/>
  <c r="N2041" i="8"/>
  <c r="I2041" i="8"/>
  <c r="N2036" i="8"/>
  <c r="I2036" i="8"/>
  <c r="N2150" i="8"/>
  <c r="I2150" i="8"/>
  <c r="I2107" i="8"/>
  <c r="N2077" i="8"/>
  <c r="L2145" i="8"/>
  <c r="N2145" i="8" s="1"/>
  <c r="L2123" i="8"/>
  <c r="N2123" i="8" s="1"/>
  <c r="L2101" i="8"/>
  <c r="L2168" i="8" s="1"/>
  <c r="N1844" i="8"/>
  <c r="I1844" i="8"/>
  <c r="N1794" i="8"/>
  <c r="I1794" i="8"/>
  <c r="I2185" i="8"/>
  <c r="I2060" i="8"/>
  <c r="N2060" i="8"/>
  <c r="N2008" i="8"/>
  <c r="I1832" i="8"/>
  <c r="I1840" i="8" s="1"/>
  <c r="N1832" i="8"/>
  <c r="N1840" i="8" s="1"/>
  <c r="N1793" i="8"/>
  <c r="I1793" i="8"/>
  <c r="I2393" i="8"/>
  <c r="I2289" i="8"/>
  <c r="H1924" i="8"/>
  <c r="H1925" i="8" s="1"/>
  <c r="H1935" i="8" s="1"/>
  <c r="N2106" i="8"/>
  <c r="I2106" i="8"/>
  <c r="N2028" i="8"/>
  <c r="N1785" i="8"/>
  <c r="I1785" i="8"/>
  <c r="N1787" i="8"/>
  <c r="I1787" i="8"/>
  <c r="I1725" i="8"/>
  <c r="N1725" i="8"/>
  <c r="N1503" i="8"/>
  <c r="L2527" i="8"/>
  <c r="L2423" i="8"/>
  <c r="N1464" i="8"/>
  <c r="I1727" i="8"/>
  <c r="N1727" i="8"/>
  <c r="I1487" i="8"/>
  <c r="I1508" i="8"/>
  <c r="I1434" i="8"/>
  <c r="I1436" i="8" s="1"/>
  <c r="N1788" i="8"/>
  <c r="I1788" i="8"/>
  <c r="L2528" i="8"/>
  <c r="L2424" i="8"/>
  <c r="L2526" i="8"/>
  <c r="L2422" i="8"/>
  <c r="H1456" i="8"/>
  <c r="I1412" i="8"/>
  <c r="I1390" i="8"/>
  <c r="L2405" i="8"/>
  <c r="L2509" i="8"/>
  <c r="N2509" i="8" s="1"/>
  <c r="I1170" i="8"/>
  <c r="I1212" i="8"/>
  <c r="I1175" i="8"/>
  <c r="I1217" i="8"/>
  <c r="I1179" i="8"/>
  <c r="I1221" i="8"/>
  <c r="I1183" i="8"/>
  <c r="I1225" i="8"/>
  <c r="I1188" i="8"/>
  <c r="I1230" i="8"/>
  <c r="I1193" i="8"/>
  <c r="I1235" i="8"/>
  <c r="I1197" i="8"/>
  <c r="I1239" i="8"/>
  <c r="I995" i="8"/>
  <c r="N990" i="8"/>
  <c r="I897" i="8"/>
  <c r="I915" i="8"/>
  <c r="L876" i="8"/>
  <c r="N876" i="8" s="1"/>
  <c r="L857" i="8"/>
  <c r="N857" i="8" s="1"/>
  <c r="I765" i="8"/>
  <c r="I784" i="8"/>
  <c r="I1469" i="8"/>
  <c r="N1469" i="8"/>
  <c r="I1411" i="8"/>
  <c r="I1389" i="8"/>
  <c r="N1465" i="8"/>
  <c r="N1025" i="8"/>
  <c r="I1025" i="8"/>
  <c r="N996" i="8"/>
  <c r="L548" i="8"/>
  <c r="N838" i="8"/>
  <c r="N748" i="8"/>
  <c r="I748" i="8"/>
  <c r="N738" i="8"/>
  <c r="I738" i="8"/>
  <c r="I1771" i="8"/>
  <c r="I1773" i="8" s="1"/>
  <c r="I1452" i="8"/>
  <c r="I1329" i="8"/>
  <c r="I1332" i="8" s="1"/>
  <c r="L1123" i="8"/>
  <c r="L1101" i="8"/>
  <c r="L1079" i="8"/>
  <c r="N1079" i="8" s="1"/>
  <c r="I944" i="8"/>
  <c r="I1530" i="8"/>
  <c r="I1529" i="8"/>
  <c r="I1135" i="8"/>
  <c r="I1140" i="8" s="1"/>
  <c r="H884" i="8"/>
  <c r="H886" i="8" s="1"/>
  <c r="I802" i="8"/>
  <c r="H770" i="8"/>
  <c r="H772" i="8" s="1"/>
  <c r="I1067" i="8"/>
  <c r="I1023" i="8"/>
  <c r="I814" i="8"/>
  <c r="H810" i="8"/>
  <c r="I717" i="8"/>
  <c r="N717" i="8"/>
  <c r="I767" i="8"/>
  <c r="H596" i="8"/>
  <c r="H628" i="8"/>
  <c r="I803" i="8"/>
  <c r="L851" i="8"/>
  <c r="N851" i="8" s="1"/>
  <c r="L870" i="8"/>
  <c r="N870" i="8" s="1"/>
  <c r="N832" i="8"/>
  <c r="I660" i="8"/>
  <c r="H660" i="8"/>
  <c r="H630" i="8"/>
  <c r="I313" i="8"/>
  <c r="H313" i="8"/>
  <c r="N55" i="8"/>
  <c r="Q55" i="8"/>
  <c r="I55" i="8"/>
  <c r="H395" i="8"/>
  <c r="H350" i="8"/>
  <c r="I350" i="8"/>
  <c r="H464" i="8"/>
  <c r="H498" i="8"/>
  <c r="I452" i="8"/>
  <c r="H452" i="8"/>
  <c r="H486" i="8"/>
  <c r="I486" i="8"/>
  <c r="I197" i="8"/>
  <c r="N158" i="8"/>
  <c r="Q158" i="8"/>
  <c r="I158" i="8"/>
  <c r="H357" i="8"/>
  <c r="L156" i="8"/>
  <c r="L119" i="8"/>
  <c r="L90" i="8"/>
  <c r="N90" i="8" s="1"/>
  <c r="L53" i="8"/>
  <c r="L193" i="8"/>
  <c r="N193" i="8" s="1"/>
  <c r="L815" i="8"/>
  <c r="L777" i="8"/>
  <c r="L796" i="8"/>
  <c r="N796" i="8" s="1"/>
  <c r="N493" i="8"/>
  <c r="H393" i="8"/>
  <c r="L480" i="8"/>
  <c r="L514" i="8"/>
  <c r="L446" i="8"/>
  <c r="L412" i="8"/>
  <c r="L472" i="8"/>
  <c r="L506" i="8"/>
  <c r="L438" i="8"/>
  <c r="L404" i="8"/>
  <c r="I348" i="8"/>
  <c r="H348" i="8"/>
  <c r="H496" i="8"/>
  <c r="I420" i="8"/>
  <c r="H420" i="8"/>
  <c r="I118" i="8"/>
  <c r="Q27" i="8"/>
  <c r="N27" i="8"/>
  <c r="H461" i="8"/>
  <c r="N205" i="8"/>
  <c r="N117" i="8"/>
  <c r="Q117" i="8"/>
  <c r="Q36" i="9"/>
  <c r="Q19" i="9"/>
  <c r="Q14" i="9"/>
  <c r="N2488" i="8"/>
  <c r="I2210" i="8"/>
  <c r="I2219" i="8"/>
  <c r="N2101" i="8"/>
  <c r="I2197" i="8"/>
  <c r="H2620" i="8"/>
  <c r="I2587" i="8"/>
  <c r="I2531" i="8"/>
  <c r="I2323" i="8"/>
  <c r="N2487" i="8"/>
  <c r="I2310" i="8"/>
  <c r="I2414" i="8"/>
  <c r="I2602" i="8"/>
  <c r="I2604" i="8" s="1"/>
  <c r="N2358" i="8"/>
  <c r="I2358" i="8"/>
  <c r="L2468" i="8"/>
  <c r="N2468" i="8" s="1"/>
  <c r="L2364" i="8"/>
  <c r="I2395" i="8"/>
  <c r="I2291" i="8"/>
  <c r="L2147" i="8"/>
  <c r="N2147" i="8" s="1"/>
  <c r="L2125" i="8"/>
  <c r="N2125" i="8" s="1"/>
  <c r="L2103" i="8"/>
  <c r="N2403" i="8"/>
  <c r="I2403" i="8"/>
  <c r="I2196" i="8"/>
  <c r="N2128" i="8"/>
  <c r="I2128" i="8"/>
  <c r="I2118" i="8"/>
  <c r="I2156" i="8"/>
  <c r="I2158" i="8" s="1"/>
  <c r="N2081" i="8"/>
  <c r="I2276" i="8"/>
  <c r="N2276" i="8"/>
  <c r="H1875" i="8"/>
  <c r="H1865" i="8"/>
  <c r="H1867" i="8" s="1"/>
  <c r="I2186" i="8"/>
  <c r="N2186" i="8"/>
  <c r="L2215" i="8"/>
  <c r="N2215" i="8" s="1"/>
  <c r="L2192" i="8"/>
  <c r="N2192" i="8" s="1"/>
  <c r="L2051" i="8"/>
  <c r="L2003" i="8"/>
  <c r="L2075" i="8"/>
  <c r="L2027" i="8"/>
  <c r="I2002" i="8"/>
  <c r="N2002" i="8"/>
  <c r="H2177" i="8"/>
  <c r="H2179" i="8" s="1"/>
  <c r="H2092" i="8"/>
  <c r="I1987" i="8"/>
  <c r="N1875" i="8"/>
  <c r="N1867" i="8"/>
  <c r="H1814" i="8"/>
  <c r="I1661" i="8"/>
  <c r="I1710" i="8" s="1"/>
  <c r="N1613" i="8"/>
  <c r="I1613" i="8"/>
  <c r="I1599" i="8"/>
  <c r="I1986" i="8"/>
  <c r="H1771" i="8"/>
  <c r="H1773" i="8" s="1"/>
  <c r="I1721" i="8"/>
  <c r="N1721" i="8"/>
  <c r="H1552" i="8"/>
  <c r="N1501" i="8"/>
  <c r="I1501" i="8"/>
  <c r="L1589" i="8"/>
  <c r="L1567" i="8"/>
  <c r="N1422" i="8"/>
  <c r="L2516" i="8"/>
  <c r="N2516" i="8" s="1"/>
  <c r="L2412" i="8"/>
  <c r="H1168" i="8"/>
  <c r="H1200" i="8" s="1"/>
  <c r="I1722" i="8"/>
  <c r="N1722" i="8"/>
  <c r="N1583" i="8"/>
  <c r="I1583" i="8"/>
  <c r="I1601" i="8" s="1"/>
  <c r="H1476" i="8"/>
  <c r="L2511" i="8"/>
  <c r="N2511" i="8" s="1"/>
  <c r="L2407" i="8"/>
  <c r="I1169" i="8"/>
  <c r="I1211" i="8"/>
  <c r="N1588" i="8"/>
  <c r="L2524" i="8"/>
  <c r="L2420" i="8"/>
  <c r="L2512" i="8"/>
  <c r="N2512" i="8" s="1"/>
  <c r="L2408" i="8"/>
  <c r="L2508" i="8"/>
  <c r="N2508" i="8" s="1"/>
  <c r="L2404" i="8"/>
  <c r="I1336" i="8"/>
  <c r="I1368" i="8" s="1"/>
  <c r="I1171" i="8"/>
  <c r="I1213" i="8"/>
  <c r="I1176" i="8"/>
  <c r="I1218" i="8"/>
  <c r="I1222" i="8"/>
  <c r="I1180" i="8"/>
  <c r="I1227" i="8"/>
  <c r="I1185" i="8"/>
  <c r="I1231" i="8"/>
  <c r="I1189" i="8"/>
  <c r="I1236" i="8"/>
  <c r="I1194" i="8"/>
  <c r="I1240" i="8"/>
  <c r="I1198" i="8"/>
  <c r="I1024" i="8"/>
  <c r="N927" i="8"/>
  <c r="I927" i="8"/>
  <c r="I880" i="8"/>
  <c r="H1495" i="8"/>
  <c r="I1408" i="8"/>
  <c r="I1386" i="8"/>
  <c r="N1425" i="8"/>
  <c r="N1421" i="8"/>
  <c r="N1130" i="8"/>
  <c r="L1090" i="8"/>
  <c r="N1090" i="8" s="1"/>
  <c r="L1112" i="8"/>
  <c r="N1112" i="8" s="1"/>
  <c r="L1134" i="8"/>
  <c r="N898" i="8"/>
  <c r="I898" i="8"/>
  <c r="L855" i="8"/>
  <c r="L874" i="8"/>
  <c r="N874" i="8" s="1"/>
  <c r="N737" i="8"/>
  <c r="I737" i="8"/>
  <c r="H1802" i="8"/>
  <c r="H1414" i="8"/>
  <c r="H1416" i="8" s="1"/>
  <c r="I1287" i="8"/>
  <c r="I1290" i="8" s="1"/>
  <c r="N934" i="8"/>
  <c r="I934" i="8"/>
  <c r="N892" i="8"/>
  <c r="I795" i="8"/>
  <c r="N1524" i="8"/>
  <c r="N1504" i="8"/>
  <c r="I920" i="8"/>
  <c r="I702" i="8"/>
  <c r="I681" i="8"/>
  <c r="N697" i="8"/>
  <c r="N695" i="8"/>
  <c r="I695" i="8"/>
  <c r="N839" i="8"/>
  <c r="L877" i="8"/>
  <c r="N877" i="8" s="1"/>
  <c r="L858" i="8"/>
  <c r="N858" i="8" s="1"/>
  <c r="L947" i="8"/>
  <c r="N947" i="8" s="1"/>
  <c r="L929" i="8"/>
  <c r="N929" i="8" s="1"/>
  <c r="L911" i="8"/>
  <c r="N911" i="8" s="1"/>
  <c r="L558" i="8"/>
  <c r="N673" i="8"/>
  <c r="I673" i="8"/>
  <c r="I1091" i="8"/>
  <c r="I1096" i="8" s="1"/>
  <c r="N946" i="8"/>
  <c r="N815" i="8"/>
  <c r="I815" i="8"/>
  <c r="I727" i="8"/>
  <c r="N727" i="8"/>
  <c r="I716" i="8"/>
  <c r="N716" i="8"/>
  <c r="H589" i="8"/>
  <c r="H664" i="8"/>
  <c r="I664" i="8"/>
  <c r="H622" i="8"/>
  <c r="H595" i="8"/>
  <c r="L1887" i="8"/>
  <c r="L1153" i="8"/>
  <c r="N1153" i="8" s="1"/>
  <c r="L993" i="8"/>
  <c r="N993" i="8" s="1"/>
  <c r="L1017" i="8"/>
  <c r="N1017" i="8" s="1"/>
  <c r="L1065" i="8"/>
  <c r="L1041" i="8"/>
  <c r="N1041" i="8" s="1"/>
  <c r="N969" i="8"/>
  <c r="L539" i="8"/>
  <c r="L225" i="8"/>
  <c r="H597" i="8"/>
  <c r="H627" i="8"/>
  <c r="N672" i="8"/>
  <c r="I672" i="8"/>
  <c r="H621" i="8"/>
  <c r="I621" i="8"/>
  <c r="H323" i="8"/>
  <c r="I49" i="8"/>
  <c r="H358" i="8"/>
  <c r="H314" i="8"/>
  <c r="I314" i="8"/>
  <c r="H532" i="8"/>
  <c r="H426" i="8"/>
  <c r="I520" i="8"/>
  <c r="H520" i="8"/>
  <c r="N196" i="8"/>
  <c r="Q196" i="8"/>
  <c r="I196" i="8"/>
  <c r="I163" i="8"/>
  <c r="I155" i="8"/>
  <c r="H356" i="8"/>
  <c r="H325" i="8"/>
  <c r="H321" i="8"/>
  <c r="H287" i="8"/>
  <c r="I498" i="8"/>
  <c r="H387" i="8"/>
  <c r="H462" i="8"/>
  <c r="I488" i="8"/>
  <c r="H488" i="8"/>
  <c r="N130" i="8"/>
  <c r="H529" i="8"/>
  <c r="I34" i="8"/>
  <c r="A14" i="9"/>
  <c r="N2654" i="8"/>
  <c r="N2655" i="8" s="1"/>
  <c r="N2658" i="8" s="1"/>
  <c r="I2654" i="8"/>
  <c r="I2655" i="8" s="1"/>
  <c r="I2658" i="8" s="1"/>
  <c r="N2630" i="8"/>
  <c r="I2532" i="8"/>
  <c r="I2324" i="8"/>
  <c r="N2569" i="8"/>
  <c r="I2325" i="8"/>
  <c r="I2292" i="8"/>
  <c r="I2396" i="8"/>
  <c r="L2365" i="8"/>
  <c r="L2469" i="8"/>
  <c r="N2469" i="8" s="1"/>
  <c r="Q26" i="9"/>
  <c r="I2627" i="8"/>
  <c r="M47" i="9"/>
  <c r="I2534" i="8"/>
  <c r="I2326" i="8"/>
  <c r="I2530" i="8"/>
  <c r="I2322" i="8"/>
  <c r="I2630" i="8"/>
  <c r="I2628" i="8"/>
  <c r="N2628" i="8"/>
  <c r="N2412" i="8"/>
  <c r="I2412" i="8"/>
  <c r="N2644" i="8"/>
  <c r="I2644" i="8"/>
  <c r="I2392" i="8"/>
  <c r="I2288" i="8"/>
  <c r="L2446" i="8"/>
  <c r="N2446" i="8" s="1"/>
  <c r="L2342" i="8"/>
  <c r="N2342" i="8" s="1"/>
  <c r="I2195" i="8"/>
  <c r="I2172" i="8"/>
  <c r="H2433" i="8"/>
  <c r="H2435" i="8" s="1"/>
  <c r="N2209" i="8"/>
  <c r="I2209" i="8"/>
  <c r="I2134" i="8"/>
  <c r="I2097" i="8"/>
  <c r="N2357" i="8"/>
  <c r="I2357" i="8"/>
  <c r="I2051" i="8"/>
  <c r="N2051" i="8"/>
  <c r="I2014" i="8"/>
  <c r="N1845" i="8"/>
  <c r="I1845" i="8"/>
  <c r="I2171" i="8"/>
  <c r="I2187" i="8"/>
  <c r="N2169" i="8"/>
  <c r="I2003" i="8"/>
  <c r="N2003" i="8"/>
  <c r="L2143" i="8"/>
  <c r="N2143" i="8" s="1"/>
  <c r="L2121" i="8"/>
  <c r="N2121" i="8" s="1"/>
  <c r="L2099" i="8"/>
  <c r="I2082" i="8"/>
  <c r="I2104" i="8"/>
  <c r="I1883" i="8"/>
  <c r="N1855" i="8"/>
  <c r="I1855" i="8"/>
  <c r="I2223" i="8"/>
  <c r="I2177" i="8"/>
  <c r="N1854" i="8"/>
  <c r="I1854" i="8"/>
  <c r="N1865" i="8"/>
  <c r="N1873" i="8"/>
  <c r="N1789" i="8"/>
  <c r="I1789" i="8"/>
  <c r="H1855" i="8"/>
  <c r="H1601" i="8"/>
  <c r="L1586" i="8"/>
  <c r="N1586" i="8" s="1"/>
  <c r="L1564" i="8"/>
  <c r="N1520" i="8"/>
  <c r="I1520" i="8"/>
  <c r="N1506" i="8"/>
  <c r="L1587" i="8"/>
  <c r="L1565" i="8"/>
  <c r="L2419" i="8"/>
  <c r="N2419" i="8" s="1"/>
  <c r="L2523" i="8"/>
  <c r="N2523" i="8" s="1"/>
  <c r="I1490" i="8"/>
  <c r="I1511" i="8"/>
  <c r="I1447" i="8"/>
  <c r="I1210" i="8"/>
  <c r="N1792" i="8"/>
  <c r="I1792" i="8"/>
  <c r="N1521" i="8"/>
  <c r="N1502" i="8"/>
  <c r="N1424" i="8"/>
  <c r="I1409" i="8"/>
  <c r="N1409" i="8"/>
  <c r="H1368" i="8"/>
  <c r="I1173" i="8"/>
  <c r="I1215" i="8"/>
  <c r="I1177" i="8"/>
  <c r="I1219" i="8"/>
  <c r="I1181" i="8"/>
  <c r="I1223" i="8"/>
  <c r="I1186" i="8"/>
  <c r="I1228" i="8"/>
  <c r="I1190" i="8"/>
  <c r="I1232" i="8"/>
  <c r="I1195" i="8"/>
  <c r="I1237" i="8"/>
  <c r="I1199" i="8"/>
  <c r="I1241" i="8"/>
  <c r="I1114" i="8"/>
  <c r="I1113" i="8"/>
  <c r="I1072" i="8"/>
  <c r="H973" i="8"/>
  <c r="H979" i="8" s="1"/>
  <c r="I940" i="8"/>
  <c r="I776" i="8"/>
  <c r="I1468" i="8"/>
  <c r="I1467" i="8"/>
  <c r="I1132" i="8"/>
  <c r="N1106" i="8"/>
  <c r="I956" i="8"/>
  <c r="H1388" i="8"/>
  <c r="H1392" i="8" s="1"/>
  <c r="I1098" i="8"/>
  <c r="I1043" i="8"/>
  <c r="N1020" i="8"/>
  <c r="I1020" i="8"/>
  <c r="H982" i="8"/>
  <c r="I1533" i="8"/>
  <c r="H1290" i="8"/>
  <c r="H1287" i="8"/>
  <c r="I970" i="8"/>
  <c r="I896" i="8"/>
  <c r="I902" i="8" s="1"/>
  <c r="N889" i="8"/>
  <c r="I889" i="8"/>
  <c r="N719" i="8"/>
  <c r="N696" i="8"/>
  <c r="I696" i="8"/>
  <c r="L949" i="8"/>
  <c r="N949" i="8" s="1"/>
  <c r="N956" i="8" s="1"/>
  <c r="L931" i="8"/>
  <c r="N931" i="8" s="1"/>
  <c r="N938" i="8" s="1"/>
  <c r="L913" i="8"/>
  <c r="N913" i="8" s="1"/>
  <c r="L560" i="8"/>
  <c r="N1123" i="8"/>
  <c r="H1118" i="8"/>
  <c r="H1120" i="8" s="1"/>
  <c r="N895" i="8"/>
  <c r="I1070" i="8"/>
  <c r="N762" i="8"/>
  <c r="H687" i="8"/>
  <c r="I1115" i="8"/>
  <c r="I1071" i="8"/>
  <c r="N1162" i="8"/>
  <c r="I872" i="8"/>
  <c r="N872" i="8"/>
  <c r="I843" i="8"/>
  <c r="I756" i="8"/>
  <c r="N756" i="8"/>
  <c r="N777" i="8"/>
  <c r="I777" i="8"/>
  <c r="I715" i="8"/>
  <c r="I587" i="8"/>
  <c r="H587" i="8"/>
  <c r="H631" i="8"/>
  <c r="H588" i="8"/>
  <c r="I588" i="8"/>
  <c r="L943" i="8"/>
  <c r="N943" i="8" s="1"/>
  <c r="L925" i="8"/>
  <c r="N925" i="8" s="1"/>
  <c r="L907" i="8"/>
  <c r="N907" i="8" s="1"/>
  <c r="L554" i="8"/>
  <c r="H629" i="8"/>
  <c r="H594" i="8"/>
  <c r="I620" i="8"/>
  <c r="H620" i="8"/>
  <c r="I529" i="8"/>
  <c r="I57" i="8"/>
  <c r="H385" i="8"/>
  <c r="I385" i="8"/>
  <c r="H322" i="8"/>
  <c r="I460" i="8"/>
  <c r="H460" i="8"/>
  <c r="H494" i="8"/>
  <c r="N218" i="8"/>
  <c r="I217" i="8"/>
  <c r="I216" i="8"/>
  <c r="I215" i="8"/>
  <c r="I212" i="8"/>
  <c r="I211" i="8"/>
  <c r="Q218" i="8"/>
  <c r="I218" i="8"/>
  <c r="N195" i="8"/>
  <c r="Q195" i="8"/>
  <c r="I195" i="8"/>
  <c r="I160" i="8"/>
  <c r="I152" i="8"/>
  <c r="O168" i="8"/>
  <c r="O65" i="8"/>
  <c r="O205" i="8"/>
  <c r="Q205" i="8" s="1"/>
  <c r="O131" i="8"/>
  <c r="Q131" i="8" s="1"/>
  <c r="L509" i="8"/>
  <c r="L441" i="8"/>
  <c r="L475" i="8"/>
  <c r="L407" i="8"/>
  <c r="H320" i="8"/>
  <c r="H327" i="8" s="1"/>
  <c r="L54" i="8"/>
  <c r="L194" i="8"/>
  <c r="N194" i="8" s="1"/>
  <c r="L157" i="8"/>
  <c r="L120" i="8"/>
  <c r="L91" i="8"/>
  <c r="N91" i="8" s="1"/>
  <c r="I12" i="8"/>
  <c r="I494" i="8"/>
  <c r="L476" i="8"/>
  <c r="L510" i="8"/>
  <c r="L442" i="8"/>
  <c r="L408" i="8"/>
  <c r="H530" i="8"/>
  <c r="H454" i="8"/>
  <c r="I454" i="8"/>
  <c r="N190" i="8"/>
  <c r="Q190" i="8"/>
  <c r="I139" i="8"/>
  <c r="I146" i="8" s="1"/>
  <c r="I77" i="8"/>
  <c r="I76" i="8"/>
  <c r="I72" i="8"/>
  <c r="I35" i="8"/>
  <c r="N134" i="8"/>
  <c r="Q134" i="8"/>
  <c r="H360" i="8"/>
  <c r="I60" i="8"/>
  <c r="I2399" i="8"/>
  <c r="I2295" i="8"/>
  <c r="I2398" i="8"/>
  <c r="I2294" i="8"/>
  <c r="I2119" i="8"/>
  <c r="I2208" i="8"/>
  <c r="N2124" i="8"/>
  <c r="I2083" i="8"/>
  <c r="I2105" i="8"/>
  <c r="L2122" i="8"/>
  <c r="N2122" i="8" s="1"/>
  <c r="L2144" i="8"/>
  <c r="N2144" i="8" s="1"/>
  <c r="L2100" i="8"/>
  <c r="L2167" i="8" s="1"/>
  <c r="N2027" i="8"/>
  <c r="I2027" i="8"/>
  <c r="H1989" i="8"/>
  <c r="I2176" i="8"/>
  <c r="I2050" i="8"/>
  <c r="N2050" i="8"/>
  <c r="N2005" i="8"/>
  <c r="H1851" i="8"/>
  <c r="I2202" i="8"/>
  <c r="I2204" i="8" s="1"/>
  <c r="L2120" i="8"/>
  <c r="N2120" i="8" s="1"/>
  <c r="L2098" i="8"/>
  <c r="L2165" i="8" s="1"/>
  <c r="L2142" i="8"/>
  <c r="N2142" i="8" s="1"/>
  <c r="N2065" i="8"/>
  <c r="I2063" i="8"/>
  <c r="I2064" i="8"/>
  <c r="I2065" i="8"/>
  <c r="I2015" i="8"/>
  <c r="N1977" i="8"/>
  <c r="I1977" i="8"/>
  <c r="L2139" i="8"/>
  <c r="N2139" i="8" s="1"/>
  <c r="L2117" i="8"/>
  <c r="N2117" i="8" s="1"/>
  <c r="L2095" i="8"/>
  <c r="I1919" i="8"/>
  <c r="H1838" i="8"/>
  <c r="H1840" i="8" s="1"/>
  <c r="N2009" i="8"/>
  <c r="I2220" i="8"/>
  <c r="I2225" i="8" s="1"/>
  <c r="L2140" i="8"/>
  <c r="N2140" i="8" s="1"/>
  <c r="L2118" i="8"/>
  <c r="N2118" i="8" s="1"/>
  <c r="L2096" i="8"/>
  <c r="L2162" i="8" s="1"/>
  <c r="I1865" i="8"/>
  <c r="I1867" i="8" s="1"/>
  <c r="N1522" i="8"/>
  <c r="I1822" i="8"/>
  <c r="I1829" i="8" s="1"/>
  <c r="N1822" i="8"/>
  <c r="N1829" i="8" s="1"/>
  <c r="N1651" i="8"/>
  <c r="I1651" i="8"/>
  <c r="I1812" i="8"/>
  <c r="N1812" i="8"/>
  <c r="N1816" i="8"/>
  <c r="N1817" i="8"/>
  <c r="I1730" i="8"/>
  <c r="N1730" i="8"/>
  <c r="H1716" i="8"/>
  <c r="L2529" i="8"/>
  <c r="L2425" i="8"/>
  <c r="L2525" i="8"/>
  <c r="L2421" i="8"/>
  <c r="N1460" i="8"/>
  <c r="I1460" i="8"/>
  <c r="N1462" i="8"/>
  <c r="L2520" i="8"/>
  <c r="L2416" i="8"/>
  <c r="I1731" i="8"/>
  <c r="N1731" i="8"/>
  <c r="I1644" i="8"/>
  <c r="N1644" i="8"/>
  <c r="N1624" i="8"/>
  <c r="I1624" i="8"/>
  <c r="H1617" i="8"/>
  <c r="I1488" i="8"/>
  <c r="I1509" i="8"/>
  <c r="N2594" i="8"/>
  <c r="I1155" i="8"/>
  <c r="I1154" i="8"/>
  <c r="H1657" i="8"/>
  <c r="I1448" i="8"/>
  <c r="H1329" i="8"/>
  <c r="H1332" i="8" s="1"/>
  <c r="N1623" i="8"/>
  <c r="I1623" i="8"/>
  <c r="H1611" i="8"/>
  <c r="H1619" i="8" s="1"/>
  <c r="N1525" i="8"/>
  <c r="L2431" i="8"/>
  <c r="L2535" i="8"/>
  <c r="I1174" i="8"/>
  <c r="I1216" i="8"/>
  <c r="I1220" i="8"/>
  <c r="I1178" i="8"/>
  <c r="I1224" i="8"/>
  <c r="I1182" i="8"/>
  <c r="I1229" i="8"/>
  <c r="I1187" i="8"/>
  <c r="I1234" i="8"/>
  <c r="I1192" i="8"/>
  <c r="I1238" i="8"/>
  <c r="I1196" i="8"/>
  <c r="H1051" i="8"/>
  <c r="H1054" i="8" s="1"/>
  <c r="I1042" i="8"/>
  <c r="N992" i="8"/>
  <c r="N988" i="8"/>
  <c r="L1125" i="8"/>
  <c r="N1125" i="8" s="1"/>
  <c r="L1103" i="8"/>
  <c r="L1081" i="8"/>
  <c r="N1081" i="8" s="1"/>
  <c r="I908" i="8"/>
  <c r="I922" i="8" s="1"/>
  <c r="I871" i="8"/>
  <c r="I886" i="8" s="1"/>
  <c r="I841" i="8"/>
  <c r="I860" i="8"/>
  <c r="L861" i="8"/>
  <c r="L880" i="8"/>
  <c r="N880" i="8" s="1"/>
  <c r="N1400" i="8"/>
  <c r="I1400" i="8"/>
  <c r="N1102" i="8"/>
  <c r="N945" i="8"/>
  <c r="I945" i="8"/>
  <c r="H1805" i="8"/>
  <c r="I1407" i="8"/>
  <c r="I1385" i="8"/>
  <c r="N1108" i="8"/>
  <c r="L1082" i="8"/>
  <c r="N1082" i="8" s="1"/>
  <c r="L1126" i="8"/>
  <c r="N1126" i="8" s="1"/>
  <c r="L1104" i="8"/>
  <c r="L873" i="8"/>
  <c r="N873" i="8" s="1"/>
  <c r="L854" i="8"/>
  <c r="L2409" i="8"/>
  <c r="L2513" i="8"/>
  <c r="N2513" i="8" s="1"/>
  <c r="L818" i="8"/>
  <c r="N818" i="8" s="1"/>
  <c r="N827" i="8" s="1"/>
  <c r="L780" i="8"/>
  <c r="L799" i="8"/>
  <c r="N799" i="8" s="1"/>
  <c r="L856" i="8"/>
  <c r="L875" i="8"/>
  <c r="N875" i="8" s="1"/>
  <c r="N884" i="8" s="1"/>
  <c r="H690" i="8"/>
  <c r="N1127" i="8"/>
  <c r="I834" i="8"/>
  <c r="N834" i="8"/>
  <c r="N706" i="8"/>
  <c r="I706" i="8"/>
  <c r="H708" i="8"/>
  <c r="H711" i="8" s="1"/>
  <c r="H1076" i="8"/>
  <c r="I829" i="8"/>
  <c r="N718" i="8"/>
  <c r="I661" i="8"/>
  <c r="I666" i="8" s="1"/>
  <c r="H661" i="8"/>
  <c r="L775" i="8"/>
  <c r="N775" i="8" s="1"/>
  <c r="L813" i="8"/>
  <c r="N813" i="8" s="1"/>
  <c r="L794" i="8"/>
  <c r="N794" i="8" s="1"/>
  <c r="L890" i="8"/>
  <c r="L715" i="8"/>
  <c r="N715" i="8" s="1"/>
  <c r="L833" i="8"/>
  <c r="N833" i="8" s="1"/>
  <c r="L736" i="8"/>
  <c r="N736" i="8" s="1"/>
  <c r="L757" i="8"/>
  <c r="L694" i="8"/>
  <c r="N694" i="8" s="1"/>
  <c r="L241" i="8"/>
  <c r="H561" i="8"/>
  <c r="N489" i="8"/>
  <c r="I461" i="8"/>
  <c r="H315" i="8"/>
  <c r="H330" i="8" s="1"/>
  <c r="N56" i="8"/>
  <c r="Q56" i="8"/>
  <c r="I56" i="8"/>
  <c r="H398" i="8"/>
  <c r="L520" i="8"/>
  <c r="N520" i="8" s="1"/>
  <c r="L452" i="8"/>
  <c r="N452" i="8" s="1"/>
  <c r="L486" i="8"/>
  <c r="N486" i="8" s="1"/>
  <c r="L418" i="8"/>
  <c r="H430" i="8"/>
  <c r="H528" i="8"/>
  <c r="H418" i="8"/>
  <c r="N159" i="8"/>
  <c r="Q159" i="8"/>
  <c r="I159" i="8"/>
  <c r="O204" i="8"/>
  <c r="O130" i="8"/>
  <c r="Q130" i="8" s="1"/>
  <c r="O64" i="8"/>
  <c r="O167" i="8"/>
  <c r="Q167" i="8" s="1"/>
  <c r="L513" i="8"/>
  <c r="L445" i="8"/>
  <c r="L479" i="8"/>
  <c r="L411" i="8"/>
  <c r="H284" i="8"/>
  <c r="H248" i="8"/>
  <c r="H276" i="8"/>
  <c r="H240" i="8"/>
  <c r="N491" i="8"/>
  <c r="I392" i="8"/>
  <c r="H428" i="8"/>
  <c r="H522" i="8"/>
  <c r="I522" i="8"/>
  <c r="Q207" i="8"/>
  <c r="N207" i="8"/>
  <c r="Q133" i="8"/>
  <c r="N133" i="8"/>
  <c r="N78" i="8"/>
  <c r="Q78" i="8"/>
  <c r="I78" i="8"/>
  <c r="Q32" i="8"/>
  <c r="N32" i="8"/>
  <c r="Q135" i="8"/>
  <c r="N135" i="8"/>
  <c r="N31" i="8"/>
  <c r="Q31" i="8"/>
  <c r="N14" i="8"/>
  <c r="Q14" i="8"/>
  <c r="N136" i="8"/>
  <c r="Q136" i="8"/>
  <c r="Q181" i="8"/>
  <c r="I181" i="8"/>
  <c r="N181" i="8"/>
  <c r="I180" i="8"/>
  <c r="I179" i="8"/>
  <c r="I178" i="8"/>
  <c r="I175" i="8"/>
  <c r="I174" i="8"/>
  <c r="I427" i="8"/>
  <c r="H427" i="8"/>
  <c r="I495" i="8"/>
  <c r="H495" i="8"/>
  <c r="I148" i="8"/>
  <c r="E192" i="1"/>
  <c r="G192" i="1" s="1"/>
  <c r="H117" i="1"/>
  <c r="H154" i="1"/>
  <c r="G119" i="1"/>
  <c r="J119" i="1"/>
  <c r="E85" i="1"/>
  <c r="E48" i="1"/>
  <c r="E14" i="1"/>
  <c r="J17" i="1"/>
  <c r="E181" i="1"/>
  <c r="E218" i="1"/>
  <c r="E144" i="1"/>
  <c r="E107" i="1"/>
  <c r="E78" i="1"/>
  <c r="E130" i="1"/>
  <c r="E134" i="1"/>
  <c r="E155" i="1"/>
  <c r="E170" i="1"/>
  <c r="E188" i="1"/>
  <c r="E202" i="1"/>
  <c r="E206" i="1"/>
  <c r="E216" i="1"/>
  <c r="H89" i="1"/>
  <c r="J89" i="1" s="1"/>
  <c r="H52" i="1"/>
  <c r="G120" i="1"/>
  <c r="J120" i="1"/>
  <c r="H132" i="1"/>
  <c r="H191" i="1"/>
  <c r="J191" i="1" s="1"/>
  <c r="H51" i="1"/>
  <c r="G16" i="1"/>
  <c r="H26" i="1"/>
  <c r="E63" i="1"/>
  <c r="E129" i="1"/>
  <c r="E133" i="1"/>
  <c r="E151" i="1"/>
  <c r="H155" i="1"/>
  <c r="E169" i="1"/>
  <c r="E179" i="1"/>
  <c r="H206" i="1"/>
  <c r="G152" i="1"/>
  <c r="J152" i="1"/>
  <c r="E52" i="1"/>
  <c r="E89" i="1"/>
  <c r="G89" i="1" s="1"/>
  <c r="J16" i="1"/>
  <c r="E62" i="1"/>
  <c r="H25" i="1"/>
  <c r="H118" i="1"/>
  <c r="E128" i="1"/>
  <c r="E132" i="1"/>
  <c r="G156" i="1"/>
  <c r="J156" i="1"/>
  <c r="G157" i="1"/>
  <c r="J157" i="1"/>
  <c r="H169" i="1"/>
  <c r="E204" i="1"/>
  <c r="E208" i="1"/>
  <c r="E49" i="1"/>
  <c r="N1859" i="8" l="1"/>
  <c r="H2539" i="8"/>
  <c r="H1799" i="8"/>
  <c r="N1140" i="8"/>
  <c r="H633" i="8"/>
  <c r="I2136" i="8"/>
  <c r="I958" i="8"/>
  <c r="I1795" i="8"/>
  <c r="I1797" i="8" s="1"/>
  <c r="I1799" i="8" s="1"/>
  <c r="H400" i="8"/>
  <c r="N1096" i="8"/>
  <c r="I2327" i="8"/>
  <c r="N742" i="8"/>
  <c r="N2157" i="8"/>
  <c r="N2156" i="8"/>
  <c r="I2227" i="8"/>
  <c r="I1068" i="8"/>
  <c r="N1068" i="8"/>
  <c r="N921" i="8"/>
  <c r="N920" i="8"/>
  <c r="N422" i="8"/>
  <c r="N2135" i="8"/>
  <c r="N2134" i="8"/>
  <c r="N206" i="8"/>
  <c r="Q206" i="8"/>
  <c r="N455" i="8"/>
  <c r="I1921" i="8"/>
  <c r="I1922" i="8"/>
  <c r="N1564" i="8"/>
  <c r="N2528" i="8"/>
  <c r="I2062" i="8"/>
  <c r="I2061" i="8"/>
  <c r="L2213" i="8"/>
  <c r="N2213" i="8" s="1"/>
  <c r="L2190" i="8"/>
  <c r="N2190" i="8" s="1"/>
  <c r="N2383" i="8"/>
  <c r="I89" i="8"/>
  <c r="I97" i="8"/>
  <c r="I100" i="8"/>
  <c r="N210" i="8"/>
  <c r="Q210" i="8"/>
  <c r="I213" i="8"/>
  <c r="I214" i="8"/>
  <c r="I453" i="8"/>
  <c r="H453" i="8"/>
  <c r="N457" i="8"/>
  <c r="N525" i="8"/>
  <c r="H635" i="8"/>
  <c r="L653" i="8"/>
  <c r="N653" i="8" s="1"/>
  <c r="L620" i="8"/>
  <c r="N620" i="8" s="1"/>
  <c r="L587" i="8"/>
  <c r="N587" i="8" s="1"/>
  <c r="I758" i="8"/>
  <c r="N758" i="8"/>
  <c r="N703" i="8"/>
  <c r="I703" i="8"/>
  <c r="N891" i="8"/>
  <c r="I891" i="8"/>
  <c r="N1141" i="8"/>
  <c r="N856" i="8"/>
  <c r="N1049" i="8"/>
  <c r="I1049" i="8"/>
  <c r="I1048" i="8"/>
  <c r="I1047" i="8"/>
  <c r="N1481" i="8"/>
  <c r="N2593" i="8"/>
  <c r="I1610" i="8"/>
  <c r="N1610" i="8"/>
  <c r="N1587" i="8"/>
  <c r="I1810" i="8"/>
  <c r="N1810" i="8"/>
  <c r="I1857" i="8"/>
  <c r="I1859" i="8" s="1"/>
  <c r="L2166" i="8"/>
  <c r="N2099" i="8"/>
  <c r="I2164" i="8"/>
  <c r="I2013" i="8"/>
  <c r="I2038" i="8"/>
  <c r="I2629" i="8"/>
  <c r="N2629" i="8"/>
  <c r="Q116" i="8"/>
  <c r="N116" i="8"/>
  <c r="I36" i="8"/>
  <c r="I37" i="8"/>
  <c r="I489" i="8"/>
  <c r="H489" i="8"/>
  <c r="H363" i="8"/>
  <c r="H366" i="8" s="1"/>
  <c r="Q156" i="8"/>
  <c r="N156" i="8"/>
  <c r="N554" i="8"/>
  <c r="I554" i="8"/>
  <c r="N646" i="8"/>
  <c r="N721" i="8"/>
  <c r="N957" i="8"/>
  <c r="N991" i="8"/>
  <c r="N1507" i="8"/>
  <c r="N1627" i="8"/>
  <c r="I1627" i="8"/>
  <c r="I1451" i="8"/>
  <c r="I1450" i="8"/>
  <c r="I1714" i="8"/>
  <c r="I1716" i="8" s="1"/>
  <c r="N2525" i="8"/>
  <c r="N2007" i="8"/>
  <c r="N1988" i="8"/>
  <c r="I1988" i="8"/>
  <c r="N2620" i="8"/>
  <c r="I2620" i="8"/>
  <c r="M8" i="9"/>
  <c r="O8" i="9" s="1"/>
  <c r="N2079" i="8"/>
  <c r="I393" i="8"/>
  <c r="I497" i="8"/>
  <c r="H497" i="8"/>
  <c r="N423" i="8"/>
  <c r="H564" i="8"/>
  <c r="I627" i="8"/>
  <c r="I804" i="8"/>
  <c r="N804" i="8"/>
  <c r="N1441" i="8"/>
  <c r="N1402" i="8"/>
  <c r="N1044" i="8"/>
  <c r="I1044" i="8"/>
  <c r="N1446" i="8"/>
  <c r="N1584" i="8"/>
  <c r="N1463" i="8"/>
  <c r="N2595" i="8"/>
  <c r="I2085" i="8"/>
  <c r="I2090" i="8" s="1"/>
  <c r="N2074" i="8"/>
  <c r="I2074" i="8"/>
  <c r="I2315" i="8"/>
  <c r="N2315" i="8"/>
  <c r="H1394" i="8"/>
  <c r="I1851" i="8"/>
  <c r="N170" i="8"/>
  <c r="Q170" i="8"/>
  <c r="N1405" i="8"/>
  <c r="N172" i="8"/>
  <c r="Q172" i="8"/>
  <c r="I320" i="8"/>
  <c r="N1058" i="8"/>
  <c r="N890" i="8"/>
  <c r="I890" i="8"/>
  <c r="I904" i="8" s="1"/>
  <c r="N1445" i="8"/>
  <c r="N1981" i="8"/>
  <c r="Q67" i="8"/>
  <c r="N67" i="8"/>
  <c r="H285" i="8"/>
  <c r="H249" i="8"/>
  <c r="N276" i="8"/>
  <c r="I276" i="8"/>
  <c r="N641" i="8"/>
  <c r="N648" i="8"/>
  <c r="L814" i="8"/>
  <c r="N814" i="8" s="1"/>
  <c r="N829" i="8" s="1"/>
  <c r="L795" i="8"/>
  <c r="N795" i="8" s="1"/>
  <c r="L776" i="8"/>
  <c r="N776" i="8" s="1"/>
  <c r="L944" i="8"/>
  <c r="N944" i="8" s="1"/>
  <c r="L926" i="8"/>
  <c r="N926" i="8" s="1"/>
  <c r="N940" i="8" s="1"/>
  <c r="L908" i="8"/>
  <c r="N908" i="8" s="1"/>
  <c r="L555" i="8"/>
  <c r="N798" i="8"/>
  <c r="I684" i="8"/>
  <c r="I705" i="8"/>
  <c r="N986" i="8"/>
  <c r="N740" i="8"/>
  <c r="N1064" i="8"/>
  <c r="I778" i="8"/>
  <c r="N778" i="8"/>
  <c r="N2406" i="8"/>
  <c r="N1476" i="8"/>
  <c r="I1811" i="8"/>
  <c r="N1811" i="8"/>
  <c r="L2208" i="8"/>
  <c r="N2208" i="8" s="1"/>
  <c r="L2185" i="8"/>
  <c r="N2185" i="8" s="1"/>
  <c r="I1927" i="8"/>
  <c r="N2570" i="8"/>
  <c r="I15" i="8"/>
  <c r="I52" i="8"/>
  <c r="Q209" i="8"/>
  <c r="N209" i="8"/>
  <c r="H419" i="8"/>
  <c r="I419" i="8"/>
  <c r="I521" i="8"/>
  <c r="H521" i="8"/>
  <c r="N459" i="8"/>
  <c r="N527" i="8"/>
  <c r="N922" i="8"/>
  <c r="N1015" i="8"/>
  <c r="I999" i="8"/>
  <c r="N1449" i="8"/>
  <c r="I1449" i="8"/>
  <c r="N1105" i="8"/>
  <c r="I1471" i="8"/>
  <c r="I1470" i="8"/>
  <c r="I854" i="8"/>
  <c r="N854" i="8"/>
  <c r="N1442" i="8"/>
  <c r="N2527" i="8"/>
  <c r="I1607" i="8"/>
  <c r="N1607" i="8"/>
  <c r="N1608" i="8"/>
  <c r="I1608" i="8"/>
  <c r="N1858" i="8"/>
  <c r="N1857" i="8"/>
  <c r="I1990" i="8"/>
  <c r="N2490" i="8"/>
  <c r="I2535" i="8"/>
  <c r="I2537" i="8" s="1"/>
  <c r="I2539" i="8" s="1"/>
  <c r="Q28" i="8"/>
  <c r="N28" i="8"/>
  <c r="I455" i="8"/>
  <c r="H455" i="8"/>
  <c r="N492" i="8"/>
  <c r="H666" i="8"/>
  <c r="H668" i="8" s="1"/>
  <c r="I797" i="8"/>
  <c r="N797" i="8"/>
  <c r="N658" i="8"/>
  <c r="N939" i="8"/>
  <c r="N674" i="8"/>
  <c r="I674" i="8"/>
  <c r="I1110" i="8"/>
  <c r="I1066" i="8"/>
  <c r="I1021" i="8"/>
  <c r="I1022" i="8"/>
  <c r="H1807" i="8"/>
  <c r="N745" i="8"/>
  <c r="I745" i="8"/>
  <c r="N2521" i="8"/>
  <c r="N1626" i="8"/>
  <c r="I1626" i="8"/>
  <c r="N1505" i="8"/>
  <c r="N1515" i="8" s="1"/>
  <c r="H1816" i="8"/>
  <c r="H1818" i="8" s="1"/>
  <c r="L2141" i="8"/>
  <c r="N2141" i="8" s="1"/>
  <c r="N2158" i="8" s="1"/>
  <c r="L2119" i="8"/>
  <c r="N2119" i="8" s="1"/>
  <c r="N2136" i="8" s="1"/>
  <c r="L2097" i="8"/>
  <c r="I2163" i="8"/>
  <c r="N2163" i="8"/>
  <c r="I2040" i="8"/>
  <c r="N2098" i="8"/>
  <c r="I2254" i="8"/>
  <c r="N2254" i="8"/>
  <c r="I2606" i="8"/>
  <c r="H2621" i="8"/>
  <c r="H2623" i="8" s="1"/>
  <c r="N2165" i="8"/>
  <c r="A16" i="9"/>
  <c r="N120" i="8"/>
  <c r="Q120" i="8"/>
  <c r="H463" i="8"/>
  <c r="H466" i="8" s="1"/>
  <c r="I630" i="8"/>
  <c r="I808" i="8"/>
  <c r="N987" i="8"/>
  <c r="N1104" i="8"/>
  <c r="L614" i="8"/>
  <c r="L647" i="8"/>
  <c r="N647" i="8" s="1"/>
  <c r="L581" i="8"/>
  <c r="I1410" i="8"/>
  <c r="I1414" i="8" s="1"/>
  <c r="I1416" i="8" s="1"/>
  <c r="H2181" i="8"/>
  <c r="H1857" i="8"/>
  <c r="H1859" i="8" s="1"/>
  <c r="N2096" i="8"/>
  <c r="L2196" i="8"/>
  <c r="N2196" i="8" s="1"/>
  <c r="L2219" i="8"/>
  <c r="N2219" i="8" s="1"/>
  <c r="N828" i="8"/>
  <c r="N2633" i="8"/>
  <c r="N70" i="8"/>
  <c r="Q70" i="8"/>
  <c r="I177" i="8"/>
  <c r="I176" i="8"/>
  <c r="N640" i="8"/>
  <c r="L871" i="8"/>
  <c r="N871" i="8" s="1"/>
  <c r="L852" i="8"/>
  <c r="N852" i="8" s="1"/>
  <c r="N700" i="8"/>
  <c r="I783" i="8"/>
  <c r="I789" i="8" s="1"/>
  <c r="I764" i="8"/>
  <c r="I770" i="8" s="1"/>
  <c r="Q171" i="8"/>
  <c r="N171" i="8"/>
  <c r="I500" i="8"/>
  <c r="H500" i="8"/>
  <c r="N644" i="8"/>
  <c r="N1378" i="8"/>
  <c r="I1378" i="8"/>
  <c r="N780" i="8"/>
  <c r="N2057" i="8"/>
  <c r="N168" i="8"/>
  <c r="Q168" i="8"/>
  <c r="N132" i="8"/>
  <c r="Q132" i="8"/>
  <c r="N645" i="8"/>
  <c r="N639" i="8"/>
  <c r="I685" i="8"/>
  <c r="N685" i="8"/>
  <c r="N1014" i="8"/>
  <c r="N1101" i="8"/>
  <c r="N779" i="8"/>
  <c r="I785" i="8"/>
  <c r="N785" i="8"/>
  <c r="L2161" i="8"/>
  <c r="N2095" i="8"/>
  <c r="N2056" i="8"/>
  <c r="Q33" i="8"/>
  <c r="N33" i="8"/>
  <c r="I71" i="8"/>
  <c r="I75" i="8"/>
  <c r="Q92" i="8"/>
  <c r="I92" i="8"/>
  <c r="N92" i="8"/>
  <c r="Q13" i="8"/>
  <c r="N13" i="8"/>
  <c r="N154" i="8"/>
  <c r="Q154" i="8"/>
  <c r="N204" i="8"/>
  <c r="Q204" i="8"/>
  <c r="I487" i="8"/>
  <c r="H487" i="8"/>
  <c r="H502" i="8" s="1"/>
  <c r="I532" i="8"/>
  <c r="I523" i="8"/>
  <c r="I528" i="8"/>
  <c r="N655" i="8"/>
  <c r="I655" i="8"/>
  <c r="N698" i="8"/>
  <c r="L659" i="8"/>
  <c r="N659" i="8" s="1"/>
  <c r="L626" i="8"/>
  <c r="L593" i="8"/>
  <c r="N1062" i="8"/>
  <c r="N1404" i="8"/>
  <c r="I757" i="8"/>
  <c r="N757" i="8"/>
  <c r="N855" i="8"/>
  <c r="I861" i="8"/>
  <c r="N861" i="8"/>
  <c r="I1118" i="8"/>
  <c r="H1371" i="8"/>
  <c r="H1374" i="8" s="1"/>
  <c r="N1423" i="8"/>
  <c r="I1242" i="8"/>
  <c r="N1625" i="8"/>
  <c r="I1625" i="8"/>
  <c r="N1485" i="8"/>
  <c r="I1535" i="8"/>
  <c r="I2016" i="8"/>
  <c r="I1992" i="8"/>
  <c r="I2379" i="8"/>
  <c r="I2400" i="8" s="1"/>
  <c r="N2379" i="8"/>
  <c r="N2166" i="8"/>
  <c r="H1995" i="8"/>
  <c r="H1998" i="8" s="1"/>
  <c r="N2075" i="8"/>
  <c r="I2075" i="8"/>
  <c r="N2645" i="8"/>
  <c r="N2646" i="8" s="1"/>
  <c r="N2649" i="8" s="1"/>
  <c r="I2645" i="8"/>
  <c r="I2646" i="8" s="1"/>
  <c r="I2649" i="8" s="1"/>
  <c r="N51" i="8"/>
  <c r="Q51" i="8"/>
  <c r="H523" i="8"/>
  <c r="H251" i="8"/>
  <c r="N421" i="8"/>
  <c r="I464" i="8"/>
  <c r="L333" i="8"/>
  <c r="N333" i="8" s="1"/>
  <c r="L297" i="8"/>
  <c r="N297" i="8" s="1"/>
  <c r="L261" i="8"/>
  <c r="L369" i="8"/>
  <c r="L1087" i="8"/>
  <c r="N1087" i="8" s="1"/>
  <c r="L1109" i="8"/>
  <c r="N1109" i="8" s="1"/>
  <c r="L1131" i="8"/>
  <c r="N1131" i="8" s="1"/>
  <c r="N1065" i="8"/>
  <c r="N1483" i="8"/>
  <c r="N885" i="8"/>
  <c r="N1426" i="8"/>
  <c r="N1434" i="8" s="1"/>
  <c r="N1561" i="8"/>
  <c r="I1561" i="8"/>
  <c r="I1732" i="8"/>
  <c r="N1993" i="8"/>
  <c r="I1993" i="8"/>
  <c r="I1978" i="8"/>
  <c r="N1978" i="8"/>
  <c r="N2076" i="8"/>
  <c r="L2170" i="8"/>
  <c r="N2103" i="8"/>
  <c r="N2100" i="8"/>
  <c r="I531" i="8"/>
  <c r="I534" i="8" s="1"/>
  <c r="H531" i="8"/>
  <c r="H534" i="8" s="1"/>
  <c r="N1103" i="8"/>
  <c r="N1098" i="8"/>
  <c r="N1097" i="8"/>
  <c r="I976" i="8"/>
  <c r="I1000" i="8"/>
  <c r="N1401" i="8"/>
  <c r="N1134" i="8"/>
  <c r="I1134" i="8"/>
  <c r="I1142" i="8" s="1"/>
  <c r="I971" i="8"/>
  <c r="I1553" i="8"/>
  <c r="I1575" i="8"/>
  <c r="N1482" i="8"/>
  <c r="N1563" i="8"/>
  <c r="N2084" i="8"/>
  <c r="I2084" i="8"/>
  <c r="L2214" i="8"/>
  <c r="N2214" i="8" s="1"/>
  <c r="L2191" i="8"/>
  <c r="N2191" i="8" s="1"/>
  <c r="N2168" i="8"/>
  <c r="I357" i="8"/>
  <c r="N1474" i="8"/>
  <c r="N1475" i="8"/>
  <c r="N1851" i="8"/>
  <c r="N2632" i="8"/>
  <c r="N64" i="8"/>
  <c r="Q64" i="8"/>
  <c r="N643" i="8"/>
  <c r="L385" i="8"/>
  <c r="L277" i="8"/>
  <c r="N277" i="8" s="1"/>
  <c r="L349" i="8"/>
  <c r="N349" i="8" s="1"/>
  <c r="L313" i="8"/>
  <c r="N313" i="8" s="1"/>
  <c r="N241" i="8"/>
  <c r="N1526" i="8"/>
  <c r="N1535" i="8" s="1"/>
  <c r="N2524" i="8"/>
  <c r="I1156" i="8"/>
  <c r="I1164" i="8" s="1"/>
  <c r="N1156" i="8"/>
  <c r="N1164" i="8" s="1"/>
  <c r="N2520" i="8"/>
  <c r="N1887" i="8"/>
  <c r="L2211" i="8"/>
  <c r="N2211" i="8" s="1"/>
  <c r="L2188" i="8"/>
  <c r="N2188" i="8" s="1"/>
  <c r="Q65" i="8"/>
  <c r="N65" i="8"/>
  <c r="N490" i="8"/>
  <c r="I359" i="8"/>
  <c r="Q153" i="8"/>
  <c r="N153" i="8"/>
  <c r="N208" i="8"/>
  <c r="Q208" i="8"/>
  <c r="I356" i="8"/>
  <c r="H565" i="8"/>
  <c r="H598" i="8"/>
  <c r="N456" i="8"/>
  <c r="N524" i="8"/>
  <c r="N958" i="8"/>
  <c r="N1016" i="8"/>
  <c r="I675" i="8"/>
  <c r="N675" i="8"/>
  <c r="I840" i="8"/>
  <c r="I846" i="8" s="1"/>
  <c r="I859" i="8"/>
  <c r="I865" i="8" s="1"/>
  <c r="I1387" i="8"/>
  <c r="N1387" i="8"/>
  <c r="I1168" i="8"/>
  <c r="I1200" i="8" s="1"/>
  <c r="I1454" i="8"/>
  <c r="I1510" i="8"/>
  <c r="I2112" i="8"/>
  <c r="I2114" i="8" s="1"/>
  <c r="I1979" i="8"/>
  <c r="N1979" i="8"/>
  <c r="N1980" i="8"/>
  <c r="I2253" i="8"/>
  <c r="N2253" i="8"/>
  <c r="N2029" i="8"/>
  <c r="I2308" i="8"/>
  <c r="N2308" i="8"/>
  <c r="I2631" i="8"/>
  <c r="I2633" i="8" s="1"/>
  <c r="N30" i="8"/>
  <c r="Q30" i="8"/>
  <c r="H288" i="8"/>
  <c r="H291" i="8" s="1"/>
  <c r="H252" i="8"/>
  <c r="H421" i="8"/>
  <c r="I421" i="8"/>
  <c r="N157" i="8"/>
  <c r="Q157" i="8"/>
  <c r="I426" i="8"/>
  <c r="L638" i="8"/>
  <c r="N638" i="8" s="1"/>
  <c r="L572" i="8"/>
  <c r="N572" i="8" s="1"/>
  <c r="L605" i="8"/>
  <c r="N605" i="8" s="1"/>
  <c r="I726" i="8"/>
  <c r="I725" i="8"/>
  <c r="N739" i="8"/>
  <c r="L657" i="8"/>
  <c r="N657" i="8" s="1"/>
  <c r="L624" i="8"/>
  <c r="L591" i="8"/>
  <c r="I1371" i="8"/>
  <c r="I1374" i="8" s="1"/>
  <c r="N1566" i="8"/>
  <c r="N1629" i="8"/>
  <c r="I1629" i="8"/>
  <c r="H1203" i="8"/>
  <c r="H1206" i="8" s="1"/>
  <c r="I1480" i="8"/>
  <c r="N1480" i="8"/>
  <c r="H1555" i="8"/>
  <c r="H1557" i="8" s="1"/>
  <c r="N1609" i="8"/>
  <c r="I1609" i="8"/>
  <c r="N2167" i="8"/>
  <c r="I2173" i="8"/>
  <c r="N2173" i="8"/>
  <c r="I2299" i="8"/>
  <c r="N2299" i="8"/>
  <c r="I2413" i="8"/>
  <c r="I2416" i="8" s="1"/>
  <c r="A17" i="9"/>
  <c r="I429" i="8"/>
  <c r="H429" i="8"/>
  <c r="H432" i="8" s="1"/>
  <c r="N425" i="8"/>
  <c r="N886" i="8"/>
  <c r="N893" i="8"/>
  <c r="N902" i="8" s="1"/>
  <c r="I998" i="8"/>
  <c r="I974" i="8"/>
  <c r="N1444" i="8"/>
  <c r="I1574" i="8"/>
  <c r="I1577" i="8" s="1"/>
  <c r="N2592" i="8"/>
  <c r="I2162" i="8"/>
  <c r="N2162" i="8"/>
  <c r="N2080" i="8"/>
  <c r="N2587" i="8"/>
  <c r="I321" i="8"/>
  <c r="J189" i="1"/>
  <c r="G142" i="1"/>
  <c r="J142" i="1"/>
  <c r="J179" i="1"/>
  <c r="G179" i="1"/>
  <c r="J76" i="1"/>
  <c r="G76" i="1"/>
  <c r="G194" i="1"/>
  <c r="J194" i="1"/>
  <c r="J91" i="1"/>
  <c r="G91" i="1"/>
  <c r="G216" i="1"/>
  <c r="J216" i="1"/>
  <c r="G189" i="1"/>
  <c r="J151" i="1"/>
  <c r="G151" i="1"/>
  <c r="G193" i="1"/>
  <c r="J193" i="1"/>
  <c r="J90" i="1"/>
  <c r="G90" i="1"/>
  <c r="J114" i="1"/>
  <c r="G114" i="1"/>
  <c r="J54" i="1"/>
  <c r="G54" i="1"/>
  <c r="H63" i="1"/>
  <c r="H129" i="1"/>
  <c r="H166" i="1"/>
  <c r="H203" i="1"/>
  <c r="H62" i="1"/>
  <c r="H165" i="1"/>
  <c r="H202" i="1"/>
  <c r="H128" i="1"/>
  <c r="G53" i="1"/>
  <c r="J53" i="1"/>
  <c r="G12" i="1"/>
  <c r="J12" i="1"/>
  <c r="G115" i="1"/>
  <c r="J115" i="1"/>
  <c r="E191" i="1"/>
  <c r="G191" i="1" s="1"/>
  <c r="E51" i="1"/>
  <c r="E117" i="1"/>
  <c r="E154" i="1"/>
  <c r="E88" i="1"/>
  <c r="G88" i="1" s="1"/>
  <c r="A18" i="9" l="1"/>
  <c r="Q8" i="9"/>
  <c r="N222" i="8"/>
  <c r="H468" i="8"/>
  <c r="N810" i="8"/>
  <c r="H255" i="8"/>
  <c r="H567" i="8"/>
  <c r="N867" i="8"/>
  <c r="I183" i="8"/>
  <c r="I1120" i="8"/>
  <c r="I810" i="8"/>
  <c r="H536" i="8"/>
  <c r="I2067" i="8"/>
  <c r="H600" i="8"/>
  <c r="H602" i="8" s="1"/>
  <c r="I729" i="8"/>
  <c r="N1435" i="8"/>
  <c r="I1456" i="8"/>
  <c r="N1533" i="8"/>
  <c r="N1142" i="8"/>
  <c r="Q222" i="8"/>
  <c r="I1514" i="8"/>
  <c r="I1516" i="8" s="1"/>
  <c r="I791" i="8"/>
  <c r="N966" i="8"/>
  <c r="N967" i="8"/>
  <c r="N16" i="8"/>
  <c r="Q16" i="8"/>
  <c r="N593" i="8"/>
  <c r="H2677" i="8"/>
  <c r="N102" i="8"/>
  <c r="Q102" i="8"/>
  <c r="I102" i="8"/>
  <c r="H434" i="8"/>
  <c r="N286" i="8"/>
  <c r="I286" i="8"/>
  <c r="N501" i="8"/>
  <c r="N500" i="8"/>
  <c r="N2424" i="8"/>
  <c r="N2054" i="8"/>
  <c r="I1802" i="8"/>
  <c r="I1734" i="8"/>
  <c r="I1805" i="8" s="1"/>
  <c r="L505" i="8"/>
  <c r="N505" i="8" s="1"/>
  <c r="L437" i="8"/>
  <c r="N437" i="8" s="1"/>
  <c r="L471" i="8"/>
  <c r="N471" i="8" s="1"/>
  <c r="L403" i="8"/>
  <c r="I2617" i="8"/>
  <c r="N2617" i="8"/>
  <c r="N1484" i="8"/>
  <c r="N2407" i="8"/>
  <c r="N539" i="8"/>
  <c r="N2362" i="8"/>
  <c r="N1061" i="8"/>
  <c r="N54" i="8"/>
  <c r="Q54" i="8"/>
  <c r="Q69" i="8"/>
  <c r="N69" i="8"/>
  <c r="N985" i="8"/>
  <c r="I704" i="8"/>
  <c r="N317" i="8"/>
  <c r="Q169" i="8"/>
  <c r="N169" i="8"/>
  <c r="I2092" i="8"/>
  <c r="N2405" i="8"/>
  <c r="I746" i="8"/>
  <c r="I747" i="8"/>
  <c r="N418" i="8"/>
  <c r="I418" i="8"/>
  <c r="N626" i="8"/>
  <c r="I631" i="8"/>
  <c r="N389" i="8"/>
  <c r="N1983" i="8"/>
  <c r="N1486" i="8"/>
  <c r="N480" i="8"/>
  <c r="N476" i="8"/>
  <c r="N479" i="8"/>
  <c r="N2386" i="8"/>
  <c r="I2019" i="8"/>
  <c r="N1818" i="8"/>
  <c r="N1040" i="8"/>
  <c r="N1034" i="8"/>
  <c r="I682" i="8"/>
  <c r="N682" i="8"/>
  <c r="N361" i="8"/>
  <c r="I361" i="8"/>
  <c r="I94" i="8"/>
  <c r="N2279" i="8"/>
  <c r="H258" i="8"/>
  <c r="N1890" i="8"/>
  <c r="N1895" i="8"/>
  <c r="N1436" i="8"/>
  <c r="H569" i="8"/>
  <c r="I2619" i="8"/>
  <c r="N2619" i="8"/>
  <c r="N676" i="8"/>
  <c r="I1647" i="8"/>
  <c r="N1647" i="8"/>
  <c r="N185" i="8"/>
  <c r="N2409" i="8"/>
  <c r="N977" i="8"/>
  <c r="I977" i="8"/>
  <c r="Q185" i="8"/>
  <c r="L521" i="8"/>
  <c r="N521" i="8" s="1"/>
  <c r="L453" i="8"/>
  <c r="N453" i="8" s="1"/>
  <c r="L487" i="8"/>
  <c r="N487" i="8" s="1"/>
  <c r="L419" i="8"/>
  <c r="N419" i="8" s="1"/>
  <c r="N385" i="8"/>
  <c r="N424" i="8"/>
  <c r="L2193" i="8"/>
  <c r="N2193" i="8" s="1"/>
  <c r="L2216" i="8"/>
  <c r="N2216" i="8" s="1"/>
  <c r="N2170" i="8"/>
  <c r="N1630" i="8"/>
  <c r="I1630" i="8"/>
  <c r="N677" i="8"/>
  <c r="I766" i="8"/>
  <c r="N766" i="8"/>
  <c r="N1057" i="8"/>
  <c r="I997" i="8"/>
  <c r="I1203" i="8"/>
  <c r="I1206" i="8" s="1"/>
  <c r="N2078" i="8"/>
  <c r="Q50" i="8"/>
  <c r="N50" i="8"/>
  <c r="N1565" i="8"/>
  <c r="N790" i="8"/>
  <c r="N789" i="8"/>
  <c r="Q147" i="8"/>
  <c r="Q146" i="8"/>
  <c r="N791" i="8"/>
  <c r="N699" i="8"/>
  <c r="N709" i="8" s="1"/>
  <c r="N1611" i="8"/>
  <c r="N107" i="8"/>
  <c r="Q107" i="8"/>
  <c r="I107" i="8"/>
  <c r="N325" i="8"/>
  <c r="I325" i="8"/>
  <c r="N1383" i="8"/>
  <c r="N1380" i="8"/>
  <c r="N472" i="8"/>
  <c r="N477" i="8"/>
  <c r="N474" i="8"/>
  <c r="I1818" i="8"/>
  <c r="I2022" i="8"/>
  <c r="I597" i="8"/>
  <c r="N2033" i="8"/>
  <c r="N1544" i="8"/>
  <c r="N1379" i="8"/>
  <c r="N2361" i="8"/>
  <c r="I2039" i="8"/>
  <c r="I1991" i="8"/>
  <c r="N2032" i="8"/>
  <c r="I1648" i="8"/>
  <c r="N1648" i="8"/>
  <c r="N2408" i="8"/>
  <c r="I1579" i="8"/>
  <c r="N387" i="8"/>
  <c r="I387" i="8"/>
  <c r="N2364" i="8"/>
  <c r="N866" i="8"/>
  <c r="N865" i="8"/>
  <c r="N1010" i="8"/>
  <c r="N760" i="8"/>
  <c r="N761" i="8"/>
  <c r="I463" i="8"/>
  <c r="I466" i="8" s="1"/>
  <c r="I1552" i="8"/>
  <c r="I1555" i="8" s="1"/>
  <c r="N391" i="8"/>
  <c r="N2616" i="8"/>
  <c r="I2616" i="8"/>
  <c r="N2615" i="8"/>
  <c r="I2615" i="8"/>
  <c r="N2421" i="8"/>
  <c r="I1646" i="8"/>
  <c r="N1646" i="8"/>
  <c r="N1540" i="8"/>
  <c r="N642" i="8"/>
  <c r="N651" i="8" s="1"/>
  <c r="I396" i="8"/>
  <c r="I430" i="8"/>
  <c r="I432" i="8" s="1"/>
  <c r="I2433" i="8"/>
  <c r="I2435" i="8" s="1"/>
  <c r="N1628" i="8"/>
  <c r="I1628" i="8"/>
  <c r="N2526" i="8"/>
  <c r="N904" i="8"/>
  <c r="N458" i="8"/>
  <c r="N467" i="8" s="1"/>
  <c r="N2420" i="8"/>
  <c r="N1013" i="8"/>
  <c r="N1652" i="8"/>
  <c r="N1653" i="8" s="1"/>
  <c r="I1652" i="8"/>
  <c r="I1653" i="8" s="1"/>
  <c r="I1388" i="8"/>
  <c r="I1392" i="8" s="1"/>
  <c r="N2422" i="8"/>
  <c r="I1027" i="8"/>
  <c r="I1030" i="8" s="1"/>
  <c r="N105" i="8"/>
  <c r="I105" i="8"/>
  <c r="N2302" i="8"/>
  <c r="I759" i="8"/>
  <c r="I772" i="8" s="1"/>
  <c r="N759" i="8"/>
  <c r="N772" i="8" s="1"/>
  <c r="N315" i="8"/>
  <c r="I315" i="8"/>
  <c r="I628" i="8"/>
  <c r="I43" i="8"/>
  <c r="I45" i="8" s="1"/>
  <c r="N1035" i="8"/>
  <c r="I220" i="8"/>
  <c r="I222" i="8" s="1"/>
  <c r="N353" i="8"/>
  <c r="Q93" i="8"/>
  <c r="I93" i="8"/>
  <c r="N93" i="8"/>
  <c r="N1894" i="8"/>
  <c r="N1889" i="8"/>
  <c r="I1928" i="8"/>
  <c r="I1930" i="8"/>
  <c r="I1929" i="8"/>
  <c r="Q221" i="8"/>
  <c r="Q220" i="8"/>
  <c r="N388" i="8"/>
  <c r="I287" i="8"/>
  <c r="N289" i="8"/>
  <c r="I289" i="8"/>
  <c r="N1443" i="8"/>
  <c r="I2614" i="8"/>
  <c r="N2614" i="8"/>
  <c r="N2618" i="8"/>
  <c r="I2618" i="8"/>
  <c r="I2309" i="8"/>
  <c r="I2312" i="8" s="1"/>
  <c r="N666" i="8"/>
  <c r="N667" i="8"/>
  <c r="N29" i="8"/>
  <c r="Q29" i="8"/>
  <c r="N2494" i="8"/>
  <c r="I1489" i="8"/>
  <c r="I1493" i="8" s="1"/>
  <c r="I1614" i="8"/>
  <c r="I1615" i="8" s="1"/>
  <c r="N1614" i="8"/>
  <c r="N1615" i="8" s="1"/>
  <c r="I1645" i="8"/>
  <c r="N1645" i="8"/>
  <c r="I1474" i="8"/>
  <c r="I1476" i="8" s="1"/>
  <c r="N1541" i="8"/>
  <c r="N1059" i="8"/>
  <c r="Q119" i="8"/>
  <c r="Q148" i="8" s="1"/>
  <c r="N119" i="8"/>
  <c r="N148" i="8" s="1"/>
  <c r="N2091" i="8"/>
  <c r="N2090" i="8"/>
  <c r="I1634" i="8"/>
  <c r="I1635" i="8" s="1"/>
  <c r="N1634" i="8"/>
  <c r="N1635" i="8" s="1"/>
  <c r="N1539" i="8"/>
  <c r="I1539" i="8"/>
  <c r="I1557" i="8" s="1"/>
  <c r="I1069" i="8"/>
  <c r="I1074" i="8" s="1"/>
  <c r="N1382" i="8"/>
  <c r="N526" i="8"/>
  <c r="N535" i="8" s="1"/>
  <c r="N1120" i="8"/>
  <c r="N1119" i="8"/>
  <c r="N1118" i="8"/>
  <c r="N147" i="8"/>
  <c r="N146" i="8"/>
  <c r="I1394" i="8"/>
  <c r="N2031" i="8"/>
  <c r="N2491" i="8"/>
  <c r="N1806" i="8"/>
  <c r="N1805" i="8"/>
  <c r="O40" i="9" s="1"/>
  <c r="N1514" i="8"/>
  <c r="I1617" i="8"/>
  <c r="I1611" i="8"/>
  <c r="I1619" i="8" s="1"/>
  <c r="N1534" i="8"/>
  <c r="I835" i="8"/>
  <c r="N835" i="8"/>
  <c r="I975" i="8"/>
  <c r="N68" i="8"/>
  <c r="Q68" i="8"/>
  <c r="N1406" i="8"/>
  <c r="N809" i="8"/>
  <c r="N808" i="8"/>
  <c r="L621" i="8"/>
  <c r="N621" i="8" s="1"/>
  <c r="L654" i="8"/>
  <c r="N654" i="8" s="1"/>
  <c r="N555" i="8"/>
  <c r="L588" i="8"/>
  <c r="N588" i="8" s="1"/>
  <c r="N240" i="8"/>
  <c r="I240" i="8"/>
  <c r="I249" i="8"/>
  <c r="I285" i="8"/>
  <c r="N2384" i="8"/>
  <c r="N662" i="8"/>
  <c r="I662" i="8"/>
  <c r="N316" i="8"/>
  <c r="I323" i="8"/>
  <c r="N2631" i="8"/>
  <c r="N2092" i="8"/>
  <c r="A19" i="9"/>
  <c r="N2006" i="8"/>
  <c r="N2019" i="8" s="1"/>
  <c r="N903" i="8"/>
  <c r="N475" i="8"/>
  <c r="N478" i="8"/>
  <c r="L2189" i="8"/>
  <c r="N2189" i="8" s="1"/>
  <c r="N2202" i="8" s="1"/>
  <c r="L2212" i="8"/>
  <c r="N2212" i="8" s="1"/>
  <c r="N2423" i="8"/>
  <c r="N1494" i="8"/>
  <c r="N1493" i="8"/>
  <c r="I1045" i="8"/>
  <c r="I1046" i="8"/>
  <c r="N1036" i="8"/>
  <c r="N837" i="8"/>
  <c r="N352" i="8"/>
  <c r="I360" i="8"/>
  <c r="I363" i="8" s="1"/>
  <c r="I86" i="8"/>
  <c r="N1542" i="8"/>
  <c r="I1920" i="8"/>
  <c r="N1892" i="8"/>
  <c r="N1891" i="8"/>
  <c r="N221" i="8"/>
  <c r="N220" i="8"/>
  <c r="N433" i="8"/>
  <c r="N432" i="8"/>
  <c r="I2070" i="8"/>
  <c r="I248" i="8"/>
  <c r="I284" i="8"/>
  <c r="N279" i="8"/>
  <c r="I279" i="8"/>
  <c r="I732" i="8"/>
  <c r="N1516" i="8"/>
  <c r="N741" i="8"/>
  <c r="N751" i="8" s="1"/>
  <c r="N2203" i="8"/>
  <c r="I2174" i="8"/>
  <c r="I2179" i="8" s="1"/>
  <c r="I2275" i="8"/>
  <c r="I2296" i="8" s="1"/>
  <c r="N2275" i="8"/>
  <c r="I1245" i="8"/>
  <c r="I1248" i="8" s="1"/>
  <c r="I842" i="8"/>
  <c r="N842" i="8"/>
  <c r="N836" i="8"/>
  <c r="N1403" i="8"/>
  <c r="N1414" i="8" s="1"/>
  <c r="N708" i="8"/>
  <c r="I668" i="8"/>
  <c r="N523" i="8"/>
  <c r="L2184" i="8"/>
  <c r="N2184" i="8" s="1"/>
  <c r="L2207" i="8"/>
  <c r="N2207" i="8" s="1"/>
  <c r="N2161" i="8"/>
  <c r="N1011" i="8"/>
  <c r="N650" i="8"/>
  <c r="N649" i="8"/>
  <c r="H294" i="8"/>
  <c r="N679" i="8"/>
  <c r="N1060" i="8"/>
  <c r="N2180" i="8"/>
  <c r="N2179" i="8"/>
  <c r="N2113" i="8"/>
  <c r="N2112" i="8"/>
  <c r="L2164" i="8"/>
  <c r="N2097" i="8"/>
  <c r="N2114" i="8" s="1"/>
  <c r="N2493" i="8"/>
  <c r="N989" i="8"/>
  <c r="I867" i="8"/>
  <c r="N2404" i="8"/>
  <c r="I185" i="8"/>
  <c r="N17" i="8"/>
  <c r="Q17" i="8"/>
  <c r="Q45" i="8" s="1"/>
  <c r="I74" i="8"/>
  <c r="I73" i="8"/>
  <c r="I80" i="8" s="1"/>
  <c r="N103" i="8"/>
  <c r="Q103" i="8"/>
  <c r="I103" i="8"/>
  <c r="N106" i="8"/>
  <c r="Q106" i="8"/>
  <c r="I106" i="8"/>
  <c r="N1901" i="8"/>
  <c r="N261" i="8"/>
  <c r="N319" i="8"/>
  <c r="N972" i="8"/>
  <c r="I972" i="8"/>
  <c r="N1455" i="8"/>
  <c r="N1454" i="8"/>
  <c r="N1456" i="8"/>
  <c r="I633" i="8"/>
  <c r="N720" i="8"/>
  <c r="N481" i="8"/>
  <c r="N473" i="8"/>
  <c r="N1589" i="8"/>
  <c r="N1600" i="8" s="1"/>
  <c r="N2596" i="8"/>
  <c r="N2603" i="8" s="1"/>
  <c r="N1038" i="8"/>
  <c r="N1039" i="8"/>
  <c r="N355" i="8"/>
  <c r="N351" i="8"/>
  <c r="I351" i="8"/>
  <c r="N1012" i="8"/>
  <c r="N1601" i="8"/>
  <c r="N1896" i="8"/>
  <c r="N1893" i="8"/>
  <c r="N281" i="8"/>
  <c r="N280" i="8"/>
  <c r="N753" i="8"/>
  <c r="N589" i="8"/>
  <c r="I589" i="8"/>
  <c r="N711" i="8"/>
  <c r="J154" i="1"/>
  <c r="G154" i="1"/>
  <c r="J67" i="1"/>
  <c r="G67" i="1"/>
  <c r="G188" i="1"/>
  <c r="J188" i="1"/>
  <c r="G206" i="1"/>
  <c r="J206" i="1"/>
  <c r="J205" i="1"/>
  <c r="G205" i="1"/>
  <c r="J133" i="1"/>
  <c r="G133" i="1"/>
  <c r="J129" i="1"/>
  <c r="G129" i="1"/>
  <c r="G208" i="1"/>
  <c r="J208" i="1"/>
  <c r="J86" i="1"/>
  <c r="G86" i="1"/>
  <c r="G51" i="1"/>
  <c r="J51" i="1"/>
  <c r="G49" i="1"/>
  <c r="J49" i="1"/>
  <c r="G202" i="1"/>
  <c r="J202" i="1"/>
  <c r="J203" i="1"/>
  <c r="G203" i="1"/>
  <c r="G166" i="1"/>
  <c r="J166" i="1"/>
  <c r="J165" i="1"/>
  <c r="G165" i="1"/>
  <c r="G52" i="1"/>
  <c r="J52" i="1"/>
  <c r="G170" i="1"/>
  <c r="J170" i="1"/>
  <c r="G39" i="1"/>
  <c r="J39" i="1"/>
  <c r="G155" i="1"/>
  <c r="J155" i="1"/>
  <c r="J11" i="1"/>
  <c r="G11" i="1"/>
  <c r="J207" i="1"/>
  <c r="G207" i="1"/>
  <c r="G118" i="1"/>
  <c r="J118" i="1"/>
  <c r="J171" i="1"/>
  <c r="G171" i="1"/>
  <c r="G168" i="1"/>
  <c r="J168" i="1"/>
  <c r="J169" i="1"/>
  <c r="G169" i="1"/>
  <c r="Q40" i="9" l="1"/>
  <c r="Q43" i="9" s="1"/>
  <c r="Q46" i="9" s="1"/>
  <c r="Q47" i="9" s="1"/>
  <c r="O43" i="9"/>
  <c r="O46" i="9" s="1"/>
  <c r="O47" i="9" s="1"/>
  <c r="N1637" i="8"/>
  <c r="I848" i="8"/>
  <c r="N1638" i="8"/>
  <c r="I1631" i="8"/>
  <c r="N1495" i="8"/>
  <c r="I2621" i="8"/>
  <c r="I2623" i="8" s="1"/>
  <c r="N2504" i="8"/>
  <c r="I2181" i="8"/>
  <c r="N2226" i="8"/>
  <c r="N668" i="8"/>
  <c r="N1416" i="8"/>
  <c r="N1631" i="8"/>
  <c r="N1639" i="8" s="1"/>
  <c r="N848" i="8"/>
  <c r="N2623" i="8"/>
  <c r="I1637" i="8"/>
  <c r="N965" i="8"/>
  <c r="N961" i="8"/>
  <c r="N1290" i="8"/>
  <c r="N1332" i="8"/>
  <c r="N1374" i="8"/>
  <c r="N1248" i="8"/>
  <c r="N556" i="8"/>
  <c r="I556" i="8"/>
  <c r="N964" i="8"/>
  <c r="N963" i="8"/>
  <c r="I1639" i="8"/>
  <c r="N1908" i="8"/>
  <c r="N1905" i="8"/>
  <c r="N1898" i="8"/>
  <c r="N1897" i="8"/>
  <c r="N1567" i="8"/>
  <c r="N1578" i="8" s="1"/>
  <c r="I395" i="8"/>
  <c r="I398" i="8" s="1"/>
  <c r="N2318" i="8"/>
  <c r="N513" i="8"/>
  <c r="N514" i="8"/>
  <c r="N771" i="8"/>
  <c r="N770" i="8"/>
  <c r="N1984" i="8"/>
  <c r="N1985" i="8"/>
  <c r="I565" i="8"/>
  <c r="I598" i="8"/>
  <c r="N1599" i="8"/>
  <c r="N678" i="8"/>
  <c r="N390" i="8"/>
  <c r="N1415" i="8"/>
  <c r="N750" i="8"/>
  <c r="N404" i="8"/>
  <c r="N407" i="8"/>
  <c r="N406" i="8"/>
  <c r="N446" i="8"/>
  <c r="N410" i="8"/>
  <c r="N968" i="8"/>
  <c r="N2301" i="8"/>
  <c r="N2425" i="8"/>
  <c r="N2303" i="8"/>
  <c r="N110" i="8"/>
  <c r="N109" i="8"/>
  <c r="N245" i="8"/>
  <c r="I562" i="8"/>
  <c r="I595" i="8"/>
  <c r="N354" i="8"/>
  <c r="I2037" i="8"/>
  <c r="N622" i="8"/>
  <c r="I622" i="8"/>
  <c r="N2604" i="8"/>
  <c r="N2606" i="8" s="1"/>
  <c r="I1924" i="8"/>
  <c r="I1925" i="8" s="1"/>
  <c r="N1655" i="8"/>
  <c r="N1656" i="8"/>
  <c r="Q44" i="8"/>
  <c r="Q43" i="8"/>
  <c r="N399" i="8"/>
  <c r="N398" i="8"/>
  <c r="N1907" i="8"/>
  <c r="N2432" i="8"/>
  <c r="N2431" i="8"/>
  <c r="N45" i="8"/>
  <c r="N510" i="8"/>
  <c r="N506" i="8"/>
  <c r="N512" i="8"/>
  <c r="N2317" i="8"/>
  <c r="N2260" i="8"/>
  <c r="N2304" i="8"/>
  <c r="N1649" i="8"/>
  <c r="N1657" i="8" s="1"/>
  <c r="N466" i="8"/>
  <c r="N445" i="8"/>
  <c r="N440" i="8"/>
  <c r="N408" i="8"/>
  <c r="N443" i="8"/>
  <c r="N411" i="8"/>
  <c r="N2305" i="8"/>
  <c r="N688" i="8"/>
  <c r="N687" i="8"/>
  <c r="N283" i="8"/>
  <c r="N624" i="8"/>
  <c r="N384" i="8"/>
  <c r="I384" i="8"/>
  <c r="N184" i="8"/>
  <c r="N183" i="8"/>
  <c r="N2258" i="8"/>
  <c r="N2068" i="8"/>
  <c r="N2067" i="8"/>
  <c r="N2070" i="8"/>
  <c r="N88" i="8"/>
  <c r="Q88" i="8"/>
  <c r="N2300" i="8"/>
  <c r="L2187" i="8"/>
  <c r="N2187" i="8" s="1"/>
  <c r="L2210" i="8"/>
  <c r="N2210" i="8" s="1"/>
  <c r="N2164" i="8"/>
  <c r="N2365" i="8"/>
  <c r="N2417" i="8"/>
  <c r="N2433" i="8"/>
  <c r="N2416" i="8"/>
  <c r="N2227" i="8"/>
  <c r="N1381" i="8"/>
  <c r="N363" i="8"/>
  <c r="N364" i="8"/>
  <c r="I1051" i="8"/>
  <c r="I1054" i="8" s="1"/>
  <c r="N1982" i="8"/>
  <c r="N318" i="8"/>
  <c r="N328" i="8" s="1"/>
  <c r="N2280" i="8"/>
  <c r="N1384" i="8"/>
  <c r="Q53" i="8"/>
  <c r="N53" i="8"/>
  <c r="N2389" i="8"/>
  <c r="N2030" i="8"/>
  <c r="N2046" i="8" s="1"/>
  <c r="N534" i="8"/>
  <c r="I1655" i="8"/>
  <c r="I1649" i="8"/>
  <c r="N43" i="8"/>
  <c r="N44" i="8"/>
  <c r="I1495" i="8"/>
  <c r="N1904" i="8"/>
  <c r="I1932" i="8"/>
  <c r="I1933" i="8" s="1"/>
  <c r="N2316" i="8"/>
  <c r="N508" i="8"/>
  <c r="N509" i="8"/>
  <c r="N511" i="8"/>
  <c r="N2622" i="8"/>
  <c r="N2621" i="8"/>
  <c r="N1618" i="8"/>
  <c r="N1543" i="8"/>
  <c r="N2390" i="8"/>
  <c r="N2225" i="8"/>
  <c r="I2329" i="8"/>
  <c r="I2331" i="8" s="1"/>
  <c r="N405" i="8"/>
  <c r="N442" i="8"/>
  <c r="N409" i="8"/>
  <c r="N439" i="8"/>
  <c r="N441" i="8"/>
  <c r="I561" i="8"/>
  <c r="I594" i="8"/>
  <c r="I600" i="8" s="1"/>
  <c r="N1033" i="8"/>
  <c r="N2282" i="8"/>
  <c r="N496" i="8"/>
  <c r="I496" i="8"/>
  <c r="I502" i="8" s="1"/>
  <c r="N625" i="8"/>
  <c r="N403" i="8"/>
  <c r="I750" i="8"/>
  <c r="I753" i="8" s="1"/>
  <c r="Q184" i="8"/>
  <c r="Q183" i="8"/>
  <c r="N484" i="8"/>
  <c r="I1736" i="8"/>
  <c r="N2320" i="8"/>
  <c r="I109" i="8"/>
  <c r="I111" i="8" s="1"/>
  <c r="I82" i="8"/>
  <c r="N560" i="8"/>
  <c r="N244" i="8"/>
  <c r="N1037" i="8"/>
  <c r="I288" i="8"/>
  <c r="N1888" i="8"/>
  <c r="N1899" i="8" s="1"/>
  <c r="N225" i="8"/>
  <c r="N2181" i="8"/>
  <c r="N847" i="8"/>
  <c r="N846" i="8"/>
  <c r="I243" i="8"/>
  <c r="N243" i="8"/>
  <c r="N729" i="8"/>
  <c r="N730" i="8"/>
  <c r="N732" i="8"/>
  <c r="I1076" i="8"/>
  <c r="N2204" i="8"/>
  <c r="N282" i="8"/>
  <c r="N294" i="8" s="1"/>
  <c r="N2319" i="8"/>
  <c r="N2020" i="8"/>
  <c r="N2022" i="8"/>
  <c r="I324" i="8"/>
  <c r="I327" i="8" s="1"/>
  <c r="N962" i="8"/>
  <c r="N2367" i="8"/>
  <c r="N2602" i="8"/>
  <c r="N253" i="8"/>
  <c r="I253" i="8"/>
  <c r="N1903" i="8"/>
  <c r="N1902" i="8"/>
  <c r="N1917" i="8" s="1"/>
  <c r="N1906" i="8"/>
  <c r="N2368" i="8"/>
  <c r="A20" i="9"/>
  <c r="N66" i="8"/>
  <c r="Q66" i="8"/>
  <c r="N507" i="8"/>
  <c r="N515" i="8"/>
  <c r="N2529" i="8"/>
  <c r="N2537" i="8" s="1"/>
  <c r="N2539" i="8" s="1"/>
  <c r="N1009" i="8"/>
  <c r="N2257" i="8"/>
  <c r="N592" i="8"/>
  <c r="I564" i="8"/>
  <c r="N482" i="8"/>
  <c r="N483" i="8"/>
  <c r="N1619" i="8"/>
  <c r="N1617" i="8"/>
  <c r="N2387" i="8"/>
  <c r="I1003" i="8"/>
  <c r="I1006" i="8" s="1"/>
  <c r="N1076" i="8"/>
  <c r="N1075" i="8"/>
  <c r="N1074" i="8"/>
  <c r="N502" i="8"/>
  <c r="N412" i="8"/>
  <c r="N447" i="8"/>
  <c r="N444" i="8"/>
  <c r="N438" i="8"/>
  <c r="N413" i="8"/>
  <c r="N690" i="8"/>
  <c r="I708" i="8"/>
  <c r="I711" i="8" s="1"/>
  <c r="N1006" i="8"/>
  <c r="N1004" i="8"/>
  <c r="N1003" i="8"/>
  <c r="I1807" i="8"/>
  <c r="Q110" i="8"/>
  <c r="Q109" i="8"/>
  <c r="N591" i="8"/>
  <c r="G103" i="1"/>
  <c r="J103" i="1"/>
  <c r="G25" i="1"/>
  <c r="J25" i="1"/>
  <c r="G132" i="1"/>
  <c r="J132" i="1"/>
  <c r="G14" i="1"/>
  <c r="J14" i="1"/>
  <c r="J117" i="1"/>
  <c r="G117" i="1"/>
  <c r="G101" i="1"/>
  <c r="J101" i="1"/>
  <c r="G104" i="1"/>
  <c r="J104" i="1"/>
  <c r="J28" i="1"/>
  <c r="G28" i="1"/>
  <c r="G68" i="1"/>
  <c r="J68" i="1"/>
  <c r="J167" i="1"/>
  <c r="G167" i="1"/>
  <c r="J63" i="1"/>
  <c r="G63" i="1"/>
  <c r="G48" i="1"/>
  <c r="J48" i="1"/>
  <c r="J85" i="1"/>
  <c r="G85" i="1"/>
  <c r="G29" i="1"/>
  <c r="J29" i="1"/>
  <c r="G30" i="1"/>
  <c r="J30" i="1"/>
  <c r="J131" i="1"/>
  <c r="G131" i="1"/>
  <c r="J66" i="1"/>
  <c r="G66" i="1"/>
  <c r="G15" i="1"/>
  <c r="J15" i="1"/>
  <c r="G204" i="1"/>
  <c r="G220" i="1" s="1"/>
  <c r="J204" i="1"/>
  <c r="G128" i="1"/>
  <c r="J128" i="1"/>
  <c r="G105" i="1"/>
  <c r="J105" i="1"/>
  <c r="G26" i="1"/>
  <c r="J26" i="1"/>
  <c r="J31" i="1"/>
  <c r="G31" i="1"/>
  <c r="J65" i="1"/>
  <c r="G65" i="1"/>
  <c r="G134" i="1"/>
  <c r="J134" i="1"/>
  <c r="J62" i="1"/>
  <c r="G62" i="1"/>
  <c r="N292" i="8" l="1"/>
  <c r="I1657" i="8"/>
  <c r="N416" i="8"/>
  <c r="N1392" i="8"/>
  <c r="N518" i="8"/>
  <c r="N450" i="8"/>
  <c r="I1935" i="8"/>
  <c r="N558" i="8"/>
  <c r="N379" i="8"/>
  <c r="N428" i="8"/>
  <c r="N434" i="8" s="1"/>
  <c r="I428" i="8"/>
  <c r="I434" i="8" s="1"/>
  <c r="N1030" i="8"/>
  <c r="N1028" i="8"/>
  <c r="N1027" i="8"/>
  <c r="Q81" i="8"/>
  <c r="Q80" i="8"/>
  <c r="N334" i="8"/>
  <c r="N335" i="8"/>
  <c r="N300" i="8"/>
  <c r="N559" i="8"/>
  <c r="N2263" i="8"/>
  <c r="N340" i="8"/>
  <c r="N341" i="8"/>
  <c r="N306" i="8"/>
  <c r="N327" i="8"/>
  <c r="N448" i="8"/>
  <c r="N449" i="8"/>
  <c r="N339" i="8"/>
  <c r="N336" i="8"/>
  <c r="N246" i="8"/>
  <c r="N291" i="8"/>
  <c r="N304" i="8"/>
  <c r="N305" i="8"/>
  <c r="I252" i="8"/>
  <c r="N369" i="8"/>
  <c r="N2286" i="8"/>
  <c r="N270" i="8"/>
  <c r="N266" i="8"/>
  <c r="N268" i="8"/>
  <c r="N2313" i="8"/>
  <c r="N2312" i="8"/>
  <c r="N579" i="8"/>
  <c r="N578" i="8"/>
  <c r="N2535" i="8"/>
  <c r="I1989" i="8"/>
  <c r="N615" i="8"/>
  <c r="N607" i="8"/>
  <c r="N613" i="8"/>
  <c r="N376" i="8"/>
  <c r="N462" i="8"/>
  <c r="N468" i="8" s="1"/>
  <c r="I462" i="8"/>
  <c r="I468" i="8" s="1"/>
  <c r="N370" i="8"/>
  <c r="N1246" i="8"/>
  <c r="N1245" i="8"/>
  <c r="N1288" i="8"/>
  <c r="N1287" i="8"/>
  <c r="N262" i="8"/>
  <c r="N269" i="8"/>
  <c r="N2261" i="8"/>
  <c r="N576" i="8"/>
  <c r="N575" i="8"/>
  <c r="N1393" i="8"/>
  <c r="I2043" i="8"/>
  <c r="I2046" i="8" s="1"/>
  <c r="N2321" i="8"/>
  <c r="N2327" i="8" s="1"/>
  <c r="N608" i="8"/>
  <c r="N614" i="8"/>
  <c r="N611" i="8"/>
  <c r="N414" i="8"/>
  <c r="N415" i="8"/>
  <c r="I973" i="8"/>
  <c r="I979" i="8" s="1"/>
  <c r="I982" i="8" s="1"/>
  <c r="N530" i="8"/>
  <c r="N536" i="8" s="1"/>
  <c r="I530" i="8"/>
  <c r="I536" i="8" s="1"/>
  <c r="N1579" i="8"/>
  <c r="N1577" i="8"/>
  <c r="N2536" i="8"/>
  <c r="N303" i="8"/>
  <c r="N2044" i="8"/>
  <c r="N2043" i="8"/>
  <c r="Q87" i="8"/>
  <c r="Q111" i="8" s="1"/>
  <c r="Q223" i="8" s="1"/>
  <c r="N87" i="8"/>
  <c r="N111" i="8" s="1"/>
  <c r="N378" i="8"/>
  <c r="Q82" i="8"/>
  <c r="N2283" i="8"/>
  <c r="N590" i="8"/>
  <c r="N81" i="8"/>
  <c r="N80" i="8"/>
  <c r="N2264" i="8"/>
  <c r="N1916" i="8"/>
  <c r="N1915" i="8"/>
  <c r="N337" i="8"/>
  <c r="N342" i="8"/>
  <c r="N343" i="8"/>
  <c r="N302" i="8"/>
  <c r="N298" i="8"/>
  <c r="N299" i="8"/>
  <c r="N1935" i="8"/>
  <c r="N623" i="8"/>
  <c r="I567" i="8"/>
  <c r="N375" i="8"/>
  <c r="N271" i="8"/>
  <c r="N267" i="8"/>
  <c r="N574" i="8"/>
  <c r="N573" i="8"/>
  <c r="N580" i="8"/>
  <c r="N612" i="8"/>
  <c r="N606" i="8"/>
  <c r="N372" i="8"/>
  <c r="N373" i="8"/>
  <c r="N1545" i="8"/>
  <c r="N1556" i="8" s="1"/>
  <c r="N1372" i="8"/>
  <c r="N1371" i="8"/>
  <c r="N338" i="8"/>
  <c r="N301" i="8"/>
  <c r="N307" i="8"/>
  <c r="N1052" i="8"/>
  <c r="N1054" i="8"/>
  <c r="N1051" i="8"/>
  <c r="N371" i="8"/>
  <c r="N2400" i="8"/>
  <c r="N2435" i="8" s="1"/>
  <c r="N82" i="8"/>
  <c r="I251" i="8"/>
  <c r="I255" i="8" s="1"/>
  <c r="N2285" i="8"/>
  <c r="N1996" i="8"/>
  <c r="N1998" i="8"/>
  <c r="N1995" i="8"/>
  <c r="N264" i="8"/>
  <c r="N263" i="8"/>
  <c r="N265" i="8"/>
  <c r="I291" i="8"/>
  <c r="I294" i="8" s="1"/>
  <c r="N247" i="8"/>
  <c r="N256" i="8" s="1"/>
  <c r="N377" i="8"/>
  <c r="N374" i="8"/>
  <c r="N582" i="8"/>
  <c r="N581" i="8"/>
  <c r="N577" i="8"/>
  <c r="N516" i="8"/>
  <c r="N517" i="8"/>
  <c r="N1557" i="8"/>
  <c r="I683" i="8"/>
  <c r="N609" i="8"/>
  <c r="N610" i="8"/>
  <c r="A21" i="9"/>
  <c r="N1330" i="8"/>
  <c r="N1329" i="8"/>
  <c r="N980" i="8"/>
  <c r="N982" i="8"/>
  <c r="N979" i="8"/>
  <c r="G130" i="1"/>
  <c r="G146" i="1" s="1"/>
  <c r="J130" i="1"/>
  <c r="J146" i="1" s="1"/>
  <c r="J218" i="1"/>
  <c r="G181" i="1"/>
  <c r="G183" i="1"/>
  <c r="G100" i="1"/>
  <c r="G109" i="1" s="1"/>
  <c r="J100" i="1"/>
  <c r="J109" i="1" s="1"/>
  <c r="G218" i="1"/>
  <c r="J181" i="1"/>
  <c r="G27" i="1"/>
  <c r="G43" i="1" s="1"/>
  <c r="J27" i="1"/>
  <c r="J43" i="1" s="1"/>
  <c r="G64" i="1"/>
  <c r="J64" i="1"/>
  <c r="J80" i="1" s="1"/>
  <c r="J220" i="1"/>
  <c r="J183" i="1"/>
  <c r="N1555" i="8" l="1"/>
  <c r="N2296" i="8"/>
  <c r="I687" i="8"/>
  <c r="I690" i="8" s="1"/>
  <c r="N227" i="8"/>
  <c r="N228" i="8"/>
  <c r="N584" i="8"/>
  <c r="N583" i="8"/>
  <c r="N585" i="8"/>
  <c r="N309" i="8"/>
  <c r="N308" i="8"/>
  <c r="N310" i="8"/>
  <c r="N557" i="8"/>
  <c r="N380" i="8"/>
  <c r="N381" i="8"/>
  <c r="N2329" i="8"/>
  <c r="N2331" i="8" s="1"/>
  <c r="N232" i="8"/>
  <c r="N2328" i="8"/>
  <c r="N322" i="8"/>
  <c r="N330" i="8" s="1"/>
  <c r="I322" i="8"/>
  <c r="I330" i="8" s="1"/>
  <c r="N394" i="8"/>
  <c r="N400" i="8" s="1"/>
  <c r="I394" i="8"/>
  <c r="I400" i="8" s="1"/>
  <c r="N229" i="8"/>
  <c r="N547" i="8"/>
  <c r="N540" i="8"/>
  <c r="N235" i="8"/>
  <c r="N542" i="8"/>
  <c r="N272" i="8"/>
  <c r="N273" i="8"/>
  <c r="N274" i="8"/>
  <c r="A22" i="9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N345" i="8"/>
  <c r="N344" i="8"/>
  <c r="N346" i="8"/>
  <c r="N596" i="8"/>
  <c r="I596" i="8"/>
  <c r="I602" i="8" s="1"/>
  <c r="N617" i="8"/>
  <c r="N616" i="8"/>
  <c r="N618" i="8"/>
  <c r="N231" i="8"/>
  <c r="N358" i="8"/>
  <c r="N366" i="8" s="1"/>
  <c r="I358" i="8"/>
  <c r="I366" i="8" s="1"/>
  <c r="N601" i="8"/>
  <c r="N600" i="8"/>
  <c r="N602" i="8"/>
  <c r="N255" i="8"/>
  <c r="N233" i="8"/>
  <c r="N226" i="8"/>
  <c r="I1995" i="8"/>
  <c r="I1998" i="8" s="1"/>
  <c r="N234" i="8"/>
  <c r="N382" i="8"/>
  <c r="N549" i="8"/>
  <c r="N544" i="8"/>
  <c r="N548" i="8"/>
  <c r="N541" i="8"/>
  <c r="N633" i="8"/>
  <c r="N634" i="8"/>
  <c r="N629" i="8"/>
  <c r="N635" i="8" s="1"/>
  <c r="I629" i="8"/>
  <c r="I635" i="8" s="1"/>
  <c r="N543" i="8"/>
  <c r="N545" i="8"/>
  <c r="N546" i="8"/>
  <c r="N230" i="8"/>
  <c r="G78" i="1"/>
  <c r="G80" i="1"/>
  <c r="J41" i="1"/>
  <c r="J107" i="1"/>
  <c r="J144" i="1"/>
  <c r="J78" i="1"/>
  <c r="G41" i="1"/>
  <c r="G107" i="1"/>
  <c r="G144" i="1"/>
  <c r="I2677" i="8" l="1"/>
  <c r="N550" i="8"/>
  <c r="N551" i="8"/>
  <c r="N552" i="8"/>
  <c r="N250" i="8"/>
  <c r="N258" i="8" s="1"/>
  <c r="I250" i="8"/>
  <c r="I258" i="8" s="1"/>
  <c r="N237" i="8"/>
  <c r="N236" i="8"/>
  <c r="N238" i="8"/>
  <c r="N567" i="8"/>
  <c r="N568" i="8"/>
  <c r="N563" i="8"/>
  <c r="N569" i="8" s="1"/>
  <c r="I563" i="8"/>
  <c r="I569" i="8" s="1"/>
  <c r="J223" i="1"/>
  <c r="J224" i="1" s="1"/>
  <c r="G223" i="1"/>
  <c r="G225" i="1" s="1"/>
  <c r="J226" i="1" l="1"/>
  <c r="N2677" i="8"/>
  <c r="J225" i="1"/>
  <c r="J228" i="1"/>
</calcChain>
</file>

<file path=xl/sharedStrings.xml><?xml version="1.0" encoding="utf-8"?>
<sst xmlns="http://schemas.openxmlformats.org/spreadsheetml/2006/main" count="3696" uniqueCount="503">
  <si>
    <t>Rocky Mountain Power - State of Utah</t>
  </si>
  <si>
    <t>Blocking Based on Adjusted Actuals and Forecasted Loads</t>
  </si>
  <si>
    <t>Units</t>
  </si>
  <si>
    <t>Revenues</t>
  </si>
  <si>
    <t>Forecast</t>
  </si>
  <si>
    <t>Price</t>
  </si>
  <si>
    <t>Schedule No. 1- Residential Service</t>
  </si>
  <si>
    <t xml:space="preserve">  Total Customer</t>
  </si>
  <si>
    <t xml:space="preserve">  Customer Charge - 1 Phase</t>
  </si>
  <si>
    <t xml:space="preserve">      Single Family</t>
  </si>
  <si>
    <t xml:space="preserve">      Multi Family</t>
  </si>
  <si>
    <t xml:space="preserve">  Customer Charge - 3 Phase</t>
  </si>
  <si>
    <t xml:space="preserve">  Aggregate Charge</t>
  </si>
  <si>
    <t xml:space="preserve">  Non-Standard Meter Reading Fee</t>
  </si>
  <si>
    <t xml:space="preserve">  Minimum 1 Phase</t>
  </si>
  <si>
    <t xml:space="preserve">  Minimum 3 Phase</t>
  </si>
  <si>
    <t xml:space="preserve">  Minimum Seasonal</t>
  </si>
  <si>
    <t xml:space="preserve">  On-Peak kWh (Jun - Sept)</t>
  </si>
  <si>
    <t>¢</t>
  </si>
  <si>
    <t xml:space="preserve">  Off-Peak kWh (Jun - Sept)</t>
  </si>
  <si>
    <t xml:space="preserve">  First 400 kWh (Jun-Sept)</t>
  </si>
  <si>
    <t xml:space="preserve">  Next 600 kWh (Jun-Sept)</t>
  </si>
  <si>
    <t xml:space="preserve">  All add'l kWh (Jun-Sept)</t>
  </si>
  <si>
    <t xml:space="preserve">  First 400 kWh (Oct-May)</t>
  </si>
  <si>
    <t xml:space="preserve">  All add'l kWh (Oct-May)</t>
  </si>
  <si>
    <t xml:space="preserve">  On-Peak kWh (May - Sept)</t>
  </si>
  <si>
    <t xml:space="preserve">  Off-Peak kWh (May - Sept)</t>
  </si>
  <si>
    <t xml:space="preserve">  First 400 kWh (May-Sept)</t>
  </si>
  <si>
    <t xml:space="preserve">  Next 600 kWh (May-Sept)</t>
  </si>
  <si>
    <t xml:space="preserve">  All add'l kWh (May-Sept)</t>
  </si>
  <si>
    <t xml:space="preserve">  First 400 kWh (Oct-Apr)</t>
  </si>
  <si>
    <t xml:space="preserve">  All add'l kWh (Oct-Apr)</t>
  </si>
  <si>
    <t xml:space="preserve">  Subscriber Solar kWh</t>
  </si>
  <si>
    <t xml:space="preserve">  Unbilled</t>
  </si>
  <si>
    <t xml:space="preserve">  TAA</t>
  </si>
  <si>
    <t xml:space="preserve">  Subscriber Solar kWh Adj</t>
  </si>
  <si>
    <t xml:space="preserve">  Total</t>
  </si>
  <si>
    <t>Schedule No. 2 - Residential Service - Optional Time-of-Day</t>
  </si>
  <si>
    <t>Schedule No. 2E - Electric Vehicle Time-of-Use Pilot Option</t>
  </si>
  <si>
    <t>Rate Option 1</t>
  </si>
  <si>
    <t xml:space="preserve">  On-Peak kWh</t>
  </si>
  <si>
    <t xml:space="preserve">  Off-Peak kWh</t>
  </si>
  <si>
    <t>Rate Option 2</t>
  </si>
  <si>
    <t>Subscriber Solar kWh</t>
  </si>
  <si>
    <t>Schedule No. 3- Residential Service - Low Income Lifeline Program</t>
  </si>
  <si>
    <t>Schedule No. 135 - Residential Service - Net Metering</t>
  </si>
  <si>
    <t>Schedule No. 136 - Residential Service - Net Metering</t>
  </si>
  <si>
    <t>Base Period 12 Months Ending December 2019</t>
  </si>
  <si>
    <t>Forecast Period 12 Months Ending December 2021</t>
  </si>
  <si>
    <t>Ordered 1/1/2021</t>
  </si>
  <si>
    <t>Ordered 1/1/2022</t>
  </si>
  <si>
    <t>TAA revenue - ordered</t>
  </si>
  <si>
    <t>TAA revenue (Year 2 total)</t>
  </si>
  <si>
    <t>Revised Year 2 TAA price</t>
  </si>
  <si>
    <t>SOLAR ENERGY BLOCK CHARGES</t>
  </si>
  <si>
    <t>Schedule</t>
  </si>
  <si>
    <t>Solar Block Delivery Charge</t>
  </si>
  <si>
    <t xml:space="preserve"> Solar Block Generation Charge</t>
  </si>
  <si>
    <t>Total</t>
  </si>
  <si>
    <t>1, 2, 3</t>
  </si>
  <si>
    <t>6, 6A (no interval meter)</t>
  </si>
  <si>
    <t>6, 6A (with interval meter)</t>
  </si>
  <si>
    <t>Under Schedule 32</t>
  </si>
  <si>
    <t>8, 9, 9A</t>
  </si>
  <si>
    <t xml:space="preserve">Present </t>
  </si>
  <si>
    <t>Base</t>
  </si>
  <si>
    <t>TAA 2 (1/1/2022)</t>
  </si>
  <si>
    <t>Schedule 6 moving to 6A - Composite</t>
  </si>
  <si>
    <t xml:space="preserve">  Customer Charge</t>
  </si>
  <si>
    <t xml:space="preserve">  All kWh under 50 kWh/kW (Jun-Sept)</t>
  </si>
  <si>
    <t xml:space="preserve">  All additional kWh (Jun-Sept)</t>
  </si>
  <si>
    <t xml:space="preserve">  All kWh under 50 kWh/kW (Oct-May)</t>
  </si>
  <si>
    <t xml:space="preserve">  All additional (Oct-May)</t>
  </si>
  <si>
    <t xml:space="preserve">  On-Pk kWh (Jun-Sept)</t>
  </si>
  <si>
    <t xml:space="preserve">  Off-Pk kWh (Jun-Sept)</t>
  </si>
  <si>
    <t xml:space="preserve">  On-Pk kWh (Oct-May)</t>
  </si>
  <si>
    <t xml:space="preserve">  Off-Pk kWh (Oct-May)</t>
  </si>
  <si>
    <t xml:space="preserve">  Voltage Discount</t>
  </si>
  <si>
    <t xml:space="preserve">  Schedule 6A</t>
  </si>
  <si>
    <t xml:space="preserve">  Seasonal Service</t>
  </si>
  <si>
    <t xml:space="preserve">  Minimum Charge</t>
  </si>
  <si>
    <t xml:space="preserve">  Facilities kW</t>
  </si>
  <si>
    <t xml:space="preserve">  All kW (Jun - Sept)</t>
  </si>
  <si>
    <t xml:space="preserve">  All kW (Oct - May)</t>
  </si>
  <si>
    <t xml:space="preserve">  kWh (Jun-Sept)</t>
  </si>
  <si>
    <t xml:space="preserve">  kWh (Oct-May)</t>
  </si>
  <si>
    <t xml:space="preserve">  All kW (May - Sept)</t>
  </si>
  <si>
    <t xml:space="preserve">  All kW (Oct - Apr)</t>
  </si>
  <si>
    <t xml:space="preserve">  kWh (May-Sept)</t>
  </si>
  <si>
    <t xml:space="preserve">  kWh (Oct-Apr)</t>
  </si>
  <si>
    <t>Schedule 6 moving to 6A  - Residential</t>
  </si>
  <si>
    <t>Schedule 6 moving to 6A  - Commercial</t>
  </si>
  <si>
    <t>Schedule 6 moving to 6A  - Industrial</t>
  </si>
  <si>
    <t>Schedule 6-135 moving to 6A - Net Metering - Composite</t>
  </si>
  <si>
    <t>Schedule 6-135 moving to 6A - Net Metering - Residential</t>
  </si>
  <si>
    <t>Schedule 6-135 moving to 6A - Net Metering - Commercial</t>
  </si>
  <si>
    <t>Schedule 6-135 moving to 6A - Net Metering - Industrial</t>
  </si>
  <si>
    <t>Schedule 6-136 moving to 6A - Net Metering - Commercial</t>
  </si>
  <si>
    <t>Schedule 6B moving to 6A - Composite</t>
  </si>
  <si>
    <t xml:space="preserve">  All on-peak kW (Jun - Sept)</t>
  </si>
  <si>
    <t xml:space="preserve">  All on-peak kW (Oct - May)</t>
  </si>
  <si>
    <t xml:space="preserve">  All On-peak kW (May - Sept)</t>
  </si>
  <si>
    <t xml:space="preserve">  All On-peak kW (Oct - Apr)</t>
  </si>
  <si>
    <t>Schedule 6B moving to 6A - Residential</t>
  </si>
  <si>
    <t>Schedule 6B moving to 6A - Commercial</t>
  </si>
  <si>
    <t>Schedule 6B moving to 6A - Industrial</t>
  </si>
  <si>
    <t>Schedule No. 6 - Composite</t>
  </si>
  <si>
    <t>Schedule No. 6 - Residential</t>
  </si>
  <si>
    <t>Schedule No. 6 - Commercial</t>
  </si>
  <si>
    <t>Schedule No. 6 - Industrial</t>
  </si>
  <si>
    <t>Schedule No. 6-135 - Net Metering - Composite</t>
  </si>
  <si>
    <t>Schedule No. 6-135 - Net Metering - Residential</t>
  </si>
  <si>
    <t>Schedule No. 6-135 - Net Metering - Commercial</t>
  </si>
  <si>
    <t>Schedule No. 6-135 - Net Metering - Industrial</t>
  </si>
  <si>
    <t>Schedule No. 6-136 - Net Metering - Composite</t>
  </si>
  <si>
    <t>Schedule No. 6-136 - Net Metering - Commercial</t>
  </si>
  <si>
    <t>Schedule No. 6-136 - Net Metering - Industrial</t>
  </si>
  <si>
    <t>Schedule No. 6B - Demand Time-of-Day Option - Composite</t>
  </si>
  <si>
    <t>Schedule No. 6B - Demand Time-of-Day Option - Residential</t>
  </si>
  <si>
    <t>Schedule No. 6B - Demand Time-of-Day Option - Commercial</t>
  </si>
  <si>
    <t>Schedule No. 6B - Demand Time-of-Day Option - Industrial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</si>
  <si>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</si>
  <si>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</si>
  <si>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</si>
  <si>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</si>
  <si>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</si>
  <si>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Schedule No. 6A - Energy Time-of-Day Option - Residential</t>
  </si>
  <si>
    <t>Schedule No. 6A - Energy Time-of-Day Option - Commercial</t>
  </si>
  <si>
    <t>Schedule No. 6A - Energy Time-of-Day Option - Industrial</t>
  </si>
  <si>
    <t>Schedule No. 6A-135 - Composite</t>
  </si>
  <si>
    <t>Schedule No. 6A-135 - Residential</t>
  </si>
  <si>
    <t>Schedule No. 6A-135 - Commercial</t>
  </si>
  <si>
    <t>Schedule No. 6A-135 - Industrial</t>
  </si>
  <si>
    <t>Schedule No. 6A-136 - Commercial</t>
  </si>
  <si>
    <t>Schedule No. 7 - Security Area Lighting - Composite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</si>
  <si>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</si>
  <si>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</si>
  <si>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</si>
  <si>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</si>
  <si>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</si>
  <si>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</si>
  <si>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</si>
  <si>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</si>
  <si>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</si>
  <si>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</si>
  <si>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</si>
  <si>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</si>
  <si>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</si>
  <si>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</si>
  <si>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</si>
  <si>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</si>
  <si>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</si>
  <si>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</si>
  <si>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</si>
  <si>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</si>
  <si>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</si>
  <si>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</si>
  <si>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</si>
  <si>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</si>
  <si>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</si>
  <si>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</si>
  <si>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</si>
  <si>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</si>
  <si>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</si>
  <si>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</si>
  <si>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</si>
  <si>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</si>
  <si>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7 - Security Area Lighting - Residential</t>
  </si>
  <si>
    <t>RES</t>
  </si>
  <si>
    <t>Schedule No. 7 - Security Area Lighting - Commercial</t>
  </si>
  <si>
    <t>COM</t>
  </si>
  <si>
    <t>Schedule No. 7 - Security Area Lighting - Industrial</t>
  </si>
  <si>
    <t>IND</t>
  </si>
  <si>
    <t>Schedule No. 7 - Security Area Lighting - Public Street Lighting</t>
  </si>
  <si>
    <t>PSH</t>
  </si>
  <si>
    <t>Schedule No. 8 - Composite</t>
  </si>
  <si>
    <t xml:space="preserve">  On-Peak kW (Jun - Sept)</t>
  </si>
  <si>
    <t xml:space="preserve">  On-Peak kW (Oct - May)</t>
  </si>
  <si>
    <t xml:space="preserve">  On-Peak kWh (Oct - May)</t>
  </si>
  <si>
    <t xml:space="preserve">  Off-Peak kWh (Oct - May)</t>
  </si>
  <si>
    <t xml:space="preserve">  On-Peak kW (May - Sept)</t>
  </si>
  <si>
    <t xml:space="preserve">  On-Peak kW (Oct - Apr)</t>
  </si>
  <si>
    <t>Schedule No. 8 - Commercial</t>
  </si>
  <si>
    <t>Schedule No. 8 - Industrial</t>
  </si>
  <si>
    <t>Schedule No. 8-135 - Commercial</t>
  </si>
  <si>
    <t>Schedule No. 8-136 - Commercial</t>
  </si>
  <si>
    <t>Schedule No. 9 - Composite</t>
  </si>
  <si>
    <t xml:space="preserve">  On-Peak kWh (May-Sept)</t>
  </si>
  <si>
    <t xml:space="preserve">  On-Peak kWh (Oct-Apr)</t>
  </si>
  <si>
    <t>Schedule No. 9 - Commercial</t>
  </si>
  <si>
    <t>Schedule No. 9 - Industrial</t>
  </si>
  <si>
    <t>Schedule No. 9A - Energy TOD - Composite</t>
  </si>
  <si>
    <t xml:space="preserve">  Facilities Charge per kW</t>
  </si>
  <si>
    <t>On-peak kW summer</t>
  </si>
  <si>
    <t>On-peak kW winter</t>
  </si>
  <si>
    <t>On-peak kWh summer</t>
  </si>
  <si>
    <t>On-peak kWh winter</t>
  </si>
  <si>
    <t>Off-peak kWh summer</t>
  </si>
  <si>
    <t>Off-peak kWh winter</t>
  </si>
  <si>
    <t>Schedule No. 9A - Energy TOD - Commercial</t>
  </si>
  <si>
    <t>Schedule No. 9A - Energy TOD - Industrial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</si>
  <si>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</si>
  <si>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</si>
  <si>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</si>
  <si>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</si>
  <si>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</si>
  <si>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</si>
  <si>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</si>
  <si>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</si>
  <si>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</si>
  <si>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Customer Charge</t>
  </si>
  <si>
    <t xml:space="preserve">   kWh</t>
  </si>
  <si>
    <t>Total Post Season</t>
  </si>
  <si>
    <t>TOTAL RATE 10</t>
  </si>
  <si>
    <t>Schedule No. 10-135 - Irrigation</t>
  </si>
  <si>
    <t>TOTAL RATE 10-135</t>
  </si>
  <si>
    <t>Schedule No. 10-TOD</t>
  </si>
  <si>
    <t xml:space="preserve">   Monthly Cust. Serv. Chg.</t>
  </si>
  <si>
    <t xml:space="preserve">  Voltage Discount kW</t>
  </si>
  <si>
    <t>TOTAL RATE 10-TOD</t>
  </si>
  <si>
    <t xml:space="preserve"> </t>
  </si>
  <si>
    <t>Schedule No. 11 - Street Lighting - Company-Owned System</t>
  </si>
  <si>
    <t xml:space="preserve">  Light-Emitting Diode (LED)</t>
  </si>
  <si>
    <t xml:space="preserve">   4,000 Lumen - Functional</t>
  </si>
  <si>
    <t xml:space="preserve">   6,200 Lumen - Functional</t>
  </si>
  <si>
    <t xml:space="preserve">   13,000 Lumen - Functional</t>
  </si>
  <si>
    <t xml:space="preserve">   16,800 Lumen - Functional</t>
  </si>
  <si>
    <t xml:space="preserve">  Sodium Vapor Lamps (HPS)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</si>
  <si>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</si>
  <si>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</si>
  <si>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</si>
  <si>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</si>
  <si>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</si>
  <si>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</si>
  <si>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</si>
  <si>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</si>
  <si>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</si>
  <si>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</si>
  <si>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</si>
  <si>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</si>
  <si>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</si>
  <si>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</si>
  <si>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</si>
  <si>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 (MH)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</si>
  <si>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</si>
  <si>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</si>
  <si>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</si>
  <si>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</si>
  <si>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</si>
  <si>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</si>
  <si>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</si>
  <si>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</si>
  <si>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</si>
  <si>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</si>
  <si>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</si>
  <si>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 (MV)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</si>
  <si>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</si>
  <si>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</si>
  <si>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</si>
  <si>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 (INC)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</si>
  <si>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</si>
  <si>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</si>
  <si>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</si>
  <si>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</si>
  <si>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 (FLOUR)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</si>
  <si>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</si>
  <si>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</si>
  <si>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</si>
  <si>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</si>
  <si>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</si>
  <si>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</si>
  <si>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</si>
  <si>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</si>
  <si>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</si>
  <si>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</si>
  <si>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</si>
  <si>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</si>
  <si>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Metal Halide Lamps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</si>
  <si>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</si>
  <si>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</si>
  <si>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</si>
  <si>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</si>
  <si>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</si>
  <si>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</si>
  <si>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Customer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</si>
  <si>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</si>
  <si>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</si>
  <si>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</si>
  <si>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</si>
  <si>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</si>
  <si>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</si>
  <si>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</si>
  <si>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</si>
  <si>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</si>
  <si>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</si>
  <si>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</si>
  <si>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</si>
  <si>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</si>
  <si>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</si>
  <si>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</si>
  <si>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</si>
  <si>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</si>
  <si>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</si>
  <si>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</si>
  <si>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Sodium Vapor Lamps</t>
  </si>
  <si>
    <t xml:space="preserve">   107,000 Lumen </t>
  </si>
  <si>
    <t>kWh Street Lighting</t>
  </si>
  <si>
    <t>Schedule 15.1 - Metered Outdoor Nighttime Lighting - Composite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</si>
  <si>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</si>
  <si>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</si>
  <si>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</si>
  <si>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</si>
  <si>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</si>
  <si>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</si>
  <si>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15.1 - Metered Outdoor Nighttime Lighting - Commercial</t>
  </si>
  <si>
    <t>Schedule 15.1 - Metered Outdoor Nighttime Lighting - Industrial</t>
  </si>
  <si>
    <t>Schedule 15.1 - Metered Outdoor Nighttime Lighting - Public Street Lighting</t>
  </si>
  <si>
    <t>Schedule 15.2 - Traffic Signal Systems - Composite</t>
  </si>
  <si>
    <t xml:space="preserve"> Customer Charge</t>
  </si>
  <si>
    <t>Schedule 15.2 - Traffic Signal Systems - Commercial</t>
  </si>
  <si>
    <t>Schedule 15.2 - Traffic Signal Systems - Industrial</t>
  </si>
  <si>
    <t>Schedule 15.2 - Traffic Signal Systems - Public Street Lighting</t>
  </si>
  <si>
    <t>Schedule No. 21 - Electric Furnace Operations - Limited Service - Industrial</t>
  </si>
  <si>
    <t>Schedule 6A</t>
  </si>
  <si>
    <t>Schedule 9</t>
  </si>
  <si>
    <t xml:space="preserve"> Primary Voltage</t>
  </si>
  <si>
    <t xml:space="preserve">  Power Charge All kW</t>
  </si>
  <si>
    <t xml:space="preserve">  First 100,000 kWh</t>
  </si>
  <si>
    <t xml:space="preserve">  Subtotal</t>
  </si>
  <si>
    <t xml:space="preserve"> 44KV or Higher</t>
  </si>
  <si>
    <t>Schedule No.22 - Indoor Agricultural Lighting Service – 1,000 kW and Over</t>
  </si>
  <si>
    <t>Customer Service Charge</t>
  </si>
  <si>
    <t xml:space="preserve">     Secondary</t>
  </si>
  <si>
    <t xml:space="preserve">     Primary</t>
  </si>
  <si>
    <t xml:space="preserve">     Transmission</t>
  </si>
  <si>
    <t>Facilities Charge All kW</t>
  </si>
  <si>
    <t>Power Charge</t>
  </si>
  <si>
    <t xml:space="preserve">         Summer-On Peak kW</t>
  </si>
  <si>
    <t xml:space="preserve">         Winter-On Peak kW</t>
  </si>
  <si>
    <t xml:space="preserve">    Transmission</t>
  </si>
  <si>
    <t>Energy Charge</t>
  </si>
  <si>
    <t xml:space="preserve">         Summer-On Peak kWh</t>
  </si>
  <si>
    <t xml:space="preserve">         Summer-Off Peak kWh</t>
  </si>
  <si>
    <t xml:space="preserve">         Winter-On Peak kWh</t>
  </si>
  <si>
    <t xml:space="preserve">         Winter-Off Peak kWh</t>
  </si>
  <si>
    <t>Schedule No. 23 - Composite</t>
  </si>
  <si>
    <t xml:space="preserve">  kW over 15 (Jun - Sept)</t>
  </si>
  <si>
    <t xml:space="preserve">  kW over 15 (Oct - May)</t>
  </si>
  <si>
    <t xml:space="preserve">  First 1,500 kWh (Jun - Sept)</t>
  </si>
  <si>
    <t xml:space="preserve">  All Add'l kWh (Jun - Sept)</t>
  </si>
  <si>
    <t xml:space="preserve">  First 1,500 kWh (Oct - May)</t>
  </si>
  <si>
    <t xml:space="preserve">  All Add'l kWh (Oct - May)</t>
  </si>
  <si>
    <t xml:space="preserve">  kW over 15 (May - Sept)</t>
  </si>
  <si>
    <t xml:space="preserve">  kW over 15 (Oct - Apr)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</si>
  <si>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</si>
  <si>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</si>
  <si>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</si>
  <si>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</si>
  <si>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>Schedule No. 23 - Residential</t>
  </si>
  <si>
    <t>Schedule No. 23 - Commercial</t>
  </si>
  <si>
    <t>Schedule No. 23 - Industrial</t>
  </si>
  <si>
    <t>Schedule No. 23-135 - Composite</t>
  </si>
  <si>
    <t>Schedule No. 23-135 - Residential</t>
  </si>
  <si>
    <t>Schedule No. 23-135 - Commercial</t>
  </si>
  <si>
    <t>Schedule No. 23-135 - Industrial</t>
  </si>
  <si>
    <t>Schedule No. 23-136 - Composite</t>
  </si>
  <si>
    <t>Schedule No. 23-136 - Residential</t>
  </si>
  <si>
    <t>Schedule No. 23-136 - Commercial</t>
  </si>
  <si>
    <t>Schedule No.31 - Composite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</si>
  <si>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</si>
  <si>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</si>
  <si>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</si>
  <si>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</si>
  <si>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</si>
  <si>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     Jun - Sept</t>
  </si>
  <si>
    <t xml:space="preserve">              Oct - May</t>
  </si>
  <si>
    <t xml:space="preserve">         Maintenance, per On-Peak kW day</t>
  </si>
  <si>
    <t xml:space="preserve">     Excess Power, per kW month</t>
  </si>
  <si>
    <t xml:space="preserve">              May - Sept</t>
  </si>
  <si>
    <t xml:space="preserve">              Oct - Apr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</si>
  <si>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</si>
  <si>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</si>
  <si>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</si>
  <si>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</si>
  <si>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</si>
  <si>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</si>
  <si>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>Schedule No.31 - Commercial</t>
  </si>
  <si>
    <t>Schedule No. 31 - Industrial</t>
  </si>
  <si>
    <t>Schedule 32 - Service From Renewable Energy Facilities - Commercial</t>
  </si>
  <si>
    <t>Customer Charges:</t>
  </si>
  <si>
    <t xml:space="preserve">    Distribution Voltage &lt; 1 MW </t>
  </si>
  <si>
    <t xml:space="preserve">    Distribution Voltage &gt; 1 MW </t>
  </si>
  <si>
    <t xml:space="preserve">    Transmission Voltage </t>
  </si>
  <si>
    <t>Administrative Fee:</t>
  </si>
  <si>
    <t xml:space="preserve">    All Voltages / per Generator</t>
  </si>
  <si>
    <t xml:space="preserve">    All Voltages / per Delivery Point</t>
  </si>
  <si>
    <t>Delivery Facilities Charges:</t>
  </si>
  <si>
    <t xml:space="preserve">    Secondary Voltage &lt; 1 MW </t>
  </si>
  <si>
    <t xml:space="preserve">    Primary Voltage &lt; 1 MW </t>
  </si>
  <si>
    <t xml:space="preserve">    Secondary Voltage &gt; 1 MW </t>
  </si>
  <si>
    <t xml:space="preserve">    Primary Voltage &gt; 1 MW </t>
  </si>
  <si>
    <t>Daily Power Charges:</t>
  </si>
  <si>
    <t xml:space="preserve">    On-Peak Secondary Voltage &lt; 1 MW</t>
  </si>
  <si>
    <t xml:space="preserve">        June - September: </t>
  </si>
  <si>
    <t xml:space="preserve">        October - May: </t>
  </si>
  <si>
    <t xml:space="preserve">    On-Peak Primary Voltage &lt; 1 MW</t>
  </si>
  <si>
    <t xml:space="preserve">    On-Peak Secondary Voltage &gt; 1 MW</t>
  </si>
  <si>
    <t xml:space="preserve">    On-Peak Primary Voltage &gt; 1 MW</t>
  </si>
  <si>
    <t xml:space="preserve">    On-Peak Transmission Voltage</t>
  </si>
  <si>
    <t xml:space="preserve">        May - September: </t>
  </si>
  <si>
    <t xml:space="preserve">        October - April: </t>
  </si>
  <si>
    <t xml:space="preserve">        October - April:</t>
  </si>
  <si>
    <t>Renewable Energy PPA</t>
  </si>
  <si>
    <t>Schedule 34 - Renewable Energy Purchases for Qualified Customers – 5,000 kW and Over - Commercial</t>
  </si>
  <si>
    <t>Customer Charge</t>
  </si>
  <si>
    <t xml:space="preserve">  Total </t>
  </si>
  <si>
    <t>Contract 1</t>
  </si>
  <si>
    <t xml:space="preserve">  Monthly Fixed Charge</t>
  </si>
  <si>
    <t xml:space="preserve">  Customer Charge per HLH kW</t>
  </si>
  <si>
    <t xml:space="preserve">  Demand Charge per HLH kW (May - Sept)</t>
  </si>
  <si>
    <t xml:space="preserve">  Demand Charge per HLH kW  (Oct - Apr)</t>
  </si>
  <si>
    <t xml:space="preserve">  kWh HLH (May - Sept)</t>
  </si>
  <si>
    <t xml:space="preserve">  kWh LLH (May - Sept)</t>
  </si>
  <si>
    <t xml:space="preserve">  kWh HLH (Oct - Apr)</t>
  </si>
  <si>
    <t xml:space="preserve">  kWh LLH (Oct - Apr)</t>
  </si>
  <si>
    <t>Contract 2</t>
  </si>
  <si>
    <t xml:space="preserve">  Off-Peak kWh (Oct-Apr)</t>
  </si>
  <si>
    <t>Contract 3</t>
  </si>
  <si>
    <t>Block 1</t>
  </si>
  <si>
    <t>Block 2 - Market</t>
  </si>
  <si>
    <t>Block 2 - Index</t>
  </si>
  <si>
    <t>Lighting Contract - Post Top Lighting - Composite</t>
  </si>
  <si>
    <t>Energy Only Res</t>
  </si>
  <si>
    <t>Energy Only Non-Res</t>
  </si>
  <si>
    <t xml:space="preserve">  KWH Included</t>
  </si>
  <si>
    <t>Lighting Contract - Post Top Lighting - Commercial</t>
  </si>
  <si>
    <t>Lighting Contract - Post Top Lighting - Residential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</si>
  <si>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</si>
  <si>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</si>
  <si>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</si>
  <si>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</si>
  <si>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</si>
  <si>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</si>
  <si>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 Total AGA</t>
  </si>
  <si>
    <t>TOTAL - ALL CLASSES</t>
  </si>
  <si>
    <t>Line</t>
  </si>
  <si>
    <t>Sch</t>
  </si>
  <si>
    <t>No.</t>
  </si>
  <si>
    <t>Description</t>
  </si>
  <si>
    <t>($000)</t>
  </si>
  <si>
    <t>Residential</t>
  </si>
  <si>
    <t>1/3</t>
  </si>
  <si>
    <t>Res. Optional TOD</t>
  </si>
  <si>
    <t>2/2E</t>
  </si>
  <si>
    <t>AGA/Revenue Credit</t>
  </si>
  <si>
    <t>Total Residential</t>
  </si>
  <si>
    <t>Commercial &amp; Industrial</t>
  </si>
  <si>
    <t>Gen. Svc. Dist.</t>
  </si>
  <si>
    <t>Gen. Svc. Dist. Energy TOD</t>
  </si>
  <si>
    <t>6A</t>
  </si>
  <si>
    <t>Gen. Svc. Dist. Demand TOD</t>
  </si>
  <si>
    <t>6B</t>
  </si>
  <si>
    <t>Subtotal Schedule 6</t>
  </si>
  <si>
    <t>Gen. Svc. Dist. &gt; 1,000 kW</t>
  </si>
  <si>
    <t>Gen. Svc. High Voltage</t>
  </si>
  <si>
    <t>Gen. Svc. H.V. Energy TOD</t>
  </si>
  <si>
    <t>9A</t>
  </si>
  <si>
    <t>Subtotal Schedule 9</t>
  </si>
  <si>
    <t>Irrigation</t>
  </si>
  <si>
    <t>Irrigation TOD</t>
  </si>
  <si>
    <t>10TOD</t>
  </si>
  <si>
    <t>Subtotal Irrigation</t>
  </si>
  <si>
    <t>Electric Furnace</t>
  </si>
  <si>
    <t>Gen. Svc. Dist. Small</t>
  </si>
  <si>
    <t>Partial Req. Svc. &gt;= 1,000 kW</t>
  </si>
  <si>
    <t>Svc. From Ren. Ene. Facilities</t>
  </si>
  <si>
    <t>Ren. Ene. Pur. for Qlf. Cust &gt; 5,000 kW</t>
  </si>
  <si>
    <t>Total Commercial &amp; Industrial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</si>
  <si>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</si>
  <si>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</si>
  <si>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</si>
  <si>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</si>
  <si>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</si>
  <si>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</si>
  <si>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</si>
  <si>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 LG-Contracts (PTL)</t>
  </si>
  <si>
    <t>Total Public Street Lighting</t>
  </si>
  <si>
    <t>Total Sales to Ultimate Customers</t>
  </si>
  <si>
    <t>Difference</t>
  </si>
  <si>
    <t>TAA 1 (1/1/2021)</t>
  </si>
  <si>
    <t>Total Residential Base Revenues</t>
  </si>
  <si>
    <t>Ordered</t>
  </si>
  <si>
    <t>Calculated</t>
  </si>
  <si>
    <t>Schedule 197 Revenue Comparison Ordered vs. Calculated</t>
  </si>
  <si>
    <t>TAA revenue - calculated</t>
  </si>
  <si>
    <t>TAA revenue (calculated - ordered)</t>
  </si>
  <si>
    <t>Ordered Year 2 TAA price</t>
  </si>
  <si>
    <t>Base Revenue</t>
  </si>
  <si>
    <t>Schedule 197 Revenue</t>
  </si>
  <si>
    <t>1/1/2022</t>
  </si>
  <si>
    <t>1/1/2021</t>
  </si>
  <si>
    <t>Residential Schedule 197 Comparison and Price Calculation</t>
  </si>
  <si>
    <t>Residential Schedule 197 Price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</si>
</sst>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#,##0.0000_);\(#,##0.0000\)"/>
    <numFmt numFmtId="167" formatCode="0.0000_);[Red]\(0.0000\)"/>
    <numFmt numFmtId="168" formatCode="0.0000_)"/>
    <numFmt numFmtId="169" formatCode="0.0000"/>
    <numFmt numFmtId="170" formatCode="&quot;$&quot;#,##0"/>
    <numFmt numFmtId="171" formatCode="#,##0.0000"/>
    <numFmt numFmtId="172" formatCode="_(* #,##0.0000_);_(* \(#,##0.0000\);_(* &quot;-&quot;??_);_(@_)"/>
    <numFmt numFmtId="173" formatCode="&quot;$&quot;#,##0.00"/>
    <numFmt numFmtId="174" formatCode="&quot;$&quot;#,##0.0000_);\(&quot;$&quot;#,##0.0000\)"/>
    <numFmt numFmtId="175" formatCode="0.00000"/>
    <numFmt numFmtId="176" formatCode="0_);\(0\)"/>
    <numFmt numFmtId="177" formatCode="_(* #,##0_);_(* \(#,##0\);_(* &quot;-&quot;??_);_(@_)"/>
    <numFmt numFmtId="178" formatCode="_(&quot;$&quot;* #,##0_);_(&quot;$&quot;* \(#,##0\);_(&quot;$&quot;* &quot;-&quot;??_);_(@_)"/>
  </numFmts>
  <fonts count="17" x14ac:knownFonts="1">
    <font>
      <sz val="12"/>
      <name val="Times New Roman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8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4" fontId="2" fillId="0" borderId="0"/>
    <xf numFmtId="44" fontId="10" fillId="0" borderId="0" applyFont="0" applyFill="0" applyBorder="0" applyAlignment="0" applyProtection="0"/>
  </cellStyleXfs>
  <cellXfs count="252">
    <xf numFmtId="0" fontId="0" fillId="0" borderId="0" xfId="0"/>
    <xf numFmtId="3" fontId="1" fillId="0" borderId="0" xfId="0" applyNumberFormat="1" applyFont="1" applyAlignment="1">
      <alignment horizontal="centerContinuous"/>
    </xf>
    <xf numFmtId="164" fontId="3" fillId="0" borderId="0" xfId="1" applyFont="1" applyAlignment="1">
      <alignment horizontal="centerContinuous"/>
    </xf>
    <xf numFmtId="37" fontId="3" fillId="0" borderId="0" xfId="1" applyNumberFormat="1" applyFont="1" applyAlignment="1">
      <alignment horizontal="centerContinuous"/>
    </xf>
    <xf numFmtId="5" fontId="3" fillId="0" borderId="0" xfId="1" applyNumberFormat="1" applyFont="1" applyAlignment="1">
      <alignment horizontal="centerContinuous"/>
    </xf>
    <xf numFmtId="164" fontId="4" fillId="0" borderId="0" xfId="1" applyFont="1"/>
    <xf numFmtId="37" fontId="4" fillId="0" borderId="0" xfId="1" applyNumberFormat="1" applyFont="1"/>
    <xf numFmtId="5" fontId="4" fillId="0" borderId="0" xfId="1" applyNumberFormat="1" applyFont="1"/>
    <xf numFmtId="37" fontId="5" fillId="0" borderId="0" xfId="1" applyNumberFormat="1" applyFont="1" applyAlignment="1">
      <alignment horizontal="center"/>
    </xf>
    <xf numFmtId="164" fontId="5" fillId="0" borderId="1" xfId="1" applyFont="1" applyBorder="1" applyAlignment="1">
      <alignment horizontal="centerContinuous"/>
    </xf>
    <xf numFmtId="5" fontId="5" fillId="0" borderId="1" xfId="1" applyNumberFormat="1" applyFont="1" applyBorder="1" applyAlignment="1">
      <alignment horizontal="centerContinuous"/>
    </xf>
    <xf numFmtId="37" fontId="5" fillId="0" borderId="1" xfId="1" applyNumberFormat="1" applyFont="1" applyBorder="1" applyAlignment="1">
      <alignment horizontal="centerContinuous"/>
    </xf>
    <xf numFmtId="164" fontId="5" fillId="0" borderId="0" xfId="1" applyFont="1" applyAlignment="1">
      <alignment horizontal="center"/>
    </xf>
    <xf numFmtId="5" fontId="5" fillId="0" borderId="2" xfId="1" applyNumberFormat="1" applyFont="1" applyBorder="1" applyAlignment="1">
      <alignment horizontal="centerContinuous"/>
    </xf>
    <xf numFmtId="164" fontId="5" fillId="0" borderId="2" xfId="1" applyFont="1" applyBorder="1" applyAlignment="1">
      <alignment horizontal="centerContinuous"/>
    </xf>
    <xf numFmtId="164" fontId="5" fillId="0" borderId="0" xfId="1" applyFont="1" applyAlignment="1">
      <alignment horizontal="left"/>
    </xf>
    <xf numFmtId="164" fontId="4" fillId="0" borderId="0" xfId="2" applyFont="1"/>
    <xf numFmtId="37" fontId="5" fillId="0" borderId="1" xfId="1" quotePrefix="1" applyNumberFormat="1" applyFont="1" applyBorder="1" applyAlignment="1">
      <alignment horizontal="center"/>
    </xf>
    <xf numFmtId="5" fontId="4" fillId="0" borderId="0" xfId="2" applyNumberFormat="1" applyFont="1"/>
    <xf numFmtId="164" fontId="4" fillId="0" borderId="0" xfId="1" applyFont="1" applyAlignment="1">
      <alignment horizontal="left"/>
    </xf>
    <xf numFmtId="7" fontId="4" fillId="0" borderId="0" xfId="1" applyNumberFormat="1" applyFont="1" applyProtection="1">
      <protection locked="0"/>
    </xf>
    <xf numFmtId="7" fontId="4" fillId="0" borderId="0" xfId="2" applyNumberFormat="1" applyFont="1" applyProtection="1">
      <protection locked="0"/>
    </xf>
    <xf numFmtId="7" fontId="6" fillId="0" borderId="0" xfId="1" applyNumberFormat="1" applyFont="1" applyProtection="1">
      <protection locked="0"/>
    </xf>
    <xf numFmtId="10" fontId="4" fillId="0" borderId="0" xfId="1" applyNumberFormat="1" applyFont="1"/>
    <xf numFmtId="7" fontId="4" fillId="0" borderId="0" xfId="1" applyNumberFormat="1" applyFont="1"/>
    <xf numFmtId="166" fontId="4" fillId="0" borderId="0" xfId="1" applyNumberFormat="1" applyFont="1" applyProtection="1">
      <protection locked="0"/>
    </xf>
    <xf numFmtId="0" fontId="4" fillId="0" borderId="0" xfId="0" applyFont="1"/>
    <xf numFmtId="166" fontId="4" fillId="0" borderId="0" xfId="2" applyNumberFormat="1" applyFont="1" applyProtection="1">
      <protection locked="0"/>
    </xf>
    <xf numFmtId="167" fontId="4" fillId="0" borderId="0" xfId="1" applyNumberFormat="1" applyFont="1" applyProtection="1">
      <protection locked="0"/>
    </xf>
    <xf numFmtId="164" fontId="7" fillId="0" borderId="0" xfId="1" applyFont="1"/>
    <xf numFmtId="168" fontId="4" fillId="0" borderId="0" xfId="1" applyNumberFormat="1" applyFont="1" applyProtection="1">
      <protection locked="0"/>
    </xf>
    <xf numFmtId="168" fontId="4" fillId="0" borderId="0" xfId="2" applyNumberFormat="1" applyFont="1" applyProtection="1">
      <protection locked="0"/>
    </xf>
    <xf numFmtId="164" fontId="4" fillId="0" borderId="0" xfId="2" applyFont="1" applyAlignment="1">
      <alignment horizontal="left"/>
    </xf>
    <xf numFmtId="164" fontId="7" fillId="0" borderId="0" xfId="2" applyFont="1"/>
    <xf numFmtId="37" fontId="4" fillId="0" borderId="0" xfId="2" applyNumberFormat="1" applyFont="1"/>
    <xf numFmtId="0" fontId="4" fillId="0" borderId="0" xfId="3" applyFont="1"/>
    <xf numFmtId="37" fontId="4" fillId="0" borderId="3" xfId="1" applyNumberFormat="1" applyFont="1" applyBorder="1"/>
    <xf numFmtId="5" fontId="4" fillId="0" borderId="3" xfId="1" applyNumberFormat="1" applyFont="1" applyBorder="1"/>
    <xf numFmtId="37" fontId="4" fillId="0" borderId="4" xfId="1" applyNumberFormat="1" applyFont="1" applyBorder="1"/>
    <xf numFmtId="164" fontId="4" fillId="0" borderId="4" xfId="1" applyFont="1" applyBorder="1"/>
    <xf numFmtId="5" fontId="4" fillId="0" borderId="4" xfId="1" applyNumberFormat="1" applyFont="1" applyBorder="1"/>
    <xf numFmtId="164" fontId="4" fillId="0" borderId="5" xfId="1" applyFont="1" applyBorder="1"/>
    <xf numFmtId="164" fontId="5" fillId="0" borderId="0" xfId="2" applyFont="1" applyAlignment="1">
      <alignment horizontal="left"/>
    </xf>
    <xf numFmtId="37" fontId="4" fillId="0" borderId="3" xfId="2" applyNumberFormat="1" applyFont="1" applyBorder="1"/>
    <xf numFmtId="37" fontId="4" fillId="0" borderId="4" xfId="2" applyNumberFormat="1" applyFont="1" applyBorder="1"/>
    <xf numFmtId="164" fontId="3" fillId="0" borderId="0" xfId="1" applyFont="1" applyFill="1" applyAlignment="1">
      <alignment horizontal="centerContinuous"/>
    </xf>
    <xf numFmtId="5" fontId="3" fillId="0" borderId="0" xfId="1" applyNumberFormat="1" applyFont="1" applyFill="1" applyAlignment="1">
      <alignment horizontal="centerContinuous"/>
    </xf>
    <xf numFmtId="164" fontId="5" fillId="0" borderId="1" xfId="1" applyFont="1" applyFill="1" applyBorder="1" applyAlignment="1">
      <alignment horizontal="centerContinuous"/>
    </xf>
    <xf numFmtId="5" fontId="5" fillId="0" borderId="1" xfId="1" applyNumberFormat="1" applyFont="1" applyFill="1" applyBorder="1" applyAlignment="1">
      <alignment horizontal="centerContinuous"/>
    </xf>
    <xf numFmtId="164" fontId="5" fillId="0" borderId="2" xfId="1" applyFont="1" applyFill="1" applyBorder="1" applyAlignment="1">
      <alignment horizontal="centerContinuous"/>
    </xf>
    <xf numFmtId="164" fontId="5" fillId="0" borderId="0" xfId="1" applyFont="1" applyFill="1" applyAlignment="1">
      <alignment horizontal="left"/>
    </xf>
    <xf numFmtId="5" fontId="5" fillId="0" borderId="2" xfId="1" applyNumberFormat="1" applyFont="1" applyFill="1" applyBorder="1" applyAlignment="1">
      <alignment horizontal="centerContinuous"/>
    </xf>
    <xf numFmtId="164" fontId="5" fillId="0" borderId="0" xfId="1" applyFont="1" applyFill="1" applyAlignment="1">
      <alignment horizontal="center"/>
    </xf>
    <xf numFmtId="164" fontId="4" fillId="0" borderId="0" xfId="1" applyFont="1" applyFill="1"/>
    <xf numFmtId="5" fontId="4" fillId="0" borderId="0" xfId="1" applyNumberFormat="1" applyFont="1" applyFill="1"/>
    <xf numFmtId="7" fontId="4" fillId="0" borderId="0" xfId="1" applyNumberFormat="1" applyFont="1" applyFill="1" applyProtection="1">
      <protection locked="0"/>
    </xf>
    <xf numFmtId="7" fontId="6" fillId="0" borderId="0" xfId="1" applyNumberFormat="1" applyFont="1" applyFill="1" applyProtection="1">
      <protection locked="0"/>
    </xf>
    <xf numFmtId="7" fontId="4" fillId="0" borderId="0" xfId="1" applyNumberFormat="1" applyFont="1" applyFill="1"/>
    <xf numFmtId="166" fontId="4" fillId="0" borderId="0" xfId="1" applyNumberFormat="1" applyFont="1" applyFill="1" applyProtection="1">
      <protection locked="0"/>
    </xf>
    <xf numFmtId="0" fontId="4" fillId="0" borderId="0" xfId="0" applyFont="1" applyFill="1"/>
    <xf numFmtId="167" fontId="4" fillId="0" borderId="0" xfId="1" applyNumberFormat="1" applyFont="1" applyFill="1" applyProtection="1">
      <protection locked="0"/>
    </xf>
    <xf numFmtId="168" fontId="4" fillId="0" borderId="0" xfId="1" applyNumberFormat="1" applyFont="1" applyFill="1" applyProtection="1">
      <protection locked="0"/>
    </xf>
    <xf numFmtId="168" fontId="4" fillId="0" borderId="0" xfId="2" applyNumberFormat="1" applyFont="1" applyFill="1" applyProtection="1">
      <protection locked="0"/>
    </xf>
    <xf numFmtId="0" fontId="4" fillId="0" borderId="0" xfId="3" applyFont="1" applyFill="1"/>
    <xf numFmtId="5" fontId="4" fillId="0" borderId="3" xfId="1" applyNumberFormat="1" applyFont="1" applyFill="1" applyBorder="1"/>
    <xf numFmtId="10" fontId="4" fillId="0" borderId="0" xfId="1" applyNumberFormat="1" applyFont="1" applyFill="1"/>
    <xf numFmtId="164" fontId="4" fillId="0" borderId="4" xfId="1" applyFont="1" applyFill="1" applyBorder="1"/>
    <xf numFmtId="5" fontId="4" fillId="0" borderId="4" xfId="1" applyNumberFormat="1" applyFont="1" applyFill="1" applyBorder="1"/>
    <xf numFmtId="164" fontId="4" fillId="0" borderId="5" xfId="1" applyFont="1" applyFill="1" applyBorder="1"/>
    <xf numFmtId="164" fontId="4" fillId="0" borderId="0" xfId="2" applyFont="1" applyFill="1"/>
    <xf numFmtId="5" fontId="4" fillId="0" borderId="0" xfId="2" applyNumberFormat="1" applyFont="1" applyFill="1"/>
    <xf numFmtId="7" fontId="4" fillId="0" borderId="0" xfId="2" applyNumberFormat="1" applyFont="1" applyFill="1" applyProtection="1">
      <protection locked="0"/>
    </xf>
    <xf numFmtId="166" fontId="4" fillId="0" borderId="0" xfId="2" applyNumberFormat="1" applyFont="1" applyFill="1" applyProtection="1">
      <protection locked="0"/>
    </xf>
    <xf numFmtId="164" fontId="5" fillId="0" borderId="4" xfId="1" applyFont="1" applyBorder="1"/>
    <xf numFmtId="0" fontId="9" fillId="0" borderId="1" xfId="5" applyFont="1" applyBorder="1" applyAlignment="1">
      <alignment horizontal="centerContinuous"/>
    </xf>
    <xf numFmtId="0" fontId="8" fillId="0" borderId="1" xfId="5" applyBorder="1" applyAlignment="1">
      <alignment horizontal="centerContinuous"/>
    </xf>
    <xf numFmtId="0" fontId="8" fillId="0" borderId="0" xfId="5"/>
    <xf numFmtId="0" fontId="9" fillId="0" borderId="6" xfId="5" applyFont="1" applyBorder="1" applyAlignment="1">
      <alignment horizontal="center"/>
    </xf>
    <xf numFmtId="169" fontId="8" fillId="0" borderId="0" xfId="5" applyNumberFormat="1"/>
    <xf numFmtId="0" fontId="8" fillId="0" borderId="0" xfId="5" applyAlignment="1">
      <alignment horizontal="left"/>
    </xf>
    <xf numFmtId="0" fontId="8" fillId="0" borderId="0" xfId="5" applyAlignment="1">
      <alignment horizontal="right"/>
    </xf>
    <xf numFmtId="0" fontId="8" fillId="0" borderId="1" xfId="5" applyBorder="1"/>
    <xf numFmtId="0" fontId="8" fillId="0" borderId="1" xfId="5" applyBorder="1" applyAlignment="1">
      <alignment horizontal="right"/>
    </xf>
    <xf numFmtId="169" fontId="8" fillId="0" borderId="1" xfId="5" applyNumberFormat="1" applyBorder="1"/>
    <xf numFmtId="9" fontId="4" fillId="0" borderId="0" xfId="1" applyNumberFormat="1" applyFont="1"/>
    <xf numFmtId="5" fontId="5" fillId="0" borderId="6" xfId="1" applyNumberFormat="1" applyFont="1" applyBorder="1" applyAlignment="1">
      <alignment horizontal="centerContinuous"/>
    </xf>
    <xf numFmtId="164" fontId="5" fillId="0" borderId="6" xfId="1" applyFont="1" applyBorder="1" applyAlignment="1">
      <alignment horizontal="centerContinuous"/>
    </xf>
    <xf numFmtId="10" fontId="4" fillId="0" borderId="0" xfId="2" applyNumberFormat="1" applyFont="1"/>
    <xf numFmtId="164" fontId="5" fillId="0" borderId="3" xfId="1" quotePrefix="1" applyFont="1" applyBorder="1" applyAlignment="1">
      <alignment horizontal="center"/>
    </xf>
    <xf numFmtId="5" fontId="5" fillId="0" borderId="3" xfId="1" applyNumberFormat="1" applyFont="1" applyBorder="1" applyAlignment="1">
      <alignment horizontal="center"/>
    </xf>
    <xf numFmtId="37" fontId="4" fillId="0" borderId="0" xfId="2" applyNumberFormat="1" applyFont="1" applyProtection="1">
      <protection locked="0"/>
    </xf>
    <xf numFmtId="5" fontId="4" fillId="0" borderId="0" xfId="2" applyNumberFormat="1" applyFont="1" applyProtection="1">
      <protection locked="0"/>
    </xf>
    <xf numFmtId="167" fontId="4" fillId="0" borderId="0" xfId="2" applyNumberFormat="1" applyFont="1" applyProtection="1">
      <protection locked="0"/>
    </xf>
    <xf numFmtId="10" fontId="4" fillId="0" borderId="0" xfId="1" applyNumberFormat="1" applyFont="1" applyAlignment="1">
      <alignment horizontal="right"/>
    </xf>
    <xf numFmtId="5" fontId="4" fillId="0" borderId="4" xfId="2" applyNumberFormat="1" applyFont="1" applyBorder="1"/>
    <xf numFmtId="5" fontId="4" fillId="0" borderId="5" xfId="1" applyNumberFormat="1" applyFont="1" applyBorder="1"/>
    <xf numFmtId="5" fontId="4" fillId="0" borderId="3" xfId="2" applyNumberFormat="1" applyFont="1" applyBorder="1"/>
    <xf numFmtId="164" fontId="4" fillId="0" borderId="5" xfId="2" applyFont="1" applyBorder="1"/>
    <xf numFmtId="5" fontId="4" fillId="0" borderId="5" xfId="2" applyNumberFormat="1" applyFont="1" applyBorder="1"/>
    <xf numFmtId="166" fontId="4" fillId="0" borderId="0" xfId="1" applyNumberFormat="1" applyFont="1"/>
    <xf numFmtId="168" fontId="4" fillId="0" borderId="0" xfId="1" applyNumberFormat="1" applyFont="1"/>
    <xf numFmtId="37" fontId="4" fillId="0" borderId="5" xfId="1" applyNumberFormat="1" applyFont="1" applyBorder="1"/>
    <xf numFmtId="49" fontId="4" fillId="0" borderId="0" xfId="1" applyNumberFormat="1" applyFont="1" applyAlignment="1">
      <alignment horizontal="left"/>
    </xf>
    <xf numFmtId="7" fontId="4" fillId="0" borderId="0" xfId="2" applyNumberFormat="1" applyFont="1"/>
    <xf numFmtId="168" fontId="4" fillId="0" borderId="0" xfId="2" applyNumberFormat="1" applyFont="1"/>
    <xf numFmtId="166" fontId="6" fillId="0" borderId="0" xfId="1" applyNumberFormat="1" applyFont="1"/>
    <xf numFmtId="164" fontId="7" fillId="0" borderId="0" xfId="1" applyFont="1" applyAlignment="1">
      <alignment horizontal="left"/>
    </xf>
    <xf numFmtId="37" fontId="4" fillId="0" borderId="0" xfId="1" applyNumberFormat="1" applyFont="1" applyProtection="1">
      <protection locked="0"/>
    </xf>
    <xf numFmtId="37" fontId="4" fillId="0" borderId="7" xfId="1" applyNumberFormat="1" applyFont="1" applyBorder="1" applyProtection="1">
      <protection locked="0"/>
    </xf>
    <xf numFmtId="164" fontId="4" fillId="0" borderId="7" xfId="1" applyFont="1" applyBorder="1"/>
    <xf numFmtId="5" fontId="4" fillId="0" borderId="7" xfId="1" applyNumberFormat="1" applyFont="1" applyBorder="1"/>
    <xf numFmtId="37" fontId="4" fillId="0" borderId="4" xfId="1" applyNumberFormat="1" applyFont="1" applyBorder="1" applyProtection="1">
      <protection locked="0"/>
    </xf>
    <xf numFmtId="171" fontId="4" fillId="0" borderId="0" xfId="1" applyNumberFormat="1" applyFont="1" applyProtection="1">
      <protection locked="0"/>
    </xf>
    <xf numFmtId="0" fontId="12" fillId="0" borderId="0" xfId="8" applyFont="1"/>
    <xf numFmtId="37" fontId="12" fillId="0" borderId="0" xfId="8" applyNumberFormat="1" applyFont="1"/>
    <xf numFmtId="5" fontId="12" fillId="0" borderId="0" xfId="8" applyNumberFormat="1" applyFont="1"/>
    <xf numFmtId="164" fontId="4" fillId="0" borderId="0" xfId="1" applyFont="1" applyProtection="1">
      <protection locked="0"/>
    </xf>
    <xf numFmtId="169" fontId="4" fillId="0" borderId="0" xfId="1" applyNumberFormat="1" applyFont="1" applyProtection="1">
      <protection locked="0"/>
    </xf>
    <xf numFmtId="164" fontId="4" fillId="0" borderId="3" xfId="1" applyFont="1" applyBorder="1"/>
    <xf numFmtId="164" fontId="7" fillId="0" borderId="0" xfId="2" applyFont="1" applyAlignment="1">
      <alignment horizontal="left"/>
    </xf>
    <xf numFmtId="37" fontId="4" fillId="0" borderId="5" xfId="1" applyNumberFormat="1" applyFont="1" applyBorder="1" applyProtection="1">
      <protection locked="0"/>
    </xf>
    <xf numFmtId="37" fontId="4" fillId="0" borderId="3" xfId="1" applyNumberFormat="1" applyFont="1" applyBorder="1" applyProtection="1">
      <protection locked="0"/>
    </xf>
    <xf numFmtId="170" fontId="4" fillId="0" borderId="5" xfId="7" applyNumberFormat="1" applyFont="1" applyFill="1" applyBorder="1"/>
    <xf numFmtId="170" fontId="4" fillId="0" borderId="0" xfId="7" applyNumberFormat="1" applyFont="1" applyFill="1" applyBorder="1"/>
    <xf numFmtId="5" fontId="4" fillId="0" borderId="5" xfId="7" applyNumberFormat="1" applyFont="1" applyFill="1" applyBorder="1"/>
    <xf numFmtId="164" fontId="13" fillId="0" borderId="0" xfId="1" applyFont="1" applyAlignment="1">
      <alignment horizontal="left"/>
    </xf>
    <xf numFmtId="172" fontId="4" fillId="0" borderId="0" xfId="7" applyNumberFormat="1" applyFont="1" applyFill="1" applyBorder="1" applyProtection="1">
      <protection locked="0"/>
    </xf>
    <xf numFmtId="49" fontId="5" fillId="0" borderId="0" xfId="1" applyNumberFormat="1" applyFont="1"/>
    <xf numFmtId="7" fontId="4" fillId="0" borderId="5" xfId="7" applyNumberFormat="1" applyFont="1" applyFill="1" applyBorder="1"/>
    <xf numFmtId="37" fontId="4" fillId="0" borderId="7" xfId="1" applyNumberFormat="1" applyFont="1" applyBorder="1"/>
    <xf numFmtId="37" fontId="4" fillId="0" borderId="1" xfId="1" applyNumberFormat="1" applyFont="1" applyBorder="1"/>
    <xf numFmtId="10" fontId="4" fillId="0" borderId="0" xfId="6" applyNumberFormat="1" applyFont="1" applyFill="1"/>
    <xf numFmtId="10" fontId="4" fillId="0" borderId="0" xfId="6" applyNumberFormat="1" applyFont="1" applyFill="1" applyBorder="1"/>
    <xf numFmtId="5" fontId="4" fillId="0" borderId="0" xfId="1" applyNumberFormat="1" applyFont="1" applyProtection="1">
      <protection locked="0"/>
    </xf>
    <xf numFmtId="164" fontId="14" fillId="0" borderId="0" xfId="1" applyFont="1" applyAlignment="1">
      <alignment horizontal="left"/>
    </xf>
    <xf numFmtId="172" fontId="4" fillId="0" borderId="0" xfId="7" applyNumberFormat="1" applyFont="1" applyFill="1" applyProtection="1">
      <protection locked="0"/>
    </xf>
    <xf numFmtId="173" fontId="4" fillId="0" borderId="0" xfId="1" applyNumberFormat="1" applyFont="1" applyProtection="1">
      <protection locked="0"/>
    </xf>
    <xf numFmtId="173" fontId="4" fillId="0" borderId="0" xfId="1" applyNumberFormat="1" applyFont="1"/>
    <xf numFmtId="174" fontId="4" fillId="0" borderId="0" xfId="1" applyNumberFormat="1" applyFont="1" applyProtection="1">
      <protection locked="0"/>
    </xf>
    <xf numFmtId="174" fontId="4" fillId="0" borderId="0" xfId="1" applyNumberFormat="1" applyFont="1"/>
    <xf numFmtId="169" fontId="4" fillId="0" borderId="0" xfId="1" applyNumberFormat="1" applyFont="1"/>
    <xf numFmtId="5" fontId="4" fillId="0" borderId="1" xfId="1" applyNumberFormat="1" applyFont="1" applyBorder="1"/>
    <xf numFmtId="168" fontId="4" fillId="0" borderId="1" xfId="1" applyNumberFormat="1" applyFont="1" applyBorder="1"/>
    <xf numFmtId="166" fontId="4" fillId="0" borderId="1" xfId="1" applyNumberFormat="1" applyFont="1" applyBorder="1"/>
    <xf numFmtId="10" fontId="4" fillId="0" borderId="6" xfId="1" applyNumberFormat="1" applyFont="1" applyBorder="1"/>
    <xf numFmtId="5" fontId="4" fillId="0" borderId="6" xfId="1" applyNumberFormat="1" applyFont="1" applyBorder="1"/>
    <xf numFmtId="175" fontId="4" fillId="0" borderId="0" xfId="2" applyNumberFormat="1" applyFont="1"/>
    <xf numFmtId="0" fontId="3" fillId="0" borderId="8" xfId="0" applyFont="1" applyBorder="1" applyAlignment="1">
      <alignment horizontal="left"/>
    </xf>
    <xf numFmtId="173" fontId="4" fillId="0" borderId="0" xfId="2" applyNumberFormat="1" applyFont="1" applyProtection="1">
      <protection locked="0"/>
    </xf>
    <xf numFmtId="173" fontId="4" fillId="0" borderId="0" xfId="2" applyNumberFormat="1" applyFont="1"/>
    <xf numFmtId="174" fontId="4" fillId="0" borderId="0" xfId="2" applyNumberFormat="1" applyFont="1" applyProtection="1">
      <protection locked="0"/>
    </xf>
    <xf numFmtId="174" fontId="4" fillId="0" borderId="0" xfId="2" applyNumberFormat="1" applyFont="1"/>
    <xf numFmtId="166" fontId="4" fillId="0" borderId="0" xfId="2" applyNumberFormat="1" applyFont="1"/>
    <xf numFmtId="0" fontId="4" fillId="0" borderId="0" xfId="4" applyFont="1"/>
    <xf numFmtId="37" fontId="4" fillId="0" borderId="3" xfId="2" applyNumberFormat="1" applyFont="1" applyBorder="1" applyProtection="1">
      <protection locked="0"/>
    </xf>
    <xf numFmtId="164" fontId="14" fillId="0" borderId="0" xfId="2" applyFont="1" applyAlignment="1">
      <alignment horizontal="left"/>
    </xf>
    <xf numFmtId="5" fontId="4" fillId="0" borderId="0" xfId="2" quotePrefix="1" applyNumberFormat="1" applyFont="1"/>
    <xf numFmtId="166" fontId="4" fillId="0" borderId="7" xfId="2" applyNumberFormat="1" applyFont="1" applyBorder="1"/>
    <xf numFmtId="5" fontId="4" fillId="0" borderId="7" xfId="2" applyNumberFormat="1" applyFont="1" applyBorder="1"/>
    <xf numFmtId="37" fontId="4" fillId="0" borderId="7" xfId="2" applyNumberFormat="1" applyFont="1" applyBorder="1"/>
    <xf numFmtId="37" fontId="4" fillId="0" borderId="5" xfId="2" applyNumberFormat="1" applyFont="1" applyBorder="1"/>
    <xf numFmtId="168" fontId="4" fillId="0" borderId="5" xfId="1" applyNumberFormat="1" applyFont="1" applyBorder="1"/>
    <xf numFmtId="37" fontId="4" fillId="0" borderId="9" xfId="1" applyNumberFormat="1" applyFont="1" applyBorder="1"/>
    <xf numFmtId="168" fontId="4" fillId="0" borderId="4" xfId="1" applyNumberFormat="1" applyFont="1" applyBorder="1"/>
    <xf numFmtId="166" fontId="4" fillId="0" borderId="7" xfId="1" applyNumberFormat="1" applyFont="1" applyBorder="1"/>
    <xf numFmtId="37" fontId="4" fillId="0" borderId="0" xfId="7" applyNumberFormat="1" applyFont="1" applyFill="1"/>
    <xf numFmtId="37" fontId="4" fillId="0" borderId="4" xfId="7" applyNumberFormat="1" applyFont="1" applyFill="1" applyBorder="1"/>
    <xf numFmtId="164" fontId="4" fillId="0" borderId="0" xfId="1" applyFont="1" applyAlignment="1">
      <alignment horizontal="right"/>
    </xf>
    <xf numFmtId="164" fontId="15" fillId="0" borderId="0" xfId="9" applyFont="1" applyAlignment="1">
      <alignment horizontal="centerContinuous"/>
    </xf>
    <xf numFmtId="5" fontId="15" fillId="0" borderId="0" xfId="9" applyNumberFormat="1" applyFont="1" applyAlignment="1">
      <alignment horizontal="centerContinuous"/>
    </xf>
    <xf numFmtId="164" fontId="2" fillId="0" borderId="0" xfId="9"/>
    <xf numFmtId="0" fontId="0" fillId="0" borderId="0" xfId="0" applyAlignment="1">
      <alignment horizontal="centerContinuous"/>
    </xf>
    <xf numFmtId="5" fontId="0" fillId="0" borderId="0" xfId="0" applyNumberFormat="1" applyAlignment="1">
      <alignment horizontal="centerContinuous"/>
    </xf>
    <xf numFmtId="164" fontId="15" fillId="0" borderId="0" xfId="9" applyFont="1" applyAlignment="1">
      <alignment horizontal="left"/>
    </xf>
    <xf numFmtId="164" fontId="15" fillId="0" borderId="0" xfId="9" applyFont="1" applyAlignment="1">
      <alignment horizontal="center"/>
    </xf>
    <xf numFmtId="5" fontId="15" fillId="0" borderId="0" xfId="9" applyNumberFormat="1" applyFont="1" applyAlignment="1">
      <alignment horizontal="center"/>
    </xf>
    <xf numFmtId="5" fontId="15" fillId="0" borderId="0" xfId="9" applyNumberFormat="1" applyFont="1" applyAlignment="1">
      <alignment horizontal="left"/>
    </xf>
    <xf numFmtId="5" fontId="15" fillId="0" borderId="7" xfId="9" applyNumberFormat="1" applyFont="1" applyBorder="1" applyAlignment="1">
      <alignment horizontal="centerContinuous"/>
    </xf>
    <xf numFmtId="164" fontId="15" fillId="0" borderId="0" xfId="9" applyFont="1"/>
    <xf numFmtId="164" fontId="15" fillId="0" borderId="7" xfId="9" applyFont="1" applyBorder="1"/>
    <xf numFmtId="164" fontId="15" fillId="0" borderId="7" xfId="9" applyFont="1" applyBorder="1" applyAlignment="1">
      <alignment horizontal="center"/>
    </xf>
    <xf numFmtId="5" fontId="15" fillId="0" borderId="7" xfId="9" quotePrefix="1" applyNumberFormat="1" applyFont="1" applyBorder="1" applyAlignment="1">
      <alignment horizontal="center"/>
    </xf>
    <xf numFmtId="5" fontId="15" fillId="0" borderId="0" xfId="9" applyNumberFormat="1" applyFont="1"/>
    <xf numFmtId="37" fontId="15" fillId="0" borderId="0" xfId="9" quotePrefix="1" applyNumberFormat="1" applyFont="1" applyAlignment="1">
      <alignment horizontal="center"/>
    </xf>
    <xf numFmtId="176" fontId="15" fillId="0" borderId="0" xfId="9" quotePrefix="1" applyNumberFormat="1" applyFont="1" applyAlignment="1">
      <alignment horizontal="center"/>
    </xf>
    <xf numFmtId="5" fontId="2" fillId="0" borderId="0" xfId="9" applyNumberFormat="1"/>
    <xf numFmtId="164" fontId="2" fillId="0" borderId="0" xfId="9" quotePrefix="1" applyAlignment="1">
      <alignment horizontal="right"/>
    </xf>
    <xf numFmtId="177" fontId="2" fillId="0" borderId="0" xfId="7" applyNumberFormat="1" applyFont="1" applyFill="1"/>
    <xf numFmtId="5" fontId="2" fillId="0" borderId="0" xfId="10" applyNumberFormat="1" applyFont="1" applyFill="1"/>
    <xf numFmtId="164" fontId="2" fillId="0" borderId="0" xfId="9" applyAlignment="1">
      <alignment horizontal="right"/>
    </xf>
    <xf numFmtId="164" fontId="2" fillId="0" borderId="7" xfId="9" applyBorder="1"/>
    <xf numFmtId="164" fontId="2" fillId="0" borderId="7" xfId="9" applyBorder="1" applyAlignment="1">
      <alignment horizontal="right"/>
    </xf>
    <xf numFmtId="5" fontId="2" fillId="0" borderId="7" xfId="10" applyNumberFormat="1" applyFont="1" applyFill="1" applyBorder="1"/>
    <xf numFmtId="164" fontId="16" fillId="0" borderId="0" xfId="9" applyFont="1"/>
    <xf numFmtId="5" fontId="16" fillId="0" borderId="0" xfId="10" applyNumberFormat="1" applyFont="1" applyFill="1"/>
    <xf numFmtId="5" fontId="16" fillId="0" borderId="0" xfId="9" applyNumberFormat="1" applyFont="1"/>
    <xf numFmtId="5" fontId="2" fillId="0" borderId="0" xfId="7" applyNumberFormat="1" applyFont="1" applyFill="1"/>
    <xf numFmtId="178" fontId="2" fillId="0" borderId="0" xfId="10" applyNumberFormat="1" applyFont="1" applyFill="1"/>
    <xf numFmtId="178" fontId="2" fillId="0" borderId="0" xfId="9" applyNumberFormat="1"/>
    <xf numFmtId="164" fontId="15" fillId="0" borderId="6" xfId="9" applyFont="1" applyBorder="1"/>
    <xf numFmtId="164" fontId="2" fillId="0" borderId="6" xfId="9" applyBorder="1"/>
    <xf numFmtId="164" fontId="15" fillId="0" borderId="10" xfId="9" applyFont="1" applyBorder="1"/>
    <xf numFmtId="164" fontId="2" fillId="0" borderId="10" xfId="9" applyBorder="1"/>
    <xf numFmtId="5" fontId="2" fillId="0" borderId="4" xfId="10" applyNumberFormat="1" applyFont="1" applyFill="1" applyBorder="1"/>
    <xf numFmtId="164" fontId="5" fillId="0" borderId="6" xfId="1" applyFont="1" applyFill="1" applyBorder="1" applyAlignment="1">
      <alignment horizontal="centerContinuous"/>
    </xf>
    <xf numFmtId="5" fontId="5" fillId="0" borderId="6" xfId="1" applyNumberFormat="1" applyFont="1" applyFill="1" applyBorder="1" applyAlignment="1">
      <alignment horizontal="centerContinuous"/>
    </xf>
    <xf numFmtId="166" fontId="4" fillId="0" borderId="0" xfId="1" applyNumberFormat="1" applyFont="1" applyFill="1"/>
    <xf numFmtId="168" fontId="4" fillId="0" borderId="0" xfId="1" applyNumberFormat="1" applyFont="1" applyFill="1"/>
    <xf numFmtId="5" fontId="4" fillId="0" borderId="5" xfId="1" applyNumberFormat="1" applyFont="1" applyFill="1" applyBorder="1"/>
    <xf numFmtId="166" fontId="6" fillId="0" borderId="0" xfId="1" applyNumberFormat="1" applyFont="1" applyFill="1"/>
    <xf numFmtId="164" fontId="4" fillId="0" borderId="7" xfId="1" applyFont="1" applyFill="1" applyBorder="1"/>
    <xf numFmtId="5" fontId="4" fillId="0" borderId="7" xfId="1" applyNumberFormat="1" applyFont="1" applyFill="1" applyBorder="1"/>
    <xf numFmtId="171" fontId="4" fillId="0" borderId="0" xfId="1" applyNumberFormat="1" applyFont="1" applyFill="1" applyProtection="1">
      <protection locked="0"/>
    </xf>
    <xf numFmtId="0" fontId="12" fillId="0" borderId="0" xfId="8" applyFont="1" applyFill="1"/>
    <xf numFmtId="5" fontId="12" fillId="0" borderId="0" xfId="8" applyNumberFormat="1" applyFont="1" applyFill="1"/>
    <xf numFmtId="164" fontId="4" fillId="0" borderId="0" xfId="1" applyFont="1" applyFill="1" applyProtection="1">
      <protection locked="0"/>
    </xf>
    <xf numFmtId="169" fontId="4" fillId="0" borderId="0" xfId="1" applyNumberFormat="1" applyFont="1" applyFill="1" applyProtection="1">
      <protection locked="0"/>
    </xf>
    <xf numFmtId="164" fontId="4" fillId="0" borderId="3" xfId="1" applyFont="1" applyFill="1" applyBorder="1"/>
    <xf numFmtId="5" fontId="4" fillId="0" borderId="0" xfId="1" applyNumberFormat="1" applyFont="1" applyFill="1" applyProtection="1">
      <protection locked="0"/>
    </xf>
    <xf numFmtId="173" fontId="4" fillId="0" borderId="0" xfId="1" applyNumberFormat="1" applyFont="1" applyFill="1" applyProtection="1">
      <protection locked="0"/>
    </xf>
    <xf numFmtId="174" fontId="4" fillId="0" borderId="0" xfId="1" applyNumberFormat="1" applyFont="1" applyFill="1" applyProtection="1">
      <protection locked="0"/>
    </xf>
    <xf numFmtId="174" fontId="4" fillId="0" borderId="0" xfId="1" applyNumberFormat="1" applyFont="1" applyFill="1"/>
    <xf numFmtId="164" fontId="4" fillId="0" borderId="0" xfId="1" applyFont="1" applyFill="1" applyAlignment="1">
      <alignment horizontal="left"/>
    </xf>
    <xf numFmtId="173" fontId="4" fillId="0" borderId="0" xfId="1" applyNumberFormat="1" applyFont="1" applyFill="1"/>
    <xf numFmtId="5" fontId="4" fillId="0" borderId="1" xfId="1" applyNumberFormat="1" applyFont="1" applyFill="1" applyBorder="1"/>
    <xf numFmtId="168" fontId="4" fillId="0" borderId="1" xfId="1" applyNumberFormat="1" applyFont="1" applyFill="1" applyBorder="1"/>
    <xf numFmtId="166" fontId="4" fillId="0" borderId="1" xfId="1" applyNumberFormat="1" applyFont="1" applyFill="1" applyBorder="1"/>
    <xf numFmtId="173" fontId="4" fillId="0" borderId="0" xfId="2" applyNumberFormat="1" applyFont="1" applyFill="1" applyProtection="1">
      <protection locked="0"/>
    </xf>
    <xf numFmtId="173" fontId="4" fillId="0" borderId="0" xfId="2" applyNumberFormat="1" applyFont="1" applyFill="1"/>
    <xf numFmtId="166" fontId="4" fillId="0" borderId="0" xfId="2" applyNumberFormat="1" applyFont="1" applyFill="1"/>
    <xf numFmtId="0" fontId="4" fillId="0" borderId="0" xfId="4" applyFont="1" applyFill="1"/>
    <xf numFmtId="5" fontId="4" fillId="0" borderId="3" xfId="2" applyNumberFormat="1" applyFont="1" applyFill="1" applyBorder="1"/>
    <xf numFmtId="7" fontId="4" fillId="0" borderId="0" xfId="2" applyNumberFormat="1" applyFont="1" applyFill="1"/>
    <xf numFmtId="5" fontId="4" fillId="0" borderId="0" xfId="2" quotePrefix="1" applyNumberFormat="1" applyFont="1" applyFill="1"/>
    <xf numFmtId="166" fontId="4" fillId="0" borderId="7" xfId="2" applyNumberFormat="1" applyFont="1" applyFill="1" applyBorder="1"/>
    <xf numFmtId="10" fontId="4" fillId="0" borderId="0" xfId="2" applyNumberFormat="1" applyFont="1" applyFill="1"/>
    <xf numFmtId="5" fontId="4" fillId="0" borderId="5" xfId="2" applyNumberFormat="1" applyFont="1" applyFill="1" applyBorder="1"/>
    <xf numFmtId="5" fontId="4" fillId="0" borderId="4" xfId="2" applyNumberFormat="1" applyFont="1" applyFill="1" applyBorder="1"/>
    <xf numFmtId="168" fontId="4" fillId="0" borderId="5" xfId="1" applyNumberFormat="1" applyFont="1" applyFill="1" applyBorder="1"/>
    <xf numFmtId="168" fontId="4" fillId="0" borderId="4" xfId="1" applyNumberFormat="1" applyFont="1" applyFill="1" applyBorder="1"/>
    <xf numFmtId="166" fontId="4" fillId="0" borderId="7" xfId="1" applyNumberFormat="1" applyFont="1" applyFill="1" applyBorder="1"/>
    <xf numFmtId="164" fontId="4" fillId="0" borderId="0" xfId="1" applyFont="1" applyFill="1" applyAlignment="1">
      <alignment horizontal="right"/>
    </xf>
    <xf numFmtId="9" fontId="4" fillId="0" borderId="0" xfId="1" applyNumberFormat="1" applyFont="1" applyFill="1"/>
    <xf numFmtId="164" fontId="5" fillId="0" borderId="6" xfId="1" applyFont="1" applyFill="1" applyBorder="1" applyAlignment="1">
      <alignment horizontal="left"/>
    </xf>
    <xf numFmtId="164" fontId="5" fillId="0" borderId="0" xfId="1" applyFont="1"/>
    <xf numFmtId="164" fontId="4" fillId="0" borderId="0" xfId="1" applyFont="1" applyBorder="1"/>
    <xf numFmtId="37" fontId="4" fillId="0" borderId="0" xfId="1" applyNumberFormat="1" applyFont="1" applyBorder="1"/>
    <xf numFmtId="5" fontId="4" fillId="0" borderId="0" xfId="1" applyNumberFormat="1" applyFont="1" applyBorder="1"/>
    <xf numFmtId="164" fontId="4" fillId="0" borderId="0" xfId="1" applyFont="1" applyFill="1" applyBorder="1"/>
    <xf numFmtId="10" fontId="4" fillId="0" borderId="0" xfId="1" applyNumberFormat="1" applyFont="1" applyFill="1" applyBorder="1"/>
    <xf numFmtId="10" fontId="4" fillId="0" borderId="4" xfId="1" applyNumberFormat="1" applyFont="1" applyFill="1" applyBorder="1"/>
    <xf numFmtId="164" fontId="5" fillId="0" borderId="4" xfId="1" quotePrefix="1" applyFont="1" applyFill="1" applyBorder="1" applyAlignment="1">
      <alignment horizontal="centerContinuous"/>
    </xf>
  </cellXfs>
  <cellStyles count="11">
    <cellStyle name="Comma 2" xfId="7"/>
    <cellStyle name="Currency 2" xfId="10"/>
    <cellStyle name="Normal" xfId="0" builtinId="0"/>
    <cellStyle name="Normal 11 2" xfId="3"/>
    <cellStyle name="Normal 15" xfId="4"/>
    <cellStyle name="Normal 2" xfId="5"/>
    <cellStyle name="Normal_Blocking 03-01" xfId="9"/>
    <cellStyle name="Normal_Blocking 09-00" xfId="1"/>
    <cellStyle name="Normal_Blocking 09-00 2" xfId="2"/>
    <cellStyle name="Normal_Book4" xfId="8"/>
    <cellStyle name="Percent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0</xdr:rowOff>
    </xdr:from>
    <xdr:to>
      <xdr:col>21</xdr:col>
      <xdr:colOff>255270</xdr:colOff>
      <xdr:row>54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DD41B5-E87E-4E07-8ED7-20A11302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14177010" cy="1085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Q2681"/>
  <sheetViews>
    <sheetView tabSelected="1" view="pageBreakPreview" topLeftCell="A7" zoomScale="90" zoomScaleNormal="90" zoomScaleSheetLayoutView="90" workbookViewId="0">
      <pane xSplit="2" ySplit="3" topLeftCell="C2389" activePane="bottomRight" state="frozen"/>
      <selection activeCell="A7" sqref="A7"/>
      <selection pane="topRight" activeCell="C7" sqref="C7"/>
      <selection pane="bottomLeft" activeCell="A10" sqref="A10"/>
      <selection pane="bottomRight" activeCell="I2565" sqref="I2565"/>
    </sheetView>
  </sheetViews>
  <sheetFormatPr defaultColWidth="9" defaultRowHeight="15.75" x14ac:dyDescent="0.25"/>
  <cols>
    <col min="1" max="1" width="33.125" style="5" customWidth="1"/>
    <col min="2" max="2" width="1.875" style="5" customWidth="1"/>
    <col min="3" max="4" width="14.875" style="6" customWidth="1"/>
    <col min="5" max="5" width="1.875" style="5" customWidth="1"/>
    <col min="6" max="6" width="8.125" style="5" customWidth="1"/>
    <col min="7" max="7" width="1.875" style="5" customWidth="1"/>
    <col min="8" max="9" width="14.875" style="7" customWidth="1"/>
    <col min="10" max="10" width="1.875" style="5" customWidth="1"/>
    <col min="11" max="11" width="15.375" style="5" customWidth="1"/>
    <col min="12" max="12" width="12.125" style="5" customWidth="1"/>
    <col min="13" max="13" width="1.875" style="5" customWidth="1"/>
    <col min="14" max="14" width="14.875" style="7" customWidth="1"/>
    <col min="15" max="15" width="12.125" style="53" customWidth="1"/>
    <col min="16" max="16" width="1.875" style="53" customWidth="1"/>
    <col min="17" max="17" width="14.875" style="54" customWidth="1"/>
    <col min="18" max="16384" width="9" style="5"/>
  </cols>
  <sheetData>
    <row r="1" spans="1:17" ht="18.75" x14ac:dyDescent="0.3">
      <c r="A1" s="1" t="s">
        <v>0</v>
      </c>
      <c r="B1" s="2"/>
      <c r="C1" s="3"/>
      <c r="D1" s="3"/>
      <c r="E1" s="2"/>
      <c r="F1" s="2"/>
      <c r="G1" s="2"/>
      <c r="H1" s="4"/>
      <c r="I1" s="4"/>
      <c r="J1" s="2"/>
      <c r="K1" s="2"/>
      <c r="L1" s="2"/>
      <c r="M1" s="2"/>
      <c r="N1" s="4"/>
      <c r="O1" s="45"/>
      <c r="P1" s="45"/>
      <c r="Q1" s="46"/>
    </row>
    <row r="2" spans="1:17" ht="18.75" x14ac:dyDescent="0.3">
      <c r="A2" s="1" t="s">
        <v>1</v>
      </c>
      <c r="B2" s="2"/>
      <c r="C2" s="3"/>
      <c r="D2" s="3"/>
      <c r="E2" s="2"/>
      <c r="F2" s="2"/>
      <c r="G2" s="2"/>
      <c r="H2" s="4"/>
      <c r="I2" s="4"/>
      <c r="J2" s="2"/>
      <c r="K2" s="2"/>
      <c r="L2" s="2"/>
      <c r="M2" s="2"/>
      <c r="N2" s="4"/>
      <c r="O2" s="45"/>
      <c r="P2" s="45"/>
      <c r="Q2" s="46"/>
    </row>
    <row r="3" spans="1:17" ht="18.75" x14ac:dyDescent="0.3">
      <c r="A3" s="1" t="s">
        <v>47</v>
      </c>
      <c r="B3" s="2"/>
      <c r="C3" s="3"/>
      <c r="D3" s="3"/>
      <c r="E3" s="2"/>
      <c r="F3" s="2"/>
      <c r="G3" s="2"/>
      <c r="H3" s="4"/>
      <c r="I3" s="4"/>
      <c r="J3" s="2"/>
      <c r="K3" s="2"/>
      <c r="L3" s="2"/>
      <c r="M3" s="2"/>
      <c r="N3" s="4"/>
      <c r="O3" s="45"/>
      <c r="P3" s="45"/>
      <c r="Q3" s="46"/>
    </row>
    <row r="4" spans="1:17" ht="18.75" x14ac:dyDescent="0.3">
      <c r="A4" s="1" t="s">
        <v>48</v>
      </c>
      <c r="B4" s="2"/>
      <c r="C4" s="3"/>
      <c r="D4" s="3"/>
      <c r="E4" s="2"/>
      <c r="F4" s="2"/>
      <c r="G4" s="2"/>
      <c r="H4" s="4"/>
      <c r="I4" s="4"/>
      <c r="J4" s="2"/>
      <c r="K4" s="2"/>
      <c r="L4" s="2"/>
      <c r="M4" s="2"/>
      <c r="N4" s="4"/>
      <c r="O4" s="45"/>
      <c r="P4" s="45"/>
      <c r="Q4" s="46"/>
    </row>
    <row r="7" spans="1:17" x14ac:dyDescent="0.25">
      <c r="C7" s="8"/>
      <c r="D7" s="8"/>
      <c r="F7" s="9" t="s">
        <v>64</v>
      </c>
      <c r="G7" s="9"/>
      <c r="H7" s="10"/>
      <c r="I7" s="10"/>
      <c r="K7" s="9"/>
      <c r="L7" s="9" t="s">
        <v>49</v>
      </c>
      <c r="M7" s="9"/>
      <c r="N7" s="10"/>
      <c r="O7" s="47" t="s">
        <v>50</v>
      </c>
      <c r="P7" s="47"/>
      <c r="Q7" s="48"/>
    </row>
    <row r="8" spans="1:17" x14ac:dyDescent="0.25">
      <c r="C8" s="11" t="s">
        <v>2</v>
      </c>
      <c r="D8" s="11"/>
      <c r="F8" s="12"/>
      <c r="G8" s="12"/>
      <c r="H8" s="85" t="s">
        <v>3</v>
      </c>
      <c r="I8" s="85"/>
      <c r="K8" s="86"/>
      <c r="L8" s="86"/>
      <c r="M8" s="15"/>
      <c r="N8" s="85" t="s">
        <v>3</v>
      </c>
      <c r="O8" s="243"/>
      <c r="P8" s="50"/>
      <c r="Q8" s="205" t="s">
        <v>3</v>
      </c>
    </row>
    <row r="9" spans="1:17" x14ac:dyDescent="0.25">
      <c r="C9" s="17" t="s">
        <v>65</v>
      </c>
      <c r="D9" s="17" t="s">
        <v>4</v>
      </c>
      <c r="F9" s="88" t="s">
        <v>5</v>
      </c>
      <c r="G9" s="12"/>
      <c r="H9" s="89" t="s">
        <v>65</v>
      </c>
      <c r="I9" s="89" t="s">
        <v>4</v>
      </c>
      <c r="K9" s="88"/>
      <c r="L9" s="86" t="s">
        <v>5</v>
      </c>
      <c r="M9" s="12"/>
      <c r="N9" s="85" t="s">
        <v>4</v>
      </c>
      <c r="O9" s="204" t="s">
        <v>5</v>
      </c>
      <c r="P9" s="52"/>
      <c r="Q9" s="205" t="s">
        <v>4</v>
      </c>
    </row>
    <row r="10" spans="1:17" x14ac:dyDescent="0.25">
      <c r="A10" s="15" t="s">
        <v>6</v>
      </c>
    </row>
    <row r="11" spans="1:17" x14ac:dyDescent="0.25">
      <c r="A11" s="19" t="s">
        <v>7</v>
      </c>
      <c r="C11" s="6">
        <v>9213599.1333350316</v>
      </c>
      <c r="D11" s="6">
        <v>9344849.0845141169</v>
      </c>
      <c r="F11" s="20"/>
      <c r="G11" s="20"/>
      <c r="K11" s="20"/>
      <c r="L11" s="20"/>
      <c r="M11" s="20"/>
      <c r="O11" s="55"/>
      <c r="P11" s="55"/>
    </row>
    <row r="12" spans="1:17" x14ac:dyDescent="0.25">
      <c r="A12" s="19" t="s">
        <v>8</v>
      </c>
      <c r="C12" s="6">
        <v>9198276.8000017013</v>
      </c>
      <c r="D12" s="6">
        <v>9329308</v>
      </c>
      <c r="F12" s="20">
        <v>6</v>
      </c>
      <c r="G12" s="20"/>
      <c r="H12" s="7">
        <f t="shared" ref="H12:I26" si="0">ROUND($F12*C12,0)</f>
        <v>55189661</v>
      </c>
      <c r="I12" s="7">
        <f t="shared" si="0"/>
        <v>55975848</v>
      </c>
      <c r="K12" s="20"/>
      <c r="L12" s="20"/>
      <c r="M12" s="20"/>
      <c r="O12" s="55"/>
      <c r="P12" s="55"/>
    </row>
    <row r="13" spans="1:17" x14ac:dyDescent="0.25">
      <c r="A13" s="19" t="s">
        <v>9</v>
      </c>
      <c r="C13" s="6">
        <v>7040550.9333351729</v>
      </c>
      <c r="D13" s="6">
        <v>7140845</v>
      </c>
      <c r="F13" s="20"/>
      <c r="G13" s="20"/>
      <c r="K13" s="21"/>
      <c r="L13" s="22">
        <v>8</v>
      </c>
      <c r="M13" s="20"/>
      <c r="N13" s="7">
        <f>ROUND($D13*L13,0)</f>
        <v>57126760</v>
      </c>
      <c r="O13" s="56">
        <v>10</v>
      </c>
      <c r="P13" s="55"/>
      <c r="Q13" s="54">
        <f>ROUND($D13*O13,0)</f>
        <v>71408450</v>
      </c>
    </row>
    <row r="14" spans="1:17" x14ac:dyDescent="0.25">
      <c r="A14" s="19" t="s">
        <v>10</v>
      </c>
      <c r="C14" s="6">
        <v>2157725.8666665284</v>
      </c>
      <c r="D14" s="6">
        <v>2188463</v>
      </c>
      <c r="F14" s="20"/>
      <c r="G14" s="20"/>
      <c r="K14" s="21"/>
      <c r="L14" s="22">
        <v>6</v>
      </c>
      <c r="M14" s="20"/>
      <c r="N14" s="7">
        <f>ROUND($D14*L14,0)</f>
        <v>13130778</v>
      </c>
      <c r="O14" s="56">
        <v>6</v>
      </c>
      <c r="P14" s="55"/>
      <c r="Q14" s="54">
        <f>ROUND($D14*O14,0)</f>
        <v>13130778</v>
      </c>
    </row>
    <row r="15" spans="1:17" x14ac:dyDescent="0.25">
      <c r="A15" s="19" t="s">
        <v>11</v>
      </c>
      <c r="C15" s="6">
        <v>15322.33333333333</v>
      </c>
      <c r="D15" s="6">
        <v>15541.084514116868</v>
      </c>
      <c r="F15" s="20">
        <v>12</v>
      </c>
      <c r="G15" s="20"/>
      <c r="H15" s="7">
        <f t="shared" si="0"/>
        <v>183868</v>
      </c>
      <c r="I15" s="7">
        <f t="shared" si="0"/>
        <v>186493</v>
      </c>
      <c r="K15" s="21"/>
      <c r="L15" s="20"/>
      <c r="M15" s="20"/>
      <c r="O15" s="55"/>
      <c r="P15" s="55"/>
    </row>
    <row r="16" spans="1:17" x14ac:dyDescent="0.25">
      <c r="A16" s="19" t="s">
        <v>9</v>
      </c>
      <c r="C16" s="6">
        <v>3278.3999999999996</v>
      </c>
      <c r="D16" s="6">
        <v>3325.0845141168684</v>
      </c>
      <c r="F16" s="20"/>
      <c r="G16" s="20"/>
      <c r="K16" s="21"/>
      <c r="L16" s="20">
        <f>L13*2</f>
        <v>16</v>
      </c>
      <c r="M16" s="20"/>
      <c r="N16" s="7">
        <f>ROUND($D16*L16,0)</f>
        <v>53201</v>
      </c>
      <c r="O16" s="55">
        <f>O13*2</f>
        <v>20</v>
      </c>
      <c r="P16" s="55"/>
      <c r="Q16" s="54">
        <f>ROUND($D16*O16,0)</f>
        <v>66502</v>
      </c>
    </row>
    <row r="17" spans="1:17" x14ac:dyDescent="0.25">
      <c r="A17" s="19" t="s">
        <v>10</v>
      </c>
      <c r="C17" s="6">
        <v>12043.933333333331</v>
      </c>
      <c r="D17" s="6">
        <v>12216</v>
      </c>
      <c r="F17" s="20"/>
      <c r="G17" s="20"/>
      <c r="K17" s="21"/>
      <c r="L17" s="20">
        <f>L14*2</f>
        <v>12</v>
      </c>
      <c r="M17" s="20"/>
      <c r="N17" s="7">
        <f>ROUND($D17*L17,0)</f>
        <v>146592</v>
      </c>
      <c r="O17" s="55">
        <f>O14*2</f>
        <v>12</v>
      </c>
      <c r="P17" s="55"/>
      <c r="Q17" s="54">
        <f>ROUND($D17*O17,0)</f>
        <v>146592</v>
      </c>
    </row>
    <row r="18" spans="1:17" x14ac:dyDescent="0.25">
      <c r="A18" s="19" t="s">
        <v>12</v>
      </c>
      <c r="C18" s="6">
        <v>0</v>
      </c>
      <c r="D18" s="6">
        <v>0</v>
      </c>
      <c r="F18" s="20">
        <v>2</v>
      </c>
      <c r="G18" s="20"/>
      <c r="H18" s="7">
        <f t="shared" si="0"/>
        <v>0</v>
      </c>
      <c r="I18" s="7">
        <f t="shared" si="0"/>
        <v>0</v>
      </c>
      <c r="K18" s="21"/>
      <c r="L18" s="20">
        <v>2</v>
      </c>
      <c r="M18" s="20"/>
      <c r="N18" s="7">
        <f>ROUND($D18*L18,0)</f>
        <v>0</v>
      </c>
      <c r="O18" s="55">
        <v>2</v>
      </c>
      <c r="P18" s="55"/>
      <c r="Q18" s="54">
        <f>ROUND($D18*O18,0)</f>
        <v>0</v>
      </c>
    </row>
    <row r="19" spans="1:17" x14ac:dyDescent="0.25">
      <c r="A19" s="19" t="s">
        <v>13</v>
      </c>
      <c r="C19" s="6">
        <v>249.56681818181821</v>
      </c>
      <c r="D19" s="6">
        <v>253</v>
      </c>
      <c r="F19" s="20">
        <v>22</v>
      </c>
      <c r="G19" s="20"/>
      <c r="H19" s="7">
        <f t="shared" si="0"/>
        <v>5490</v>
      </c>
      <c r="I19" s="7">
        <f t="shared" si="0"/>
        <v>5566</v>
      </c>
      <c r="K19" s="21"/>
      <c r="L19" s="20">
        <v>22</v>
      </c>
      <c r="M19" s="20"/>
      <c r="N19" s="7">
        <f>ROUND($D19*L19,0)</f>
        <v>5566</v>
      </c>
      <c r="O19" s="55">
        <v>22</v>
      </c>
      <c r="P19" s="55"/>
      <c r="Q19" s="54">
        <f>ROUND($D19*O19,0)</f>
        <v>5566</v>
      </c>
    </row>
    <row r="20" spans="1:17" x14ac:dyDescent="0.25">
      <c r="A20" s="19" t="s">
        <v>14</v>
      </c>
      <c r="C20" s="6">
        <v>17041.058750000539</v>
      </c>
      <c r="D20" s="6">
        <v>17284</v>
      </c>
      <c r="F20" s="20">
        <v>8</v>
      </c>
      <c r="G20" s="20"/>
      <c r="H20" s="7">
        <f t="shared" si="0"/>
        <v>136328</v>
      </c>
      <c r="I20" s="7">
        <f t="shared" si="0"/>
        <v>138272</v>
      </c>
      <c r="K20" s="21"/>
      <c r="L20" s="20"/>
      <c r="M20" s="20"/>
      <c r="O20" s="55"/>
      <c r="P20" s="55"/>
    </row>
    <row r="21" spans="1:17" x14ac:dyDescent="0.25">
      <c r="A21" s="19" t="s">
        <v>9</v>
      </c>
      <c r="C21" s="6">
        <v>11907.49875000057</v>
      </c>
      <c r="D21" s="6">
        <v>12077</v>
      </c>
      <c r="F21" s="20"/>
      <c r="G21" s="20"/>
      <c r="K21" s="21"/>
      <c r="L21" s="20"/>
      <c r="M21" s="20"/>
      <c r="O21" s="55"/>
      <c r="P21" s="55"/>
    </row>
    <row r="22" spans="1:17" x14ac:dyDescent="0.25">
      <c r="A22" s="19" t="s">
        <v>10</v>
      </c>
      <c r="C22" s="6">
        <v>5133.5599999999695</v>
      </c>
      <c r="D22" s="6">
        <v>5207</v>
      </c>
      <c r="F22" s="20"/>
      <c r="G22" s="20"/>
      <c r="K22" s="21"/>
      <c r="L22" s="20"/>
      <c r="M22" s="20"/>
      <c r="O22" s="55"/>
      <c r="P22" s="55"/>
    </row>
    <row r="23" spans="1:17" x14ac:dyDescent="0.25">
      <c r="A23" s="19" t="s">
        <v>15</v>
      </c>
      <c r="C23" s="6">
        <v>28.496875000000003</v>
      </c>
      <c r="D23" s="6">
        <v>29</v>
      </c>
      <c r="F23" s="20">
        <v>16</v>
      </c>
      <c r="G23" s="24"/>
      <c r="H23" s="7">
        <f t="shared" si="0"/>
        <v>456</v>
      </c>
      <c r="I23" s="7">
        <f t="shared" si="0"/>
        <v>464</v>
      </c>
      <c r="K23" s="21"/>
      <c r="L23" s="20"/>
      <c r="M23" s="24"/>
      <c r="O23" s="55"/>
      <c r="P23" s="57"/>
    </row>
    <row r="24" spans="1:17" x14ac:dyDescent="0.25">
      <c r="A24" s="19" t="s">
        <v>9</v>
      </c>
      <c r="C24" s="6">
        <v>6.9375000000000036</v>
      </c>
      <c r="D24" s="6">
        <v>7</v>
      </c>
      <c r="F24" s="20"/>
      <c r="G24" s="20"/>
      <c r="K24" s="21"/>
      <c r="L24" s="20"/>
      <c r="M24" s="20"/>
      <c r="O24" s="55"/>
      <c r="P24" s="55"/>
    </row>
    <row r="25" spans="1:17" x14ac:dyDescent="0.25">
      <c r="A25" s="19" t="s">
        <v>10</v>
      </c>
      <c r="C25" s="6">
        <v>21.559374999999999</v>
      </c>
      <c r="D25" s="6">
        <v>22</v>
      </c>
      <c r="F25" s="20"/>
      <c r="G25" s="20"/>
      <c r="K25" s="21"/>
      <c r="L25" s="20"/>
      <c r="M25" s="20"/>
      <c r="O25" s="55"/>
      <c r="P25" s="55"/>
    </row>
    <row r="26" spans="1:17" x14ac:dyDescent="0.25">
      <c r="A26" s="19" t="s">
        <v>16</v>
      </c>
      <c r="C26" s="6">
        <v>4.2413541666666674</v>
      </c>
      <c r="D26" s="6">
        <v>4</v>
      </c>
      <c r="F26" s="20">
        <v>96</v>
      </c>
      <c r="G26" s="24"/>
      <c r="H26" s="7">
        <f t="shared" si="0"/>
        <v>407</v>
      </c>
      <c r="I26" s="7">
        <f t="shared" si="0"/>
        <v>384</v>
      </c>
      <c r="K26" s="21"/>
      <c r="L26" s="20"/>
      <c r="M26" s="24"/>
      <c r="O26" s="55"/>
      <c r="P26" s="57"/>
    </row>
    <row r="27" spans="1:17" x14ac:dyDescent="0.25">
      <c r="A27" s="19" t="s">
        <v>17</v>
      </c>
      <c r="C27" s="6">
        <v>0</v>
      </c>
      <c r="D27" s="6">
        <v>0</v>
      </c>
      <c r="F27" s="25"/>
      <c r="G27" s="26"/>
      <c r="K27" s="27"/>
      <c r="L27" s="25">
        <v>4.3559999999999999</v>
      </c>
      <c r="M27" s="26" t="s">
        <v>18</v>
      </c>
      <c r="N27" s="7">
        <f t="shared" ref="N27:N33" si="1">ROUND($D27*L27/100,0)</f>
        <v>0</v>
      </c>
      <c r="O27" s="58">
        <f>L27</f>
        <v>4.3559999999999999</v>
      </c>
      <c r="P27" s="59" t="s">
        <v>18</v>
      </c>
      <c r="Q27" s="54">
        <f t="shared" ref="Q27:Q33" si="2">ROUND($D27*O27/100,0)</f>
        <v>0</v>
      </c>
    </row>
    <row r="28" spans="1:17" x14ac:dyDescent="0.25">
      <c r="A28" s="19" t="s">
        <v>19</v>
      </c>
      <c r="C28" s="6">
        <v>0</v>
      </c>
      <c r="D28" s="6">
        <v>0</v>
      </c>
      <c r="F28" s="25"/>
      <c r="G28" s="26"/>
      <c r="K28" s="27"/>
      <c r="L28" s="25">
        <v>-1.6334</v>
      </c>
      <c r="M28" s="26" t="s">
        <v>18</v>
      </c>
      <c r="N28" s="7">
        <f t="shared" si="1"/>
        <v>0</v>
      </c>
      <c r="O28" s="58">
        <f>L28</f>
        <v>-1.6334</v>
      </c>
      <c r="P28" s="59" t="s">
        <v>18</v>
      </c>
      <c r="Q28" s="54">
        <f t="shared" si="2"/>
        <v>0</v>
      </c>
    </row>
    <row r="29" spans="1:17" x14ac:dyDescent="0.25">
      <c r="A29" s="19" t="s">
        <v>20</v>
      </c>
      <c r="C29" s="6">
        <v>1077210897.9091563</v>
      </c>
      <c r="D29" s="6">
        <v>1080475944.5283775</v>
      </c>
      <c r="F29" s="28"/>
      <c r="G29" s="26"/>
      <c r="K29" s="92"/>
      <c r="L29" s="28">
        <v>9.2802000000000007</v>
      </c>
      <c r="M29" s="26" t="s">
        <v>18</v>
      </c>
      <c r="N29" s="7">
        <f t="shared" si="1"/>
        <v>100270329</v>
      </c>
      <c r="O29" s="60">
        <v>9.0279000000000007</v>
      </c>
      <c r="P29" s="59" t="s">
        <v>18</v>
      </c>
      <c r="Q29" s="54">
        <f t="shared" si="2"/>
        <v>97544288</v>
      </c>
    </row>
    <row r="30" spans="1:17" x14ac:dyDescent="0.25">
      <c r="A30" s="19" t="s">
        <v>21</v>
      </c>
      <c r="C30" s="6">
        <v>957148336.15566492</v>
      </c>
      <c r="D30" s="6">
        <v>960049471</v>
      </c>
      <c r="F30" s="28"/>
      <c r="G30" s="26"/>
      <c r="K30" s="92"/>
      <c r="L30" s="28">
        <v>11.9733</v>
      </c>
      <c r="M30" s="26" t="s">
        <v>18</v>
      </c>
      <c r="N30" s="7">
        <f t="shared" si="1"/>
        <v>114949603</v>
      </c>
      <c r="O30" s="60">
        <v>11.721</v>
      </c>
      <c r="P30" s="59" t="s">
        <v>18</v>
      </c>
      <c r="Q30" s="54">
        <f t="shared" si="2"/>
        <v>112527398</v>
      </c>
    </row>
    <row r="31" spans="1:17" x14ac:dyDescent="0.25">
      <c r="A31" s="19" t="s">
        <v>22</v>
      </c>
      <c r="C31" s="6">
        <v>526195990.2398017</v>
      </c>
      <c r="D31" s="6">
        <v>527790900</v>
      </c>
      <c r="F31" s="28"/>
      <c r="G31" s="26"/>
      <c r="K31" s="92"/>
      <c r="L31" s="28">
        <f>L30</f>
        <v>11.9733</v>
      </c>
      <c r="M31" s="26" t="s">
        <v>18</v>
      </c>
      <c r="N31" s="7">
        <f t="shared" si="1"/>
        <v>63193988</v>
      </c>
      <c r="O31" s="60">
        <f>O30</f>
        <v>11.721</v>
      </c>
      <c r="P31" s="59" t="s">
        <v>18</v>
      </c>
      <c r="Q31" s="54">
        <f t="shared" si="2"/>
        <v>61862371</v>
      </c>
    </row>
    <row r="32" spans="1:17" x14ac:dyDescent="0.25">
      <c r="A32" s="19" t="s">
        <v>23</v>
      </c>
      <c r="B32" s="29"/>
      <c r="C32" s="6">
        <v>2155017817.4209166</v>
      </c>
      <c r="D32" s="6">
        <v>2051977461</v>
      </c>
      <c r="E32" s="29"/>
      <c r="F32" s="30"/>
      <c r="G32" s="26"/>
      <c r="J32" s="29"/>
      <c r="K32" s="92"/>
      <c r="L32" s="30">
        <v>8.2126000000000001</v>
      </c>
      <c r="M32" s="26" t="s">
        <v>18</v>
      </c>
      <c r="N32" s="7">
        <f t="shared" si="1"/>
        <v>168520701</v>
      </c>
      <c r="O32" s="61">
        <v>7.9893000000000001</v>
      </c>
      <c r="P32" s="59" t="s">
        <v>18</v>
      </c>
      <c r="Q32" s="54">
        <f t="shared" si="2"/>
        <v>163938635</v>
      </c>
    </row>
    <row r="33" spans="1:17" x14ac:dyDescent="0.25">
      <c r="A33" s="19" t="s">
        <v>24</v>
      </c>
      <c r="B33" s="29"/>
      <c r="C33" s="6">
        <v>1755463780.2307222</v>
      </c>
      <c r="D33" s="6">
        <v>1671527763</v>
      </c>
      <c r="E33" s="29"/>
      <c r="F33" s="30"/>
      <c r="G33" s="26"/>
      <c r="J33" s="29"/>
      <c r="K33" s="92"/>
      <c r="L33" s="30">
        <v>10.5959</v>
      </c>
      <c r="M33" s="26" t="s">
        <v>18</v>
      </c>
      <c r="N33" s="7">
        <f t="shared" si="1"/>
        <v>177113410</v>
      </c>
      <c r="O33" s="61">
        <v>10.3725</v>
      </c>
      <c r="P33" s="59" t="s">
        <v>18</v>
      </c>
      <c r="Q33" s="54">
        <f t="shared" si="2"/>
        <v>173379217</v>
      </c>
    </row>
    <row r="34" spans="1:17" x14ac:dyDescent="0.25">
      <c r="A34" s="19" t="s">
        <v>25</v>
      </c>
      <c r="C34" s="6">
        <v>0</v>
      </c>
      <c r="D34" s="6">
        <v>0</v>
      </c>
      <c r="F34" s="25">
        <v>4.3559999999999999</v>
      </c>
      <c r="G34" s="26" t="s">
        <v>18</v>
      </c>
      <c r="H34" s="7">
        <f t="shared" ref="H34:I41" si="3">ROUND($F34*C34/100,0)</f>
        <v>0</v>
      </c>
      <c r="I34" s="7">
        <f t="shared" si="3"/>
        <v>0</v>
      </c>
      <c r="K34" s="27"/>
      <c r="L34" s="25"/>
      <c r="M34" s="26"/>
      <c r="O34" s="58"/>
      <c r="P34" s="59"/>
    </row>
    <row r="35" spans="1:17" x14ac:dyDescent="0.25">
      <c r="A35" s="19" t="s">
        <v>26</v>
      </c>
      <c r="C35" s="6">
        <v>0</v>
      </c>
      <c r="D35" s="6">
        <v>0</v>
      </c>
      <c r="F35" s="25">
        <v>-1.6334</v>
      </c>
      <c r="G35" s="26" t="s">
        <v>18</v>
      </c>
      <c r="H35" s="7">
        <f t="shared" si="3"/>
        <v>0</v>
      </c>
      <c r="I35" s="7">
        <f t="shared" si="3"/>
        <v>0</v>
      </c>
      <c r="K35" s="27"/>
      <c r="L35" s="25"/>
      <c r="M35" s="26"/>
      <c r="O35" s="58"/>
      <c r="P35" s="59"/>
    </row>
    <row r="36" spans="1:17" x14ac:dyDescent="0.25">
      <c r="A36" s="19" t="s">
        <v>27</v>
      </c>
      <c r="C36" s="6">
        <v>1356275357.1615026</v>
      </c>
      <c r="D36" s="6">
        <v>1356162146.5283775</v>
      </c>
      <c r="F36" s="28">
        <v>8.8498000000000001</v>
      </c>
      <c r="G36" s="26" t="s">
        <v>18</v>
      </c>
      <c r="H36" s="7">
        <f t="shared" si="3"/>
        <v>120027657</v>
      </c>
      <c r="I36" s="7">
        <f t="shared" si="3"/>
        <v>120017638</v>
      </c>
      <c r="K36" s="92"/>
      <c r="L36" s="28"/>
      <c r="M36" s="26"/>
      <c r="O36" s="60"/>
      <c r="P36" s="59"/>
    </row>
    <row r="37" spans="1:17" x14ac:dyDescent="0.25">
      <c r="A37" s="19" t="s">
        <v>28</v>
      </c>
      <c r="C37" s="6">
        <v>1083544014.0003767</v>
      </c>
      <c r="D37" s="6">
        <v>1083453568</v>
      </c>
      <c r="F37" s="28">
        <v>11.542899999999999</v>
      </c>
      <c r="G37" s="26" t="s">
        <v>18</v>
      </c>
      <c r="H37" s="7">
        <f t="shared" si="3"/>
        <v>125072402</v>
      </c>
      <c r="I37" s="7">
        <f t="shared" si="3"/>
        <v>125061962</v>
      </c>
      <c r="K37" s="92"/>
      <c r="L37" s="28"/>
      <c r="M37" s="26"/>
      <c r="O37" s="60"/>
      <c r="P37" s="59"/>
    </row>
    <row r="38" spans="1:17" x14ac:dyDescent="0.25">
      <c r="A38" s="19" t="s">
        <v>29</v>
      </c>
      <c r="C38" s="6">
        <v>560540846.03246832</v>
      </c>
      <c r="D38" s="6">
        <v>560494056</v>
      </c>
      <c r="F38" s="28">
        <v>14.450799999999999</v>
      </c>
      <c r="G38" s="26" t="s">
        <v>18</v>
      </c>
      <c r="H38" s="7">
        <f t="shared" si="3"/>
        <v>81002637</v>
      </c>
      <c r="I38" s="7">
        <f t="shared" si="3"/>
        <v>80995875</v>
      </c>
      <c r="K38" s="92"/>
      <c r="L38" s="28"/>
      <c r="M38" s="26"/>
      <c r="O38" s="60"/>
      <c r="P38" s="59"/>
    </row>
    <row r="39" spans="1:17" x14ac:dyDescent="0.25">
      <c r="A39" s="19" t="s">
        <v>30</v>
      </c>
      <c r="B39" s="29"/>
      <c r="C39" s="6">
        <v>1873066959.0251269</v>
      </c>
      <c r="D39" s="6">
        <v>1776482587</v>
      </c>
      <c r="E39" s="29"/>
      <c r="F39" s="30">
        <v>8.8498000000000001</v>
      </c>
      <c r="G39" s="26" t="s">
        <v>18</v>
      </c>
      <c r="H39" s="7">
        <f t="shared" si="3"/>
        <v>165762680</v>
      </c>
      <c r="I39" s="7">
        <f t="shared" si="3"/>
        <v>157215156</v>
      </c>
      <c r="J39" s="29"/>
      <c r="K39" s="31"/>
      <c r="L39" s="30"/>
      <c r="M39" s="26"/>
      <c r="O39" s="61"/>
      <c r="P39" s="59"/>
    </row>
    <row r="40" spans="1:17" x14ac:dyDescent="0.25">
      <c r="A40" s="19" t="s">
        <v>31</v>
      </c>
      <c r="B40" s="29"/>
      <c r="C40" s="6">
        <v>1597609645.7367871</v>
      </c>
      <c r="D40" s="6">
        <v>1515229182</v>
      </c>
      <c r="E40" s="29"/>
      <c r="F40" s="30">
        <v>10.7072</v>
      </c>
      <c r="G40" s="26" t="s">
        <v>18</v>
      </c>
      <c r="H40" s="7">
        <f t="shared" si="3"/>
        <v>171059260</v>
      </c>
      <c r="I40" s="7">
        <f t="shared" si="3"/>
        <v>162238619</v>
      </c>
      <c r="J40" s="29"/>
      <c r="K40" s="31"/>
      <c r="L40" s="30"/>
      <c r="M40" s="26"/>
      <c r="O40" s="61"/>
      <c r="P40" s="59"/>
    </row>
    <row r="41" spans="1:17" x14ac:dyDescent="0.25">
      <c r="A41" s="32" t="s">
        <v>32</v>
      </c>
      <c r="B41" s="33"/>
      <c r="C41" s="34">
        <v>16316464</v>
      </c>
      <c r="D41" s="6">
        <v>15864580</v>
      </c>
      <c r="E41" s="33"/>
      <c r="F41" s="31">
        <v>11.7033</v>
      </c>
      <c r="G41" s="35" t="s">
        <v>18</v>
      </c>
      <c r="H41" s="18">
        <f t="shared" si="3"/>
        <v>1909565</v>
      </c>
      <c r="I41" s="18">
        <f t="shared" si="3"/>
        <v>1856679</v>
      </c>
      <c r="J41" s="33"/>
      <c r="K41" s="27"/>
      <c r="L41" s="31">
        <v>12.243600000000001</v>
      </c>
      <c r="M41" s="35" t="s">
        <v>18</v>
      </c>
      <c r="N41" s="7">
        <f>ROUND($D41*L41/100,0)</f>
        <v>1942396</v>
      </c>
      <c r="O41" s="62">
        <v>11.912599999999999</v>
      </c>
      <c r="P41" s="63" t="s">
        <v>18</v>
      </c>
      <c r="Q41" s="54">
        <f>ROUND($D41*O41/100,0)</f>
        <v>1889884</v>
      </c>
    </row>
    <row r="42" spans="1:17" x14ac:dyDescent="0.25">
      <c r="A42" s="19" t="s">
        <v>33</v>
      </c>
      <c r="C42" s="36">
        <v>36991495</v>
      </c>
      <c r="D42" s="36">
        <v>0</v>
      </c>
      <c r="H42" s="37">
        <v>4301600</v>
      </c>
      <c r="I42" s="37">
        <v>0</v>
      </c>
      <c r="N42" s="37"/>
      <c r="Q42" s="64"/>
    </row>
    <row r="43" spans="1:17" x14ac:dyDescent="0.25">
      <c r="A43" s="19" t="s">
        <v>34</v>
      </c>
      <c r="F43" s="23">
        <v>-3.9100000000000003E-2</v>
      </c>
      <c r="G43" s="24"/>
      <c r="H43" s="7">
        <f>SUM(H36:H38,H39:H41)*$F43</f>
        <v>-25995017.259100001</v>
      </c>
      <c r="I43" s="7">
        <f>SUM(I36:I38,I39:I41)*$F43</f>
        <v>-25312789.823900003</v>
      </c>
      <c r="K43" s="93" t="s">
        <v>489</v>
      </c>
      <c r="L43" s="23">
        <v>-3.0200000000000001E-2</v>
      </c>
      <c r="M43" s="24"/>
      <c r="N43" s="7">
        <f>L43*SUM(N29:N33,N41)</f>
        <v>-18904910.895399999</v>
      </c>
      <c r="O43" s="65">
        <f>L43</f>
        <v>-3.0200000000000001E-2</v>
      </c>
      <c r="P43" s="57"/>
      <c r="Q43" s="54">
        <f>O43*SUM(Q29:Q33,Q41)</f>
        <v>-18456482.148600001</v>
      </c>
    </row>
    <row r="44" spans="1:17" x14ac:dyDescent="0.25">
      <c r="A44" s="32" t="s">
        <v>35</v>
      </c>
      <c r="C44" s="6">
        <v>-325220</v>
      </c>
      <c r="D44" s="6">
        <v>-316213</v>
      </c>
      <c r="F44" s="23"/>
      <c r="G44" s="24"/>
      <c r="K44" s="93" t="s">
        <v>66</v>
      </c>
      <c r="L44" s="23">
        <v>-1.5100000000000001E-2</v>
      </c>
      <c r="M44" s="24"/>
      <c r="N44" s="7">
        <f>L44*SUM(N29:N33,N41)</f>
        <v>-9452455.4476999994</v>
      </c>
      <c r="O44" s="65">
        <f>L44</f>
        <v>-1.5100000000000001E-2</v>
      </c>
      <c r="P44" s="57"/>
      <c r="Q44" s="54">
        <f>O44*SUM(Q29:Q33,Q41)</f>
        <v>-9228241.0743000004</v>
      </c>
    </row>
    <row r="45" spans="1:17" ht="16.5" thickBot="1" x14ac:dyDescent="0.3">
      <c r="A45" s="19" t="s">
        <v>36</v>
      </c>
      <c r="C45" s="38">
        <v>6524019560.9562616</v>
      </c>
      <c r="D45" s="38">
        <v>6307369906.5283775</v>
      </c>
      <c r="F45" s="39"/>
      <c r="H45" s="40">
        <f>SUM(H12:H43)</f>
        <v>698656993.74090004</v>
      </c>
      <c r="I45" s="40">
        <f>SUM(I12:I43)</f>
        <v>678380166.17610002</v>
      </c>
      <c r="K45" s="39"/>
      <c r="L45" s="39"/>
      <c r="N45" s="40">
        <f>SUM(N13:N42)</f>
        <v>696453324</v>
      </c>
      <c r="O45" s="66"/>
      <c r="Q45" s="67">
        <f>SUM(Q13:Q42)</f>
        <v>695899681</v>
      </c>
    </row>
    <row r="46" spans="1:17" ht="16.5" thickTop="1" x14ac:dyDescent="0.25"/>
    <row r="47" spans="1:17" x14ac:dyDescent="0.25">
      <c r="A47" s="15" t="s">
        <v>37</v>
      </c>
    </row>
    <row r="48" spans="1:17" x14ac:dyDescent="0.25">
      <c r="A48" s="19" t="s">
        <v>7</v>
      </c>
      <c r="C48" s="6">
        <v>4580.7333333333299</v>
      </c>
      <c r="D48" s="6">
        <v>4350</v>
      </c>
      <c r="F48" s="20"/>
      <c r="G48" s="20"/>
      <c r="K48" s="20"/>
      <c r="L48" s="20"/>
      <c r="M48" s="20"/>
      <c r="O48" s="55"/>
      <c r="P48" s="55"/>
    </row>
    <row r="49" spans="1:17" x14ac:dyDescent="0.25">
      <c r="A49" s="19" t="s">
        <v>8</v>
      </c>
      <c r="C49" s="6">
        <v>4568.7333333333299</v>
      </c>
      <c r="D49" s="6">
        <v>4339</v>
      </c>
      <c r="F49" s="20">
        <v>6</v>
      </c>
      <c r="G49" s="20"/>
      <c r="H49" s="7">
        <f t="shared" ref="H49:I63" si="4">ROUND($F49*C49,0)</f>
        <v>27412</v>
      </c>
      <c r="I49" s="7">
        <f t="shared" si="4"/>
        <v>26034</v>
      </c>
      <c r="K49" s="20"/>
      <c r="L49" s="20"/>
      <c r="M49" s="20"/>
      <c r="O49" s="55"/>
      <c r="P49" s="55"/>
    </row>
    <row r="50" spans="1:17" x14ac:dyDescent="0.25">
      <c r="A50" s="19" t="s">
        <v>9</v>
      </c>
      <c r="C50" s="6">
        <v>3549.7999999999956</v>
      </c>
      <c r="D50" s="6">
        <v>3371</v>
      </c>
      <c r="F50" s="20"/>
      <c r="G50" s="20"/>
      <c r="K50" s="20"/>
      <c r="L50" s="20">
        <f>L13</f>
        <v>8</v>
      </c>
      <c r="M50" s="20"/>
      <c r="N50" s="7">
        <f>ROUND($D50*L50,0)</f>
        <v>26968</v>
      </c>
      <c r="O50" s="55">
        <f>O13</f>
        <v>10</v>
      </c>
      <c r="P50" s="55"/>
      <c r="Q50" s="54">
        <f>ROUND($D50*O50,0)</f>
        <v>33710</v>
      </c>
    </row>
    <row r="51" spans="1:17" x14ac:dyDescent="0.25">
      <c r="A51" s="19" t="s">
        <v>10</v>
      </c>
      <c r="C51" s="6">
        <v>1018.9333333333341</v>
      </c>
      <c r="D51" s="6">
        <v>968</v>
      </c>
      <c r="F51" s="20"/>
      <c r="G51" s="20"/>
      <c r="K51" s="20"/>
      <c r="L51" s="20">
        <f>L14</f>
        <v>6</v>
      </c>
      <c r="M51" s="20"/>
      <c r="N51" s="7">
        <f>ROUND($D51*L51,0)</f>
        <v>5808</v>
      </c>
      <c r="O51" s="55">
        <f>O14</f>
        <v>6</v>
      </c>
      <c r="P51" s="55"/>
      <c r="Q51" s="54">
        <f>ROUND($D51*O51,0)</f>
        <v>5808</v>
      </c>
    </row>
    <row r="52" spans="1:17" x14ac:dyDescent="0.25">
      <c r="A52" s="19" t="s">
        <v>11</v>
      </c>
      <c r="C52" s="6">
        <v>12</v>
      </c>
      <c r="D52" s="6">
        <v>11</v>
      </c>
      <c r="F52" s="20">
        <v>12</v>
      </c>
      <c r="G52" s="20"/>
      <c r="H52" s="7">
        <f t="shared" si="4"/>
        <v>144</v>
      </c>
      <c r="I52" s="7">
        <f t="shared" si="4"/>
        <v>132</v>
      </c>
      <c r="K52" s="20"/>
      <c r="L52" s="20"/>
      <c r="M52" s="20"/>
      <c r="O52" s="55"/>
      <c r="P52" s="55"/>
    </row>
    <row r="53" spans="1:17" x14ac:dyDescent="0.25">
      <c r="A53" s="19" t="s">
        <v>9</v>
      </c>
      <c r="C53" s="6">
        <v>12</v>
      </c>
      <c r="D53" s="6">
        <v>11</v>
      </c>
      <c r="F53" s="20"/>
      <c r="G53" s="20"/>
      <c r="K53" s="20"/>
      <c r="L53" s="20">
        <f>L16</f>
        <v>16</v>
      </c>
      <c r="M53" s="20"/>
      <c r="N53" s="7">
        <f>ROUND($D53*L53,0)</f>
        <v>176</v>
      </c>
      <c r="O53" s="55">
        <f>O16</f>
        <v>20</v>
      </c>
      <c r="P53" s="55"/>
      <c r="Q53" s="54">
        <f>ROUND($D53*O53,0)</f>
        <v>220</v>
      </c>
    </row>
    <row r="54" spans="1:17" x14ac:dyDescent="0.25">
      <c r="A54" s="19" t="s">
        <v>10</v>
      </c>
      <c r="C54" s="6">
        <v>0</v>
      </c>
      <c r="D54" s="6">
        <v>0</v>
      </c>
      <c r="F54" s="20"/>
      <c r="G54" s="20"/>
      <c r="K54" s="20"/>
      <c r="L54" s="20">
        <f>L17</f>
        <v>12</v>
      </c>
      <c r="M54" s="20"/>
      <c r="N54" s="7">
        <f>ROUND($D54*L54,0)</f>
        <v>0</v>
      </c>
      <c r="O54" s="55">
        <f>O17</f>
        <v>12</v>
      </c>
      <c r="P54" s="55"/>
      <c r="Q54" s="54">
        <f>ROUND($D54*O54,0)</f>
        <v>0</v>
      </c>
    </row>
    <row r="55" spans="1:17" x14ac:dyDescent="0.25">
      <c r="A55" s="19" t="s">
        <v>12</v>
      </c>
      <c r="C55" s="6">
        <v>0</v>
      </c>
      <c r="D55" s="6">
        <v>0</v>
      </c>
      <c r="F55" s="20">
        <v>2</v>
      </c>
      <c r="G55" s="20"/>
      <c r="H55" s="7">
        <f t="shared" si="4"/>
        <v>0</v>
      </c>
      <c r="I55" s="7">
        <f t="shared" si="4"/>
        <v>0</v>
      </c>
      <c r="K55" s="20"/>
      <c r="L55" s="20">
        <f t="shared" ref="L55:L56" si="5">L18</f>
        <v>2</v>
      </c>
      <c r="M55" s="20"/>
      <c r="N55" s="7">
        <f>ROUND($D55*L55,0)</f>
        <v>0</v>
      </c>
      <c r="O55" s="55">
        <f t="shared" ref="O55:O56" si="6">O18</f>
        <v>2</v>
      </c>
      <c r="P55" s="55"/>
      <c r="Q55" s="54">
        <f>ROUND($D55*O55,0)</f>
        <v>0</v>
      </c>
    </row>
    <row r="56" spans="1:17" x14ac:dyDescent="0.25">
      <c r="A56" s="19" t="s">
        <v>13</v>
      </c>
      <c r="C56" s="6">
        <v>0</v>
      </c>
      <c r="D56" s="6">
        <v>0</v>
      </c>
      <c r="F56" s="20">
        <v>22</v>
      </c>
      <c r="G56" s="20"/>
      <c r="H56" s="7">
        <f t="shared" si="4"/>
        <v>0</v>
      </c>
      <c r="I56" s="7">
        <f t="shared" si="4"/>
        <v>0</v>
      </c>
      <c r="K56" s="20"/>
      <c r="L56" s="20">
        <f t="shared" si="5"/>
        <v>22</v>
      </c>
      <c r="M56" s="20"/>
      <c r="N56" s="7">
        <f>ROUND($D56*L56,0)</f>
        <v>0</v>
      </c>
      <c r="O56" s="55">
        <f t="shared" si="6"/>
        <v>22</v>
      </c>
      <c r="P56" s="55"/>
      <c r="Q56" s="54">
        <f>ROUND($D56*O56,0)</f>
        <v>0</v>
      </c>
    </row>
    <row r="57" spans="1:17" x14ac:dyDescent="0.25">
      <c r="A57" s="19" t="s">
        <v>14</v>
      </c>
      <c r="C57" s="6">
        <v>9.9312500000000004</v>
      </c>
      <c r="D57" s="6">
        <v>9</v>
      </c>
      <c r="F57" s="20">
        <v>8</v>
      </c>
      <c r="G57" s="20"/>
      <c r="H57" s="7">
        <f t="shared" si="4"/>
        <v>79</v>
      </c>
      <c r="I57" s="7">
        <f t="shared" si="4"/>
        <v>72</v>
      </c>
      <c r="K57" s="20"/>
      <c r="L57" s="20"/>
      <c r="M57" s="20"/>
      <c r="O57" s="55"/>
      <c r="P57" s="55"/>
    </row>
    <row r="58" spans="1:17" x14ac:dyDescent="0.25">
      <c r="A58" s="19" t="s">
        <v>9</v>
      </c>
      <c r="C58" s="6">
        <v>5.5075000000000003</v>
      </c>
      <c r="D58" s="6">
        <v>5</v>
      </c>
      <c r="F58" s="20"/>
      <c r="G58" s="20"/>
      <c r="K58" s="20"/>
      <c r="L58" s="20"/>
      <c r="M58" s="20"/>
      <c r="O58" s="55"/>
      <c r="P58" s="55"/>
    </row>
    <row r="59" spans="1:17" x14ac:dyDescent="0.25">
      <c r="A59" s="19" t="s">
        <v>10</v>
      </c>
      <c r="C59" s="6">
        <v>4.4237500000000001</v>
      </c>
      <c r="D59" s="6">
        <v>4</v>
      </c>
      <c r="F59" s="20"/>
      <c r="G59" s="20"/>
      <c r="K59" s="20"/>
      <c r="L59" s="20"/>
      <c r="M59" s="20"/>
      <c r="O59" s="55"/>
      <c r="P59" s="55"/>
    </row>
    <row r="60" spans="1:17" x14ac:dyDescent="0.25">
      <c r="A60" s="19" t="s">
        <v>15</v>
      </c>
      <c r="C60" s="6">
        <v>0</v>
      </c>
      <c r="D60" s="6">
        <v>0</v>
      </c>
      <c r="F60" s="20">
        <v>16</v>
      </c>
      <c r="G60" s="20"/>
      <c r="H60" s="7">
        <f t="shared" si="4"/>
        <v>0</v>
      </c>
      <c r="I60" s="7">
        <f t="shared" si="4"/>
        <v>0</v>
      </c>
      <c r="K60" s="20"/>
      <c r="L60" s="20"/>
      <c r="M60" s="20"/>
      <c r="O60" s="55"/>
      <c r="P60" s="55"/>
    </row>
    <row r="61" spans="1:17" x14ac:dyDescent="0.25">
      <c r="A61" s="19" t="s">
        <v>9</v>
      </c>
      <c r="C61" s="6">
        <v>0</v>
      </c>
      <c r="D61" s="6">
        <v>0</v>
      </c>
      <c r="F61" s="20"/>
      <c r="G61" s="20"/>
      <c r="K61" s="20"/>
      <c r="L61" s="20"/>
      <c r="M61" s="20"/>
      <c r="O61" s="55"/>
      <c r="P61" s="55"/>
    </row>
    <row r="62" spans="1:17" x14ac:dyDescent="0.25">
      <c r="A62" s="19" t="s">
        <v>10</v>
      </c>
      <c r="C62" s="6">
        <v>0</v>
      </c>
      <c r="D62" s="6">
        <v>0</v>
      </c>
      <c r="F62" s="20"/>
      <c r="G62" s="20"/>
      <c r="K62" s="20"/>
      <c r="L62" s="20"/>
      <c r="M62" s="20"/>
      <c r="O62" s="55"/>
      <c r="P62" s="55"/>
    </row>
    <row r="63" spans="1:17" x14ac:dyDescent="0.25">
      <c r="A63" s="19" t="s">
        <v>16</v>
      </c>
      <c r="C63" s="6">
        <v>0</v>
      </c>
      <c r="D63" s="6">
        <v>0</v>
      </c>
      <c r="F63" s="20">
        <v>96</v>
      </c>
      <c r="G63" s="20"/>
      <c r="H63" s="7">
        <f t="shared" si="4"/>
        <v>0</v>
      </c>
      <c r="I63" s="7">
        <f t="shared" si="4"/>
        <v>0</v>
      </c>
      <c r="K63" s="20"/>
      <c r="L63" s="20"/>
      <c r="M63" s="20"/>
      <c r="O63" s="55"/>
      <c r="P63" s="55"/>
    </row>
    <row r="64" spans="1:17" x14ac:dyDescent="0.25">
      <c r="A64" s="19" t="s">
        <v>17</v>
      </c>
      <c r="C64" s="6">
        <v>263196.06186238333</v>
      </c>
      <c r="D64" s="6">
        <v>258230</v>
      </c>
      <c r="F64" s="25"/>
      <c r="G64" s="26"/>
      <c r="K64" s="25"/>
      <c r="L64" s="25">
        <f>L27</f>
        <v>4.3559999999999999</v>
      </c>
      <c r="M64" s="26" t="s">
        <v>18</v>
      </c>
      <c r="N64" s="7">
        <f t="shared" ref="N64:N70" si="7">ROUND($D64*L64/100,0)</f>
        <v>11248</v>
      </c>
      <c r="O64" s="58">
        <f>O27</f>
        <v>4.3559999999999999</v>
      </c>
      <c r="P64" s="59" t="s">
        <v>18</v>
      </c>
      <c r="Q64" s="54">
        <f t="shared" ref="Q64:Q70" si="8">ROUND($D64*O64/100,0)</f>
        <v>11248</v>
      </c>
    </row>
    <row r="65" spans="1:17" x14ac:dyDescent="0.25">
      <c r="A65" s="19" t="s">
        <v>19</v>
      </c>
      <c r="C65" s="6">
        <v>841159.57580179488</v>
      </c>
      <c r="D65" s="6">
        <v>825288</v>
      </c>
      <c r="F65" s="25"/>
      <c r="G65" s="26"/>
      <c r="K65" s="25"/>
      <c r="L65" s="25">
        <f t="shared" ref="L65:L70" si="9">L28</f>
        <v>-1.6334</v>
      </c>
      <c r="M65" s="26" t="s">
        <v>18</v>
      </c>
      <c r="N65" s="7">
        <f t="shared" si="7"/>
        <v>-13480</v>
      </c>
      <c r="O65" s="58">
        <f t="shared" ref="O65:O70" si="10">O28</f>
        <v>-1.6334</v>
      </c>
      <c r="P65" s="59" t="s">
        <v>18</v>
      </c>
      <c r="Q65" s="54">
        <f t="shared" si="8"/>
        <v>-13480</v>
      </c>
    </row>
    <row r="66" spans="1:17" x14ac:dyDescent="0.25">
      <c r="A66" s="19" t="s">
        <v>20</v>
      </c>
      <c r="C66" s="6">
        <v>505496.57354245015</v>
      </c>
      <c r="D66" s="6">
        <v>495959</v>
      </c>
      <c r="F66" s="30"/>
      <c r="G66" s="26"/>
      <c r="K66" s="25"/>
      <c r="L66" s="25">
        <f t="shared" si="9"/>
        <v>9.2802000000000007</v>
      </c>
      <c r="M66" s="26" t="s">
        <v>18</v>
      </c>
      <c r="N66" s="7">
        <f t="shared" si="7"/>
        <v>46026</v>
      </c>
      <c r="O66" s="58">
        <f t="shared" si="10"/>
        <v>9.0279000000000007</v>
      </c>
      <c r="P66" s="59" t="s">
        <v>18</v>
      </c>
      <c r="Q66" s="54">
        <f t="shared" si="8"/>
        <v>44775</v>
      </c>
    </row>
    <row r="67" spans="1:17" x14ac:dyDescent="0.25">
      <c r="A67" s="19" t="s">
        <v>21</v>
      </c>
      <c r="C67" s="6">
        <v>415305.77282962773</v>
      </c>
      <c r="D67" s="6">
        <v>407470</v>
      </c>
      <c r="F67" s="30"/>
      <c r="G67" s="26"/>
      <c r="K67" s="25"/>
      <c r="L67" s="25">
        <f t="shared" si="9"/>
        <v>11.9733</v>
      </c>
      <c r="M67" s="26" t="s">
        <v>18</v>
      </c>
      <c r="N67" s="7">
        <f t="shared" si="7"/>
        <v>48788</v>
      </c>
      <c r="O67" s="58">
        <f t="shared" si="10"/>
        <v>11.721</v>
      </c>
      <c r="P67" s="59" t="s">
        <v>18</v>
      </c>
      <c r="Q67" s="54">
        <f t="shared" si="8"/>
        <v>47760</v>
      </c>
    </row>
    <row r="68" spans="1:17" x14ac:dyDescent="0.25">
      <c r="A68" s="19" t="s">
        <v>22</v>
      </c>
      <c r="C68" s="6">
        <v>190083.01295245861</v>
      </c>
      <c r="D68" s="6">
        <v>186496</v>
      </c>
      <c r="F68" s="30"/>
      <c r="G68" s="26"/>
      <c r="K68" s="25"/>
      <c r="L68" s="25">
        <f t="shared" si="9"/>
        <v>11.9733</v>
      </c>
      <c r="M68" s="26" t="s">
        <v>18</v>
      </c>
      <c r="N68" s="7">
        <f t="shared" si="7"/>
        <v>22330</v>
      </c>
      <c r="O68" s="58">
        <f t="shared" si="10"/>
        <v>11.721</v>
      </c>
      <c r="P68" s="59" t="s">
        <v>18</v>
      </c>
      <c r="Q68" s="54">
        <f t="shared" si="8"/>
        <v>21859</v>
      </c>
    </row>
    <row r="69" spans="1:17" x14ac:dyDescent="0.25">
      <c r="A69" s="19" t="s">
        <v>23</v>
      </c>
      <c r="B69" s="29"/>
      <c r="C69" s="6">
        <v>1072308.8189568296</v>
      </c>
      <c r="D69" s="6">
        <v>919695</v>
      </c>
      <c r="E69" s="29"/>
      <c r="F69" s="30"/>
      <c r="G69" s="26"/>
      <c r="J69" s="29"/>
      <c r="K69" s="25"/>
      <c r="L69" s="25">
        <f t="shared" si="9"/>
        <v>8.2126000000000001</v>
      </c>
      <c r="M69" s="26" t="s">
        <v>18</v>
      </c>
      <c r="N69" s="7">
        <f t="shared" si="7"/>
        <v>75531</v>
      </c>
      <c r="O69" s="58">
        <f t="shared" si="10"/>
        <v>7.9893000000000001</v>
      </c>
      <c r="P69" s="59" t="s">
        <v>18</v>
      </c>
      <c r="Q69" s="54">
        <f t="shared" si="8"/>
        <v>73477</v>
      </c>
    </row>
    <row r="70" spans="1:17" x14ac:dyDescent="0.25">
      <c r="A70" s="19" t="s">
        <v>24</v>
      </c>
      <c r="B70" s="29"/>
      <c r="C70" s="6">
        <v>856284.82535598439</v>
      </c>
      <c r="D70" s="6">
        <v>734416</v>
      </c>
      <c r="E70" s="29"/>
      <c r="F70" s="30"/>
      <c r="G70" s="26"/>
      <c r="J70" s="29"/>
      <c r="K70" s="25"/>
      <c r="L70" s="25">
        <f t="shared" si="9"/>
        <v>10.5959</v>
      </c>
      <c r="M70" s="26" t="s">
        <v>18</v>
      </c>
      <c r="N70" s="7">
        <f t="shared" si="7"/>
        <v>77818</v>
      </c>
      <c r="O70" s="58">
        <f t="shared" si="10"/>
        <v>10.3725</v>
      </c>
      <c r="P70" s="59" t="s">
        <v>18</v>
      </c>
      <c r="Q70" s="54">
        <f t="shared" si="8"/>
        <v>76177</v>
      </c>
    </row>
    <row r="71" spans="1:17" x14ac:dyDescent="0.25">
      <c r="A71" s="19" t="s">
        <v>25</v>
      </c>
      <c r="C71" s="6">
        <v>319777</v>
      </c>
      <c r="D71" s="6">
        <v>302460</v>
      </c>
      <c r="F71" s="25">
        <v>4.3559999999999999</v>
      </c>
      <c r="G71" s="26" t="s">
        <v>18</v>
      </c>
      <c r="H71" s="7">
        <f t="shared" ref="H71:I78" si="11">ROUND($F71*C71/100,0)</f>
        <v>13929</v>
      </c>
      <c r="I71" s="7">
        <f t="shared" si="11"/>
        <v>13175</v>
      </c>
      <c r="K71" s="25"/>
      <c r="L71" s="25"/>
      <c r="M71" s="26"/>
      <c r="O71" s="58"/>
      <c r="P71" s="59"/>
    </row>
    <row r="72" spans="1:17" x14ac:dyDescent="0.25">
      <c r="A72" s="19" t="s">
        <v>26</v>
      </c>
      <c r="C72" s="6">
        <v>1008879.7824872736</v>
      </c>
      <c r="D72" s="6">
        <v>954246</v>
      </c>
      <c r="F72" s="25">
        <v>-1.6334</v>
      </c>
      <c r="G72" s="26" t="s">
        <v>18</v>
      </c>
      <c r="H72" s="7">
        <f t="shared" si="11"/>
        <v>-16479</v>
      </c>
      <c r="I72" s="7">
        <f t="shared" si="11"/>
        <v>-15587</v>
      </c>
      <c r="K72" s="25"/>
      <c r="L72" s="25"/>
      <c r="M72" s="26"/>
      <c r="O72" s="58"/>
      <c r="P72" s="59"/>
    </row>
    <row r="73" spans="1:17" x14ac:dyDescent="0.25">
      <c r="A73" s="19" t="s">
        <v>27</v>
      </c>
      <c r="C73" s="6">
        <v>652800</v>
      </c>
      <c r="D73" s="6">
        <v>617449</v>
      </c>
      <c r="F73" s="30">
        <v>8.8498000000000001</v>
      </c>
      <c r="G73" s="26" t="s">
        <v>18</v>
      </c>
      <c r="H73" s="7">
        <f t="shared" si="11"/>
        <v>57771</v>
      </c>
      <c r="I73" s="7">
        <f t="shared" si="11"/>
        <v>54643</v>
      </c>
      <c r="K73" s="30"/>
      <c r="L73" s="30"/>
      <c r="M73" s="26"/>
      <c r="O73" s="61"/>
      <c r="P73" s="59"/>
    </row>
    <row r="74" spans="1:17" x14ac:dyDescent="0.25">
      <c r="A74" s="19" t="s">
        <v>28</v>
      </c>
      <c r="C74" s="6">
        <v>477029</v>
      </c>
      <c r="D74" s="6">
        <v>451197</v>
      </c>
      <c r="F74" s="30">
        <v>11.542899999999999</v>
      </c>
      <c r="G74" s="26" t="s">
        <v>18</v>
      </c>
      <c r="H74" s="7">
        <f t="shared" si="11"/>
        <v>55063</v>
      </c>
      <c r="I74" s="7">
        <f t="shared" si="11"/>
        <v>52081</v>
      </c>
      <c r="K74" s="30"/>
      <c r="L74" s="30"/>
      <c r="M74" s="26"/>
      <c r="O74" s="61"/>
      <c r="P74" s="59"/>
    </row>
    <row r="75" spans="1:17" x14ac:dyDescent="0.25">
      <c r="A75" s="19" t="s">
        <v>29</v>
      </c>
      <c r="C75" s="6">
        <v>198835.78248727357</v>
      </c>
      <c r="D75" s="6">
        <v>188068</v>
      </c>
      <c r="F75" s="30">
        <v>14.450799999999999</v>
      </c>
      <c r="G75" s="26" t="s">
        <v>18</v>
      </c>
      <c r="H75" s="7">
        <f t="shared" si="11"/>
        <v>28733</v>
      </c>
      <c r="I75" s="7">
        <f t="shared" si="11"/>
        <v>27177</v>
      </c>
      <c r="K75" s="30"/>
      <c r="L75" s="30"/>
      <c r="M75" s="26"/>
      <c r="O75" s="61"/>
      <c r="P75" s="59"/>
    </row>
    <row r="76" spans="1:17" x14ac:dyDescent="0.25">
      <c r="A76" s="19" t="s">
        <v>30</v>
      </c>
      <c r="B76" s="29"/>
      <c r="C76" s="6">
        <v>931922</v>
      </c>
      <c r="D76" s="6">
        <v>810180</v>
      </c>
      <c r="E76" s="29"/>
      <c r="F76" s="30">
        <v>8.8498000000000001</v>
      </c>
      <c r="G76" s="26" t="s">
        <v>18</v>
      </c>
      <c r="H76" s="7">
        <f t="shared" si="11"/>
        <v>82473</v>
      </c>
      <c r="I76" s="7">
        <f t="shared" si="11"/>
        <v>71699</v>
      </c>
      <c r="J76" s="29"/>
      <c r="K76" s="30"/>
      <c r="L76" s="30"/>
      <c r="M76" s="26"/>
      <c r="O76" s="61"/>
      <c r="P76" s="59"/>
    </row>
    <row r="77" spans="1:17" x14ac:dyDescent="0.25">
      <c r="A77" s="19" t="s">
        <v>31</v>
      </c>
      <c r="B77" s="29"/>
      <c r="C77" s="6">
        <v>778892.22115007683</v>
      </c>
      <c r="D77" s="6">
        <v>677142</v>
      </c>
      <c r="E77" s="29"/>
      <c r="F77" s="30">
        <v>10.7072</v>
      </c>
      <c r="G77" s="26" t="s">
        <v>18</v>
      </c>
      <c r="H77" s="7">
        <f t="shared" si="11"/>
        <v>83398</v>
      </c>
      <c r="I77" s="7">
        <f t="shared" si="11"/>
        <v>72503</v>
      </c>
      <c r="J77" s="29"/>
      <c r="K77" s="30"/>
      <c r="L77" s="30"/>
      <c r="M77" s="26"/>
      <c r="O77" s="61"/>
      <c r="P77" s="59"/>
    </row>
    <row r="78" spans="1:17" x14ac:dyDescent="0.25">
      <c r="A78" s="32" t="s">
        <v>32</v>
      </c>
      <c r="B78" s="33"/>
      <c r="C78" s="34">
        <v>0</v>
      </c>
      <c r="D78" s="6">
        <v>0</v>
      </c>
      <c r="E78" s="33"/>
      <c r="F78" s="31">
        <v>11.7033</v>
      </c>
      <c r="G78" s="35" t="s">
        <v>18</v>
      </c>
      <c r="H78" s="18">
        <f t="shared" si="11"/>
        <v>0</v>
      </c>
      <c r="I78" s="18">
        <f t="shared" si="11"/>
        <v>0</v>
      </c>
      <c r="J78" s="33"/>
      <c r="K78" s="31"/>
      <c r="L78" s="31">
        <f>L41</f>
        <v>12.243600000000001</v>
      </c>
      <c r="M78" s="35" t="s">
        <v>18</v>
      </c>
      <c r="N78" s="7">
        <f>ROUND($D78*L78/100,0)</f>
        <v>0</v>
      </c>
      <c r="O78" s="62">
        <f>O41</f>
        <v>11.912599999999999</v>
      </c>
      <c r="P78" s="63" t="s">
        <v>18</v>
      </c>
      <c r="Q78" s="54">
        <f>ROUND($D78*O78/100,0)</f>
        <v>0</v>
      </c>
    </row>
    <row r="79" spans="1:17" x14ac:dyDescent="0.25">
      <c r="A79" s="19" t="s">
        <v>33</v>
      </c>
      <c r="C79" s="36">
        <v>17487</v>
      </c>
      <c r="D79" s="36">
        <v>0</v>
      </c>
      <c r="H79" s="37">
        <v>2003</v>
      </c>
      <c r="I79" s="37">
        <v>0</v>
      </c>
      <c r="N79" s="37">
        <v>0</v>
      </c>
      <c r="Q79" s="64">
        <v>0</v>
      </c>
    </row>
    <row r="80" spans="1:17" x14ac:dyDescent="0.25">
      <c r="A80" s="19" t="s">
        <v>34</v>
      </c>
      <c r="F80" s="23">
        <v>-3.9100000000000003E-2</v>
      </c>
      <c r="G80" s="24"/>
      <c r="H80" s="7">
        <f>SUM(H73:H75,H76:H78)*$F80</f>
        <v>-12020.825800000001</v>
      </c>
      <c r="I80" s="7">
        <f>SUM(I73:I75,I76:I78)*$F80</f>
        <v>-10873.827300000001</v>
      </c>
      <c r="K80" s="93" t="str">
        <f>$K$43</f>
        <v>TAA 1 (1/1/2021)</v>
      </c>
      <c r="L80" s="23">
        <f>$L$43</f>
        <v>-3.0200000000000001E-2</v>
      </c>
      <c r="M80" s="24"/>
      <c r="N80" s="7">
        <f>L80*SUM(N66:N70,N78)</f>
        <v>-8168.8886000000002</v>
      </c>
      <c r="O80" s="65">
        <f>$L$43</f>
        <v>-3.0200000000000001E-2</v>
      </c>
      <c r="P80" s="57"/>
      <c r="Q80" s="54">
        <f>O80*SUM(Q66:Q70,Q78)</f>
        <v>-7974.2496000000001</v>
      </c>
    </row>
    <row r="81" spans="1:17" x14ac:dyDescent="0.25">
      <c r="A81" s="32" t="s">
        <v>35</v>
      </c>
      <c r="C81" s="6">
        <v>0</v>
      </c>
      <c r="D81" s="6">
        <v>0</v>
      </c>
      <c r="F81" s="23"/>
      <c r="G81" s="24"/>
      <c r="K81" s="93" t="str">
        <f>$K$44</f>
        <v>TAA 2 (1/1/2022)</v>
      </c>
      <c r="L81" s="23">
        <f>$L$44</f>
        <v>-1.5100000000000001E-2</v>
      </c>
      <c r="M81" s="24"/>
      <c r="N81" s="7">
        <f>L81*SUM(N66:N70,N78)</f>
        <v>-4084.4443000000001</v>
      </c>
      <c r="O81" s="65">
        <f>$L$44</f>
        <v>-1.5100000000000001E-2</v>
      </c>
      <c r="P81" s="57"/>
      <c r="Q81" s="54">
        <f>O81*SUM(Q66:Q70,Q78)</f>
        <v>-3987.1248000000001</v>
      </c>
    </row>
    <row r="82" spans="1:17" ht="16.5" thickBot="1" x14ac:dyDescent="0.3">
      <c r="A82" s="19" t="s">
        <v>36</v>
      </c>
      <c r="C82" s="38">
        <v>3056966.0036373506</v>
      </c>
      <c r="D82" s="38">
        <v>2744036</v>
      </c>
      <c r="F82" s="41"/>
      <c r="H82" s="95">
        <f>SUM(H49:H80)</f>
        <v>322505.17420000001</v>
      </c>
      <c r="I82" s="95">
        <f>SUM(I49:I80)</f>
        <v>291055.1727</v>
      </c>
      <c r="K82" s="41"/>
      <c r="L82" s="41"/>
      <c r="N82" s="40">
        <f>SUM(N50:N79)</f>
        <v>301213</v>
      </c>
      <c r="O82" s="68"/>
      <c r="Q82" s="67">
        <f>SUM(Q50:Q79)</f>
        <v>301554</v>
      </c>
    </row>
    <row r="83" spans="1:17" ht="16.5" thickTop="1" x14ac:dyDescent="0.25"/>
    <row r="84" spans="1:17" s="16" customFormat="1" x14ac:dyDescent="0.25">
      <c r="A84" s="42" t="s">
        <v>38</v>
      </c>
      <c r="C84" s="34"/>
      <c r="D84" s="34"/>
      <c r="H84" s="18"/>
      <c r="I84" s="18"/>
      <c r="N84" s="18"/>
      <c r="O84" s="69"/>
      <c r="P84" s="69"/>
      <c r="Q84" s="70"/>
    </row>
    <row r="85" spans="1:17" s="16" customFormat="1" x14ac:dyDescent="0.25">
      <c r="A85" s="32" t="s">
        <v>7</v>
      </c>
      <c r="C85" s="34">
        <v>3278.9666666666699</v>
      </c>
      <c r="D85" s="34">
        <v>3114</v>
      </c>
      <c r="F85" s="21"/>
      <c r="G85" s="21"/>
      <c r="H85" s="18"/>
      <c r="I85" s="18"/>
      <c r="K85" s="21"/>
      <c r="L85" s="21"/>
      <c r="M85" s="21"/>
      <c r="N85" s="18"/>
      <c r="O85" s="71"/>
      <c r="P85" s="71"/>
      <c r="Q85" s="70"/>
    </row>
    <row r="86" spans="1:17" s="16" customFormat="1" x14ac:dyDescent="0.25">
      <c r="A86" s="32" t="s">
        <v>8</v>
      </c>
      <c r="C86" s="34">
        <v>3278.9666666666699</v>
      </c>
      <c r="D86" s="6">
        <v>3114</v>
      </c>
      <c r="F86" s="21">
        <v>6</v>
      </c>
      <c r="G86" s="21"/>
      <c r="H86" s="18">
        <f t="shared" ref="H86:I100" si="12">ROUND($F86*C86,0)</f>
        <v>19674</v>
      </c>
      <c r="I86" s="18">
        <f t="shared" si="12"/>
        <v>18684</v>
      </c>
      <c r="K86" s="21"/>
      <c r="L86" s="21"/>
      <c r="M86" s="21"/>
      <c r="N86" s="18"/>
      <c r="O86" s="71"/>
      <c r="P86" s="71"/>
      <c r="Q86" s="70"/>
    </row>
    <row r="87" spans="1:17" x14ac:dyDescent="0.25">
      <c r="A87" s="19" t="s">
        <v>9</v>
      </c>
      <c r="C87" s="6">
        <v>3077.9000000000033</v>
      </c>
      <c r="D87" s="6">
        <v>2923</v>
      </c>
      <c r="F87" s="20"/>
      <c r="G87" s="20"/>
      <c r="K87" s="20"/>
      <c r="L87" s="20">
        <f>L13</f>
        <v>8</v>
      </c>
      <c r="M87" s="20"/>
      <c r="N87" s="18">
        <f>ROUND($D87*L87,0)</f>
        <v>23384</v>
      </c>
      <c r="O87" s="55">
        <f>O13</f>
        <v>10</v>
      </c>
      <c r="P87" s="55"/>
      <c r="Q87" s="70">
        <f>ROUND($D87*O87,0)</f>
        <v>29230</v>
      </c>
    </row>
    <row r="88" spans="1:17" x14ac:dyDescent="0.25">
      <c r="A88" s="19" t="s">
        <v>10</v>
      </c>
      <c r="C88" s="6">
        <v>201.06666666666672</v>
      </c>
      <c r="D88" s="6">
        <v>191</v>
      </c>
      <c r="F88" s="20"/>
      <c r="G88" s="20"/>
      <c r="K88" s="20"/>
      <c r="L88" s="20">
        <f>L14</f>
        <v>6</v>
      </c>
      <c r="M88" s="20"/>
      <c r="N88" s="18">
        <f>ROUND($D88*L88,0)</f>
        <v>1146</v>
      </c>
      <c r="O88" s="55">
        <f>O14</f>
        <v>6</v>
      </c>
      <c r="P88" s="55"/>
      <c r="Q88" s="70">
        <f>ROUND($D88*O88,0)</f>
        <v>1146</v>
      </c>
    </row>
    <row r="89" spans="1:17" s="16" customFormat="1" x14ac:dyDescent="0.25">
      <c r="A89" s="32" t="s">
        <v>11</v>
      </c>
      <c r="C89" s="34">
        <v>0</v>
      </c>
      <c r="D89" s="6">
        <v>0</v>
      </c>
      <c r="F89" s="21">
        <v>12</v>
      </c>
      <c r="G89" s="21"/>
      <c r="H89" s="18">
        <f t="shared" si="12"/>
        <v>0</v>
      </c>
      <c r="I89" s="18">
        <f t="shared" si="12"/>
        <v>0</v>
      </c>
      <c r="K89" s="21"/>
      <c r="L89" s="21"/>
      <c r="M89" s="21"/>
      <c r="N89" s="18"/>
      <c r="O89" s="71"/>
      <c r="P89" s="71"/>
      <c r="Q89" s="70"/>
    </row>
    <row r="90" spans="1:17" x14ac:dyDescent="0.25">
      <c r="A90" s="19" t="s">
        <v>9</v>
      </c>
      <c r="C90" s="6">
        <v>0</v>
      </c>
      <c r="F90" s="20"/>
      <c r="G90" s="20"/>
      <c r="K90" s="20"/>
      <c r="L90" s="20">
        <f>L16</f>
        <v>16</v>
      </c>
      <c r="M90" s="20"/>
      <c r="N90" s="18">
        <f>ROUND($D90*L90,0)</f>
        <v>0</v>
      </c>
      <c r="O90" s="55">
        <f>O16</f>
        <v>20</v>
      </c>
      <c r="P90" s="55"/>
      <c r="Q90" s="70">
        <f>ROUND($D90*O90,0)</f>
        <v>0</v>
      </c>
    </row>
    <row r="91" spans="1:17" x14ac:dyDescent="0.25">
      <c r="A91" s="19" t="s">
        <v>10</v>
      </c>
      <c r="C91" s="6">
        <v>0</v>
      </c>
      <c r="F91" s="20"/>
      <c r="G91" s="20"/>
      <c r="K91" s="20"/>
      <c r="L91" s="20">
        <f>L17</f>
        <v>12</v>
      </c>
      <c r="M91" s="20"/>
      <c r="N91" s="18">
        <f>ROUND($D91*L91,0)</f>
        <v>0</v>
      </c>
      <c r="O91" s="55">
        <f>O17</f>
        <v>12</v>
      </c>
      <c r="P91" s="55"/>
      <c r="Q91" s="70">
        <f>ROUND($D91*O91,0)</f>
        <v>0</v>
      </c>
    </row>
    <row r="92" spans="1:17" x14ac:dyDescent="0.25">
      <c r="A92" s="19" t="s">
        <v>12</v>
      </c>
      <c r="C92" s="6">
        <v>0</v>
      </c>
      <c r="D92" s="6">
        <v>0</v>
      </c>
      <c r="F92" s="20">
        <v>2</v>
      </c>
      <c r="G92" s="20"/>
      <c r="H92" s="7">
        <f t="shared" ref="H92:I92" si="13">ROUND($F92*C92,0)</f>
        <v>0</v>
      </c>
      <c r="I92" s="7">
        <f t="shared" si="13"/>
        <v>0</v>
      </c>
      <c r="K92" s="20"/>
      <c r="L92" s="20">
        <f t="shared" ref="L92:L93" si="14">L18</f>
        <v>2</v>
      </c>
      <c r="M92" s="20"/>
      <c r="N92" s="18">
        <f>ROUND($D92*L92,0)</f>
        <v>0</v>
      </c>
      <c r="O92" s="55">
        <f t="shared" ref="O92:O93" si="15">O18</f>
        <v>2</v>
      </c>
      <c r="P92" s="55"/>
      <c r="Q92" s="70">
        <f>ROUND($D92*O92,0)</f>
        <v>0</v>
      </c>
    </row>
    <row r="93" spans="1:17" x14ac:dyDescent="0.25">
      <c r="A93" s="19" t="s">
        <v>13</v>
      </c>
      <c r="C93" s="6">
        <v>0</v>
      </c>
      <c r="D93" s="6">
        <v>0</v>
      </c>
      <c r="F93" s="20">
        <v>22</v>
      </c>
      <c r="G93" s="20"/>
      <c r="H93" s="7">
        <f t="shared" si="12"/>
        <v>0</v>
      </c>
      <c r="I93" s="7">
        <f t="shared" si="12"/>
        <v>0</v>
      </c>
      <c r="K93" s="20"/>
      <c r="L93" s="20">
        <f t="shared" si="14"/>
        <v>22</v>
      </c>
      <c r="M93" s="20"/>
      <c r="N93" s="18">
        <f>ROUND($D93*L93,0)</f>
        <v>0</v>
      </c>
      <c r="O93" s="55">
        <f t="shared" si="15"/>
        <v>22</v>
      </c>
      <c r="P93" s="55"/>
      <c r="Q93" s="70">
        <f>ROUND($D93*O93,0)</f>
        <v>0</v>
      </c>
    </row>
    <row r="94" spans="1:17" s="16" customFormat="1" x14ac:dyDescent="0.25">
      <c r="A94" s="32" t="s">
        <v>14</v>
      </c>
      <c r="C94" s="34">
        <v>0.1</v>
      </c>
      <c r="D94" s="6">
        <v>0</v>
      </c>
      <c r="F94" s="21">
        <v>8</v>
      </c>
      <c r="G94" s="21"/>
      <c r="H94" s="18">
        <f t="shared" si="12"/>
        <v>1</v>
      </c>
      <c r="I94" s="18">
        <f t="shared" si="12"/>
        <v>0</v>
      </c>
      <c r="K94" s="21"/>
      <c r="L94" s="21"/>
      <c r="M94" s="21"/>
      <c r="N94" s="18"/>
      <c r="O94" s="71"/>
      <c r="P94" s="71"/>
      <c r="Q94" s="70"/>
    </row>
    <row r="95" spans="1:17" x14ac:dyDescent="0.25">
      <c r="A95" s="19" t="s">
        <v>9</v>
      </c>
      <c r="C95" s="6">
        <v>0.1</v>
      </c>
      <c r="D95" s="6">
        <v>0</v>
      </c>
      <c r="F95" s="20"/>
      <c r="G95" s="20"/>
      <c r="K95" s="20"/>
      <c r="L95" s="20"/>
      <c r="M95" s="20"/>
      <c r="O95" s="55"/>
      <c r="P95" s="55"/>
    </row>
    <row r="96" spans="1:17" x14ac:dyDescent="0.25">
      <c r="A96" s="19" t="s">
        <v>10</v>
      </c>
      <c r="C96" s="6">
        <v>0</v>
      </c>
      <c r="D96" s="6">
        <v>0</v>
      </c>
      <c r="F96" s="20"/>
      <c r="G96" s="20"/>
      <c r="K96" s="20"/>
      <c r="L96" s="20"/>
      <c r="M96" s="20"/>
      <c r="O96" s="55"/>
      <c r="P96" s="55"/>
    </row>
    <row r="97" spans="1:17" s="16" customFormat="1" x14ac:dyDescent="0.25">
      <c r="A97" s="32" t="s">
        <v>15</v>
      </c>
      <c r="C97" s="34">
        <v>0</v>
      </c>
      <c r="D97" s="6">
        <v>0</v>
      </c>
      <c r="F97" s="21">
        <v>16</v>
      </c>
      <c r="G97" s="21"/>
      <c r="H97" s="18">
        <f t="shared" si="12"/>
        <v>0</v>
      </c>
      <c r="I97" s="18">
        <f t="shared" si="12"/>
        <v>0</v>
      </c>
      <c r="K97" s="21"/>
      <c r="L97" s="21"/>
      <c r="M97" s="21"/>
      <c r="N97" s="18"/>
      <c r="O97" s="71"/>
      <c r="P97" s="71"/>
      <c r="Q97" s="70"/>
    </row>
    <row r="98" spans="1:17" x14ac:dyDescent="0.25">
      <c r="A98" s="19" t="s">
        <v>9</v>
      </c>
      <c r="C98" s="6">
        <v>0</v>
      </c>
      <c r="F98" s="20"/>
      <c r="G98" s="20"/>
      <c r="K98" s="21"/>
      <c r="L98" s="20"/>
      <c r="M98" s="20"/>
      <c r="O98" s="55"/>
      <c r="P98" s="55"/>
    </row>
    <row r="99" spans="1:17" x14ac:dyDescent="0.25">
      <c r="A99" s="19" t="s">
        <v>10</v>
      </c>
      <c r="C99" s="6">
        <v>0</v>
      </c>
      <c r="F99" s="20"/>
      <c r="G99" s="20"/>
      <c r="K99" s="21"/>
      <c r="L99" s="20"/>
      <c r="M99" s="20"/>
      <c r="O99" s="55"/>
      <c r="P99" s="55"/>
    </row>
    <row r="100" spans="1:17" s="16" customFormat="1" x14ac:dyDescent="0.25">
      <c r="A100" s="32" t="s">
        <v>16</v>
      </c>
      <c r="C100" s="34">
        <v>0</v>
      </c>
      <c r="D100" s="6">
        <v>0</v>
      </c>
      <c r="F100" s="21">
        <v>96</v>
      </c>
      <c r="G100" s="21"/>
      <c r="H100" s="18">
        <f t="shared" si="12"/>
        <v>0</v>
      </c>
      <c r="I100" s="18">
        <f t="shared" si="12"/>
        <v>0</v>
      </c>
      <c r="K100" s="21"/>
      <c r="L100" s="21"/>
      <c r="M100" s="21"/>
      <c r="N100" s="18"/>
      <c r="O100" s="71"/>
      <c r="P100" s="71"/>
      <c r="Q100" s="70"/>
    </row>
    <row r="101" spans="1:17" s="16" customFormat="1" x14ac:dyDescent="0.25">
      <c r="A101" s="32" t="s">
        <v>39</v>
      </c>
      <c r="C101" s="34"/>
      <c r="D101" s="34"/>
      <c r="F101" s="21"/>
      <c r="G101" s="21"/>
      <c r="H101" s="18"/>
      <c r="I101" s="18"/>
      <c r="K101" s="21"/>
      <c r="L101" s="21"/>
      <c r="M101" s="21"/>
      <c r="N101" s="18"/>
      <c r="O101" s="71"/>
      <c r="P101" s="71"/>
      <c r="Q101" s="70"/>
    </row>
    <row r="102" spans="1:17" s="16" customFormat="1" x14ac:dyDescent="0.25">
      <c r="A102" s="32" t="s">
        <v>40</v>
      </c>
      <c r="C102" s="34">
        <v>228976</v>
      </c>
      <c r="D102" s="6">
        <v>206699.0452160826</v>
      </c>
      <c r="F102" s="27">
        <v>22.275500000000001</v>
      </c>
      <c r="G102" s="35" t="s">
        <v>18</v>
      </c>
      <c r="H102" s="18">
        <f>ROUND($F102*C102/100,0)</f>
        <v>51006</v>
      </c>
      <c r="I102" s="18">
        <f>ROUND($F102*D102/100,0)</f>
        <v>46043</v>
      </c>
      <c r="K102" s="25"/>
      <c r="L102" s="27">
        <v>21.033899999999999</v>
      </c>
      <c r="M102" s="35" t="s">
        <v>18</v>
      </c>
      <c r="N102" s="18">
        <f>ROUND($D102*L102/100,0)</f>
        <v>43477</v>
      </c>
      <c r="O102" s="72">
        <f>L102</f>
        <v>21.033899999999999</v>
      </c>
      <c r="P102" s="63" t="s">
        <v>18</v>
      </c>
      <c r="Q102" s="70">
        <f>ROUND($D102*O102/100,0)</f>
        <v>43477</v>
      </c>
    </row>
    <row r="103" spans="1:17" s="16" customFormat="1" x14ac:dyDescent="0.25">
      <c r="A103" s="32" t="s">
        <v>41</v>
      </c>
      <c r="C103" s="34">
        <v>1067463</v>
      </c>
      <c r="D103" s="6">
        <v>963611</v>
      </c>
      <c r="F103" s="27">
        <v>6.7881</v>
      </c>
      <c r="G103" s="35" t="s">
        <v>18</v>
      </c>
      <c r="H103" s="18">
        <f>ROUND($F103*C103/100,0)</f>
        <v>72460</v>
      </c>
      <c r="I103" s="18">
        <f>ROUND($F103*D103/100,0)</f>
        <v>65411</v>
      </c>
      <c r="K103" s="25"/>
      <c r="L103" s="27">
        <v>6.4097</v>
      </c>
      <c r="M103" s="35" t="s">
        <v>18</v>
      </c>
      <c r="N103" s="18">
        <f>ROUND($D103*L103/100,0)</f>
        <v>61765</v>
      </c>
      <c r="O103" s="72">
        <f>L103</f>
        <v>6.4097</v>
      </c>
      <c r="P103" s="63" t="s">
        <v>18</v>
      </c>
      <c r="Q103" s="70">
        <f>ROUND($D103*O103/100,0)</f>
        <v>61765</v>
      </c>
    </row>
    <row r="104" spans="1:17" s="16" customFormat="1" x14ac:dyDescent="0.25">
      <c r="A104" s="32" t="s">
        <v>42</v>
      </c>
      <c r="C104" s="34"/>
      <c r="D104" s="34"/>
      <c r="F104" s="21"/>
      <c r="G104" s="21"/>
      <c r="H104" s="18"/>
      <c r="I104" s="18"/>
      <c r="K104" s="21"/>
      <c r="L104" s="21"/>
      <c r="M104" s="21"/>
      <c r="N104" s="18"/>
      <c r="O104" s="71"/>
      <c r="P104" s="71"/>
      <c r="Q104" s="70"/>
    </row>
    <row r="105" spans="1:17" s="16" customFormat="1" x14ac:dyDescent="0.25">
      <c r="A105" s="32" t="s">
        <v>40</v>
      </c>
      <c r="C105" s="34">
        <v>384603</v>
      </c>
      <c r="D105" s="6">
        <v>347186</v>
      </c>
      <c r="F105" s="27">
        <v>34.375300000000003</v>
      </c>
      <c r="G105" s="35" t="s">
        <v>18</v>
      </c>
      <c r="H105" s="18">
        <f t="shared" ref="H105:I107" si="16">ROUND($F105*C105/100,0)</f>
        <v>132208</v>
      </c>
      <c r="I105" s="18">
        <f t="shared" si="16"/>
        <v>119346</v>
      </c>
      <c r="K105" s="25"/>
      <c r="L105" s="27">
        <v>32.459200000000003</v>
      </c>
      <c r="M105" s="35" t="s">
        <v>18</v>
      </c>
      <c r="N105" s="18">
        <f>ROUND($D105*L105/100,0)</f>
        <v>112694</v>
      </c>
      <c r="O105" s="72">
        <v>32.459299999999999</v>
      </c>
      <c r="P105" s="63" t="s">
        <v>18</v>
      </c>
      <c r="Q105" s="70">
        <f>ROUND($D105*O105/100,0)</f>
        <v>112694</v>
      </c>
    </row>
    <row r="106" spans="1:17" s="16" customFormat="1" x14ac:dyDescent="0.25">
      <c r="A106" s="32" t="s">
        <v>41</v>
      </c>
      <c r="C106" s="34">
        <v>2360279</v>
      </c>
      <c r="D106" s="6">
        <v>2130652</v>
      </c>
      <c r="F106" s="27">
        <v>3.4003000000000001</v>
      </c>
      <c r="G106" s="35" t="s">
        <v>18</v>
      </c>
      <c r="H106" s="18">
        <f t="shared" si="16"/>
        <v>80257</v>
      </c>
      <c r="I106" s="18">
        <f t="shared" si="16"/>
        <v>72449</v>
      </c>
      <c r="K106" s="25"/>
      <c r="L106" s="27">
        <v>3.2107999999999999</v>
      </c>
      <c r="M106" s="35" t="s">
        <v>18</v>
      </c>
      <c r="N106" s="18">
        <f>ROUND($D106*L106/100,0)</f>
        <v>68411</v>
      </c>
      <c r="O106" s="72">
        <f t="shared" ref="O106" si="17">L106</f>
        <v>3.2107999999999999</v>
      </c>
      <c r="P106" s="63" t="s">
        <v>18</v>
      </c>
      <c r="Q106" s="70">
        <f>ROUND($D106*O106/100,0)</f>
        <v>68411</v>
      </c>
    </row>
    <row r="107" spans="1:17" s="16" customFormat="1" x14ac:dyDescent="0.25">
      <c r="A107" s="32" t="s">
        <v>43</v>
      </c>
      <c r="B107" s="33"/>
      <c r="C107" s="34">
        <v>0</v>
      </c>
      <c r="D107" s="6">
        <v>0</v>
      </c>
      <c r="E107" s="33"/>
      <c r="F107" s="31">
        <v>11.7033</v>
      </c>
      <c r="G107" s="35" t="s">
        <v>18</v>
      </c>
      <c r="H107" s="18">
        <f t="shared" si="16"/>
        <v>0</v>
      </c>
      <c r="I107" s="18">
        <f t="shared" si="16"/>
        <v>0</v>
      </c>
      <c r="J107" s="33"/>
      <c r="K107" s="25"/>
      <c r="L107" s="31">
        <f>L41</f>
        <v>12.243600000000001</v>
      </c>
      <c r="M107" s="35" t="s">
        <v>18</v>
      </c>
      <c r="N107" s="18">
        <f>ROUND($D107*L107/100,0)</f>
        <v>0</v>
      </c>
      <c r="O107" s="62">
        <f>O41</f>
        <v>11.912599999999999</v>
      </c>
      <c r="P107" s="63" t="s">
        <v>18</v>
      </c>
      <c r="Q107" s="70">
        <f>ROUND($D107*O107/100,0)</f>
        <v>0</v>
      </c>
    </row>
    <row r="108" spans="1:17" s="16" customFormat="1" x14ac:dyDescent="0.25">
      <c r="A108" s="32" t="s">
        <v>33</v>
      </c>
      <c r="C108" s="43">
        <v>22863</v>
      </c>
      <c r="D108" s="43">
        <v>0</v>
      </c>
      <c r="H108" s="96">
        <v>2105</v>
      </c>
      <c r="I108" s="37">
        <v>0</v>
      </c>
      <c r="N108" s="37"/>
      <c r="O108" s="69"/>
      <c r="P108" s="69"/>
      <c r="Q108" s="64"/>
    </row>
    <row r="109" spans="1:17" x14ac:dyDescent="0.25">
      <c r="A109" s="19" t="s">
        <v>34</v>
      </c>
      <c r="F109" s="23">
        <v>-3.9100000000000003E-2</v>
      </c>
      <c r="G109" s="24"/>
      <c r="H109" s="7">
        <f>SUM(H102:H103,H105:H107)*$F109</f>
        <v>-13134.902100000001</v>
      </c>
      <c r="I109" s="7">
        <f>SUM(I102:I103,I105:I107)*$F109</f>
        <v>-11857.035900000001</v>
      </c>
      <c r="K109" s="93" t="str">
        <f>$K$43</f>
        <v>TAA 1 (1/1/2021)</v>
      </c>
      <c r="L109" s="23">
        <f>$L$43</f>
        <v>-3.0200000000000001E-2</v>
      </c>
      <c r="M109" s="24"/>
      <c r="N109" s="7">
        <f>L109*SUM(N102:N107)</f>
        <v>-8647.6794000000009</v>
      </c>
      <c r="O109" s="65">
        <f>$L$43</f>
        <v>-3.0200000000000001E-2</v>
      </c>
      <c r="P109" s="57"/>
      <c r="Q109" s="54">
        <f>O109*SUM(Q102:Q107)</f>
        <v>-8647.6794000000009</v>
      </c>
    </row>
    <row r="110" spans="1:17" x14ac:dyDescent="0.25">
      <c r="A110" s="32" t="s">
        <v>35</v>
      </c>
      <c r="C110" s="6">
        <v>0</v>
      </c>
      <c r="D110" s="6">
        <v>0</v>
      </c>
      <c r="F110" s="23"/>
      <c r="G110" s="24"/>
      <c r="K110" s="93" t="str">
        <f>$K$44</f>
        <v>TAA 2 (1/1/2022)</v>
      </c>
      <c r="L110" s="23">
        <f>$L$44</f>
        <v>-1.5100000000000001E-2</v>
      </c>
      <c r="M110" s="24"/>
      <c r="N110" s="7">
        <f>L110*SUM(N102:N107)</f>
        <v>-4323.8397000000004</v>
      </c>
      <c r="O110" s="65">
        <f>$L$44</f>
        <v>-1.5100000000000001E-2</v>
      </c>
      <c r="P110" s="57"/>
      <c r="Q110" s="54">
        <f>O110*SUM(Q102:Q107)</f>
        <v>-4323.8397000000004</v>
      </c>
    </row>
    <row r="111" spans="1:17" s="16" customFormat="1" ht="16.5" thickBot="1" x14ac:dyDescent="0.3">
      <c r="A111" s="32" t="s">
        <v>36</v>
      </c>
      <c r="C111" s="44">
        <v>4064184</v>
      </c>
      <c r="D111" s="44">
        <v>3648148.0452160826</v>
      </c>
      <c r="F111" s="97"/>
      <c r="H111" s="98">
        <f>SUM(H86:H109)</f>
        <v>344576.09789999999</v>
      </c>
      <c r="I111" s="98">
        <f>SUM(I86:I109)</f>
        <v>310075.96409999998</v>
      </c>
      <c r="K111" s="41"/>
      <c r="L111" s="41"/>
      <c r="M111" s="5"/>
      <c r="N111" s="40">
        <f>SUM(N87:N108)</f>
        <v>310877</v>
      </c>
      <c r="O111" s="68"/>
      <c r="P111" s="53"/>
      <c r="Q111" s="67">
        <f>SUM(Q87:Q108)</f>
        <v>316723</v>
      </c>
    </row>
    <row r="112" spans="1:17" s="16" customFormat="1" ht="16.5" thickTop="1" x14ac:dyDescent="0.25">
      <c r="C112" s="34"/>
      <c r="D112" s="34"/>
      <c r="H112" s="18"/>
      <c r="I112" s="18"/>
      <c r="N112" s="18"/>
      <c r="O112" s="69"/>
      <c r="P112" s="69"/>
      <c r="Q112" s="70"/>
    </row>
    <row r="113" spans="1:17" x14ac:dyDescent="0.25">
      <c r="A113" s="15" t="s">
        <v>44</v>
      </c>
    </row>
    <row r="114" spans="1:17" x14ac:dyDescent="0.25">
      <c r="A114" s="19" t="s">
        <v>7</v>
      </c>
      <c r="C114" s="6">
        <v>253674.66666666619</v>
      </c>
      <c r="D114" s="6">
        <v>216323</v>
      </c>
      <c r="F114" s="20"/>
      <c r="G114" s="20"/>
      <c r="K114" s="20"/>
      <c r="L114" s="20"/>
      <c r="M114" s="20"/>
      <c r="O114" s="55"/>
      <c r="P114" s="55"/>
    </row>
    <row r="115" spans="1:17" x14ac:dyDescent="0.25">
      <c r="A115" s="19" t="s">
        <v>8</v>
      </c>
      <c r="C115" s="6">
        <v>253474.43333333288</v>
      </c>
      <c r="D115" s="6">
        <v>216152</v>
      </c>
      <c r="F115" s="20">
        <v>6</v>
      </c>
      <c r="G115" s="20"/>
      <c r="H115" s="7">
        <f t="shared" ref="H115:I129" si="18">ROUND($F115*C115,0)</f>
        <v>1520847</v>
      </c>
      <c r="I115" s="7">
        <f t="shared" si="18"/>
        <v>1296912</v>
      </c>
      <c r="K115" s="20"/>
      <c r="L115" s="20"/>
      <c r="M115" s="20"/>
      <c r="O115" s="55"/>
      <c r="P115" s="55"/>
    </row>
    <row r="116" spans="1:17" x14ac:dyDescent="0.25">
      <c r="A116" s="19" t="s">
        <v>9</v>
      </c>
      <c r="C116" s="6">
        <v>132873.89999999944</v>
      </c>
      <c r="D116" s="6">
        <v>113309</v>
      </c>
      <c r="F116" s="20"/>
      <c r="G116" s="20"/>
      <c r="K116" s="20"/>
      <c r="L116" s="20">
        <f>L13</f>
        <v>8</v>
      </c>
      <c r="M116" s="20"/>
      <c r="N116" s="7">
        <f>ROUND($D116*L116,0)</f>
        <v>906472</v>
      </c>
      <c r="O116" s="55">
        <f>O13</f>
        <v>10</v>
      </c>
      <c r="P116" s="55"/>
      <c r="Q116" s="54">
        <f>ROUND($D116*O116,0)</f>
        <v>1133090</v>
      </c>
    </row>
    <row r="117" spans="1:17" x14ac:dyDescent="0.25">
      <c r="A117" s="19" t="s">
        <v>10</v>
      </c>
      <c r="C117" s="6">
        <v>120600.53333333343</v>
      </c>
      <c r="D117" s="6">
        <v>102843</v>
      </c>
      <c r="F117" s="20"/>
      <c r="G117" s="20"/>
      <c r="K117" s="20"/>
      <c r="L117" s="20">
        <f>L14</f>
        <v>6</v>
      </c>
      <c r="M117" s="20"/>
      <c r="N117" s="7">
        <f>ROUND($D117*L117,0)</f>
        <v>617058</v>
      </c>
      <c r="O117" s="55">
        <f>O14</f>
        <v>6</v>
      </c>
      <c r="P117" s="55"/>
      <c r="Q117" s="54">
        <f>ROUND($D117*O117,0)</f>
        <v>617058</v>
      </c>
    </row>
    <row r="118" spans="1:17" x14ac:dyDescent="0.25">
      <c r="A118" s="19" t="s">
        <v>11</v>
      </c>
      <c r="C118" s="6">
        <v>200.23333333333329</v>
      </c>
      <c r="D118" s="6">
        <v>171</v>
      </c>
      <c r="F118" s="20">
        <v>12</v>
      </c>
      <c r="G118" s="20"/>
      <c r="H118" s="7">
        <f t="shared" si="18"/>
        <v>2403</v>
      </c>
      <c r="I118" s="7">
        <f t="shared" si="18"/>
        <v>2052</v>
      </c>
      <c r="K118" s="20"/>
      <c r="L118" s="20"/>
      <c r="M118" s="20"/>
      <c r="O118" s="55"/>
      <c r="P118" s="55"/>
    </row>
    <row r="119" spans="1:17" x14ac:dyDescent="0.25">
      <c r="A119" s="19" t="s">
        <v>9</v>
      </c>
      <c r="C119" s="6">
        <v>31.833333333333286</v>
      </c>
      <c r="D119" s="6">
        <v>27</v>
      </c>
      <c r="F119" s="20"/>
      <c r="G119" s="20"/>
      <c r="K119" s="20"/>
      <c r="L119" s="20">
        <f>L16</f>
        <v>16</v>
      </c>
      <c r="M119" s="20"/>
      <c r="N119" s="7">
        <f>ROUND($D119*L119,0)</f>
        <v>432</v>
      </c>
      <c r="O119" s="55">
        <f>O16</f>
        <v>20</v>
      </c>
      <c r="P119" s="55"/>
      <c r="Q119" s="54">
        <f>ROUND($D119*O119,0)</f>
        <v>540</v>
      </c>
    </row>
    <row r="120" spans="1:17" x14ac:dyDescent="0.25">
      <c r="A120" s="19" t="s">
        <v>10</v>
      </c>
      <c r="C120" s="6">
        <v>168.4</v>
      </c>
      <c r="D120" s="6">
        <v>144</v>
      </c>
      <c r="F120" s="20"/>
      <c r="G120" s="20"/>
      <c r="K120" s="20"/>
      <c r="L120" s="20">
        <f>L17</f>
        <v>12</v>
      </c>
      <c r="M120" s="20"/>
      <c r="N120" s="7">
        <f>ROUND($D120*L120,0)</f>
        <v>1728</v>
      </c>
      <c r="O120" s="55">
        <f>O17</f>
        <v>12</v>
      </c>
      <c r="P120" s="55"/>
      <c r="Q120" s="54">
        <f>ROUND($D120*O120,0)</f>
        <v>1728</v>
      </c>
    </row>
    <row r="121" spans="1:17" x14ac:dyDescent="0.25">
      <c r="A121" s="19" t="s">
        <v>12</v>
      </c>
      <c r="C121" s="6">
        <v>0</v>
      </c>
      <c r="D121" s="6">
        <v>0</v>
      </c>
      <c r="F121" s="20">
        <v>2</v>
      </c>
      <c r="G121" s="20"/>
      <c r="H121" s="7">
        <f t="shared" si="18"/>
        <v>0</v>
      </c>
      <c r="I121" s="7">
        <f t="shared" si="18"/>
        <v>0</v>
      </c>
      <c r="K121" s="20"/>
      <c r="L121" s="20">
        <f t="shared" ref="L121:L122" si="19">L18</f>
        <v>2</v>
      </c>
      <c r="M121" s="20"/>
      <c r="N121" s="7">
        <f>ROUND($D121*L121,0)</f>
        <v>0</v>
      </c>
      <c r="O121" s="55">
        <f t="shared" ref="O121:O122" si="20">O18</f>
        <v>2</v>
      </c>
      <c r="P121" s="55"/>
      <c r="Q121" s="54">
        <f>ROUND($D121*O121,0)</f>
        <v>0</v>
      </c>
    </row>
    <row r="122" spans="1:17" x14ac:dyDescent="0.25">
      <c r="A122" s="19" t="s">
        <v>13</v>
      </c>
      <c r="C122" s="6">
        <v>0</v>
      </c>
      <c r="D122" s="6">
        <v>0</v>
      </c>
      <c r="F122" s="20">
        <v>22</v>
      </c>
      <c r="G122" s="20"/>
      <c r="H122" s="7">
        <f t="shared" si="18"/>
        <v>0</v>
      </c>
      <c r="I122" s="7">
        <f t="shared" si="18"/>
        <v>0</v>
      </c>
      <c r="K122" s="20"/>
      <c r="L122" s="20">
        <f t="shared" si="19"/>
        <v>22</v>
      </c>
      <c r="M122" s="20"/>
      <c r="N122" s="7">
        <f>ROUND($D122*L122,0)</f>
        <v>0</v>
      </c>
      <c r="O122" s="55">
        <f t="shared" si="20"/>
        <v>22</v>
      </c>
      <c r="P122" s="55"/>
      <c r="Q122" s="54">
        <f>ROUND($D122*O122,0)</f>
        <v>0</v>
      </c>
    </row>
    <row r="123" spans="1:17" x14ac:dyDescent="0.25">
      <c r="A123" s="19" t="s">
        <v>14</v>
      </c>
      <c r="C123" s="6">
        <v>52.0625</v>
      </c>
      <c r="D123" s="6">
        <v>44</v>
      </c>
      <c r="F123" s="20">
        <v>8</v>
      </c>
      <c r="G123" s="20"/>
      <c r="H123" s="7">
        <f t="shared" si="18"/>
        <v>417</v>
      </c>
      <c r="I123" s="7">
        <f t="shared" si="18"/>
        <v>352</v>
      </c>
      <c r="K123" s="20"/>
      <c r="L123" s="20"/>
      <c r="M123" s="20"/>
      <c r="O123" s="55"/>
      <c r="P123" s="55"/>
    </row>
    <row r="124" spans="1:17" x14ac:dyDescent="0.25">
      <c r="A124" s="19" t="s">
        <v>9</v>
      </c>
      <c r="C124" s="6">
        <v>31.193750000000001</v>
      </c>
      <c r="D124" s="6">
        <v>26</v>
      </c>
      <c r="F124" s="20"/>
      <c r="G124" s="20"/>
      <c r="K124" s="20"/>
      <c r="L124" s="20"/>
      <c r="M124" s="20"/>
      <c r="O124" s="55"/>
      <c r="P124" s="55"/>
    </row>
    <row r="125" spans="1:17" x14ac:dyDescent="0.25">
      <c r="A125" s="19" t="s">
        <v>10</v>
      </c>
      <c r="C125" s="6">
        <v>20.868749999999999</v>
      </c>
      <c r="D125" s="6">
        <v>18</v>
      </c>
      <c r="F125" s="20"/>
      <c r="G125" s="20"/>
      <c r="K125" s="20"/>
      <c r="L125" s="20"/>
      <c r="M125" s="20"/>
      <c r="O125" s="55"/>
      <c r="P125" s="55"/>
    </row>
    <row r="126" spans="1:17" x14ac:dyDescent="0.25">
      <c r="A126" s="19" t="s">
        <v>15</v>
      </c>
      <c r="C126" s="6">
        <v>0</v>
      </c>
      <c r="D126" s="6">
        <v>0</v>
      </c>
      <c r="F126" s="20">
        <v>16</v>
      </c>
      <c r="G126" s="20"/>
      <c r="H126" s="7">
        <f t="shared" si="18"/>
        <v>0</v>
      </c>
      <c r="I126" s="7">
        <f t="shared" si="18"/>
        <v>0</v>
      </c>
      <c r="K126" s="20"/>
      <c r="L126" s="20"/>
      <c r="M126" s="20"/>
      <c r="O126" s="55"/>
      <c r="P126" s="55"/>
    </row>
    <row r="127" spans="1:17" x14ac:dyDescent="0.25">
      <c r="A127" s="19" t="s">
        <v>9</v>
      </c>
      <c r="C127" s="6">
        <v>0</v>
      </c>
      <c r="F127" s="20"/>
      <c r="G127" s="20"/>
      <c r="K127" s="20"/>
      <c r="L127" s="20"/>
      <c r="M127" s="20"/>
      <c r="O127" s="55"/>
      <c r="P127" s="55"/>
    </row>
    <row r="128" spans="1:17" x14ac:dyDescent="0.25">
      <c r="A128" s="19" t="s">
        <v>10</v>
      </c>
      <c r="C128" s="6">
        <v>0</v>
      </c>
      <c r="F128" s="20"/>
      <c r="G128" s="20"/>
      <c r="K128" s="20"/>
      <c r="L128" s="20"/>
      <c r="M128" s="20"/>
      <c r="O128" s="55"/>
      <c r="P128" s="55"/>
    </row>
    <row r="129" spans="1:17" x14ac:dyDescent="0.25">
      <c r="A129" s="19" t="s">
        <v>16</v>
      </c>
      <c r="C129" s="6">
        <v>0</v>
      </c>
      <c r="D129" s="6">
        <v>0</v>
      </c>
      <c r="F129" s="20">
        <v>96</v>
      </c>
      <c r="G129" s="20"/>
      <c r="H129" s="7">
        <f t="shared" si="18"/>
        <v>0</v>
      </c>
      <c r="I129" s="7">
        <f t="shared" si="18"/>
        <v>0</v>
      </c>
      <c r="K129" s="20"/>
      <c r="L129" s="20"/>
      <c r="M129" s="20"/>
      <c r="O129" s="55"/>
      <c r="P129" s="55"/>
    </row>
    <row r="130" spans="1:17" x14ac:dyDescent="0.25">
      <c r="A130" s="19" t="s">
        <v>17</v>
      </c>
      <c r="C130" s="6">
        <v>5837.0523614864096</v>
      </c>
      <c r="D130" s="6">
        <v>5354</v>
      </c>
      <c r="F130" s="25">
        <v>4.3559999999999999</v>
      </c>
      <c r="G130" s="26" t="s">
        <v>18</v>
      </c>
      <c r="K130" s="25"/>
      <c r="L130" s="25">
        <f t="shared" ref="L130:L136" si="21">L27</f>
        <v>4.3559999999999999</v>
      </c>
      <c r="M130" s="26" t="s">
        <v>18</v>
      </c>
      <c r="N130" s="7">
        <f t="shared" ref="N130:N136" si="22">ROUND($D130*L130/100,0)</f>
        <v>233</v>
      </c>
      <c r="O130" s="58">
        <f t="shared" ref="O130:O136" si="23">O27</f>
        <v>4.3559999999999999</v>
      </c>
      <c r="P130" s="59" t="s">
        <v>18</v>
      </c>
      <c r="Q130" s="54">
        <f t="shared" ref="Q130:Q136" si="24">ROUND($D130*O130/100,0)</f>
        <v>233</v>
      </c>
    </row>
    <row r="131" spans="1:17" x14ac:dyDescent="0.25">
      <c r="A131" s="19" t="s">
        <v>19</v>
      </c>
      <c r="C131" s="6">
        <v>17041.938258663642</v>
      </c>
      <c r="D131" s="6">
        <v>15633</v>
      </c>
      <c r="F131" s="25">
        <v>-1.6334</v>
      </c>
      <c r="G131" s="26" t="s">
        <v>18</v>
      </c>
      <c r="K131" s="25"/>
      <c r="L131" s="25">
        <f t="shared" si="21"/>
        <v>-1.6334</v>
      </c>
      <c r="M131" s="26" t="s">
        <v>18</v>
      </c>
      <c r="N131" s="7">
        <f t="shared" si="22"/>
        <v>-255</v>
      </c>
      <c r="O131" s="58">
        <f t="shared" si="23"/>
        <v>-1.6334</v>
      </c>
      <c r="P131" s="59" t="s">
        <v>18</v>
      </c>
      <c r="Q131" s="54">
        <f t="shared" si="24"/>
        <v>-255</v>
      </c>
    </row>
    <row r="132" spans="1:17" x14ac:dyDescent="0.25">
      <c r="A132" s="19" t="s">
        <v>20</v>
      </c>
      <c r="C132" s="6">
        <v>28763017.41983372</v>
      </c>
      <c r="D132" s="6">
        <v>26384767.707057878</v>
      </c>
      <c r="F132" s="30">
        <v>8.8498000000000001</v>
      </c>
      <c r="G132" s="26" t="s">
        <v>18</v>
      </c>
      <c r="K132" s="25"/>
      <c r="L132" s="25">
        <f t="shared" si="21"/>
        <v>9.2802000000000007</v>
      </c>
      <c r="M132" s="26" t="s">
        <v>18</v>
      </c>
      <c r="N132" s="7">
        <f t="shared" si="22"/>
        <v>2448559</v>
      </c>
      <c r="O132" s="58">
        <f t="shared" si="23"/>
        <v>9.0279000000000007</v>
      </c>
      <c r="P132" s="59" t="s">
        <v>18</v>
      </c>
      <c r="Q132" s="54">
        <f t="shared" si="24"/>
        <v>2381990</v>
      </c>
    </row>
    <row r="133" spans="1:17" x14ac:dyDescent="0.25">
      <c r="A133" s="19" t="s">
        <v>21</v>
      </c>
      <c r="C133" s="6">
        <v>19367224.039969891</v>
      </c>
      <c r="D133" s="6">
        <v>17765859</v>
      </c>
      <c r="F133" s="30">
        <v>11.542899999999999</v>
      </c>
      <c r="G133" s="26" t="s">
        <v>18</v>
      </c>
      <c r="K133" s="25"/>
      <c r="L133" s="25">
        <f t="shared" si="21"/>
        <v>11.9733</v>
      </c>
      <c r="M133" s="26" t="s">
        <v>18</v>
      </c>
      <c r="N133" s="7">
        <f t="shared" si="22"/>
        <v>2127160</v>
      </c>
      <c r="O133" s="58">
        <f t="shared" si="23"/>
        <v>11.721</v>
      </c>
      <c r="P133" s="59" t="s">
        <v>18</v>
      </c>
      <c r="Q133" s="54">
        <f t="shared" si="24"/>
        <v>2082336</v>
      </c>
    </row>
    <row r="134" spans="1:17" x14ac:dyDescent="0.25">
      <c r="A134" s="19" t="s">
        <v>22</v>
      </c>
      <c r="C134" s="6">
        <v>6179565.4760957351</v>
      </c>
      <c r="D134" s="6">
        <v>5668613</v>
      </c>
      <c r="F134" s="30">
        <v>14.450799999999999</v>
      </c>
      <c r="G134" s="26" t="s">
        <v>18</v>
      </c>
      <c r="K134" s="25"/>
      <c r="L134" s="25">
        <f t="shared" si="21"/>
        <v>11.9733</v>
      </c>
      <c r="M134" s="26" t="s">
        <v>18</v>
      </c>
      <c r="N134" s="7">
        <f t="shared" si="22"/>
        <v>678720</v>
      </c>
      <c r="O134" s="58">
        <f t="shared" si="23"/>
        <v>11.721</v>
      </c>
      <c r="P134" s="59" t="s">
        <v>18</v>
      </c>
      <c r="Q134" s="54">
        <f t="shared" si="24"/>
        <v>664418</v>
      </c>
    </row>
    <row r="135" spans="1:17" x14ac:dyDescent="0.25">
      <c r="A135" s="19" t="s">
        <v>23</v>
      </c>
      <c r="B135" s="29"/>
      <c r="C135" s="6">
        <v>59180887.474665888</v>
      </c>
      <c r="D135" s="6">
        <v>51185664</v>
      </c>
      <c r="E135" s="29"/>
      <c r="F135" s="30">
        <v>8.8498000000000001</v>
      </c>
      <c r="G135" s="26" t="s">
        <v>18</v>
      </c>
      <c r="J135" s="29"/>
      <c r="K135" s="25"/>
      <c r="L135" s="25">
        <f t="shared" si="21"/>
        <v>8.2126000000000001</v>
      </c>
      <c r="M135" s="26" t="s">
        <v>18</v>
      </c>
      <c r="N135" s="7">
        <f t="shared" si="22"/>
        <v>4203674</v>
      </c>
      <c r="O135" s="58">
        <f t="shared" si="23"/>
        <v>7.9893000000000001</v>
      </c>
      <c r="P135" s="59" t="s">
        <v>18</v>
      </c>
      <c r="Q135" s="54">
        <f t="shared" si="24"/>
        <v>4089376</v>
      </c>
    </row>
    <row r="136" spans="1:17" x14ac:dyDescent="0.25">
      <c r="A136" s="19" t="s">
        <v>24</v>
      </c>
      <c r="B136" s="29"/>
      <c r="C136" s="6">
        <v>38135258.461581476</v>
      </c>
      <c r="D136" s="6">
        <v>32983258</v>
      </c>
      <c r="E136" s="29"/>
      <c r="F136" s="30">
        <v>10.7072</v>
      </c>
      <c r="G136" s="26" t="s">
        <v>18</v>
      </c>
      <c r="J136" s="29"/>
      <c r="K136" s="25"/>
      <c r="L136" s="25">
        <f t="shared" si="21"/>
        <v>10.5959</v>
      </c>
      <c r="M136" s="26" t="s">
        <v>18</v>
      </c>
      <c r="N136" s="7">
        <f t="shared" si="22"/>
        <v>3494873</v>
      </c>
      <c r="O136" s="58">
        <f t="shared" si="23"/>
        <v>10.3725</v>
      </c>
      <c r="P136" s="59" t="s">
        <v>18</v>
      </c>
      <c r="Q136" s="54">
        <f t="shared" si="24"/>
        <v>3421188</v>
      </c>
    </row>
    <row r="137" spans="1:17" x14ac:dyDescent="0.25">
      <c r="A137" s="19" t="s">
        <v>25</v>
      </c>
      <c r="C137" s="6">
        <v>7500</v>
      </c>
      <c r="D137" s="6">
        <v>6768</v>
      </c>
      <c r="F137" s="25">
        <v>4.3559999999999999</v>
      </c>
      <c r="G137" s="26" t="s">
        <v>18</v>
      </c>
      <c r="H137" s="7">
        <f t="shared" ref="H137:I144" si="25">ROUND($F137*C137/100,0)</f>
        <v>327</v>
      </c>
      <c r="I137" s="7">
        <f t="shared" si="25"/>
        <v>295</v>
      </c>
      <c r="K137" s="25"/>
      <c r="L137" s="25"/>
      <c r="M137" s="26"/>
      <c r="O137" s="58"/>
      <c r="P137" s="59"/>
    </row>
    <row r="138" spans="1:17" x14ac:dyDescent="0.25">
      <c r="A138" s="19" t="s">
        <v>26</v>
      </c>
      <c r="C138" s="6">
        <v>23518</v>
      </c>
      <c r="D138" s="6">
        <v>21221</v>
      </c>
      <c r="F138" s="25">
        <v>-1.6334</v>
      </c>
      <c r="G138" s="26" t="s">
        <v>18</v>
      </c>
      <c r="H138" s="7">
        <f t="shared" si="25"/>
        <v>-384</v>
      </c>
      <c r="I138" s="7">
        <f t="shared" si="25"/>
        <v>-347</v>
      </c>
      <c r="K138" s="25"/>
      <c r="L138" s="25"/>
      <c r="M138" s="26"/>
      <c r="O138" s="58"/>
      <c r="P138" s="59"/>
    </row>
    <row r="139" spans="1:17" x14ac:dyDescent="0.25">
      <c r="A139" s="19" t="s">
        <v>27</v>
      </c>
      <c r="C139" s="6">
        <v>36997193</v>
      </c>
      <c r="D139" s="6">
        <v>33384446.707057878</v>
      </c>
      <c r="F139" s="30">
        <v>8.8498000000000001</v>
      </c>
      <c r="G139" s="26" t="s">
        <v>18</v>
      </c>
      <c r="H139" s="7">
        <f t="shared" si="25"/>
        <v>3274178</v>
      </c>
      <c r="I139" s="7">
        <f t="shared" si="25"/>
        <v>2954457</v>
      </c>
      <c r="K139" s="30"/>
      <c r="L139" s="30"/>
      <c r="M139" s="26"/>
      <c r="O139" s="61"/>
      <c r="P139" s="59"/>
    </row>
    <row r="140" spans="1:17" x14ac:dyDescent="0.25">
      <c r="A140" s="19" t="s">
        <v>28</v>
      </c>
      <c r="C140" s="6">
        <v>22403580</v>
      </c>
      <c r="D140" s="6">
        <v>20215888</v>
      </c>
      <c r="F140" s="30">
        <v>11.542899999999999</v>
      </c>
      <c r="G140" s="26" t="s">
        <v>18</v>
      </c>
      <c r="H140" s="7">
        <f t="shared" si="25"/>
        <v>2586023</v>
      </c>
      <c r="I140" s="7">
        <f t="shared" si="25"/>
        <v>2333500</v>
      </c>
      <c r="K140" s="30"/>
      <c r="L140" s="30"/>
      <c r="M140" s="26"/>
      <c r="O140" s="61"/>
      <c r="P140" s="59"/>
    </row>
    <row r="141" spans="1:17" x14ac:dyDescent="0.25">
      <c r="A141" s="19" t="s">
        <v>29</v>
      </c>
      <c r="C141" s="6">
        <v>6569711.578529302</v>
      </c>
      <c r="D141" s="6">
        <v>5928185</v>
      </c>
      <c r="F141" s="30">
        <v>14.450799999999999</v>
      </c>
      <c r="G141" s="26" t="s">
        <v>18</v>
      </c>
      <c r="H141" s="7">
        <f t="shared" si="25"/>
        <v>949376</v>
      </c>
      <c r="I141" s="7">
        <f t="shared" si="25"/>
        <v>856670</v>
      </c>
      <c r="K141" s="30"/>
      <c r="L141" s="30"/>
      <c r="M141" s="26"/>
      <c r="O141" s="61"/>
      <c r="P141" s="59"/>
    </row>
    <row r="142" spans="1:17" x14ac:dyDescent="0.25">
      <c r="A142" s="19" t="s">
        <v>30</v>
      </c>
      <c r="B142" s="29"/>
      <c r="C142" s="6">
        <v>50947453</v>
      </c>
      <c r="D142" s="6">
        <v>44288230</v>
      </c>
      <c r="E142" s="29"/>
      <c r="F142" s="30">
        <v>8.8498000000000001</v>
      </c>
      <c r="G142" s="26" t="s">
        <v>18</v>
      </c>
      <c r="H142" s="7">
        <f t="shared" si="25"/>
        <v>4508748</v>
      </c>
      <c r="I142" s="7">
        <f t="shared" si="25"/>
        <v>3919420</v>
      </c>
      <c r="J142" s="29"/>
      <c r="K142" s="30"/>
      <c r="L142" s="30"/>
      <c r="M142" s="26"/>
      <c r="O142" s="61"/>
      <c r="P142" s="59"/>
    </row>
    <row r="143" spans="1:17" x14ac:dyDescent="0.25">
      <c r="A143" s="19" t="s">
        <v>31</v>
      </c>
      <c r="B143" s="29"/>
      <c r="C143" s="6">
        <v>34708015.29361742</v>
      </c>
      <c r="D143" s="6">
        <v>30171412</v>
      </c>
      <c r="E143" s="29"/>
      <c r="F143" s="30">
        <v>10.7072</v>
      </c>
      <c r="G143" s="26" t="s">
        <v>18</v>
      </c>
      <c r="H143" s="7">
        <f t="shared" si="25"/>
        <v>3716257</v>
      </c>
      <c r="I143" s="7">
        <f t="shared" si="25"/>
        <v>3230513</v>
      </c>
      <c r="J143" s="29"/>
      <c r="K143" s="30"/>
      <c r="L143" s="30"/>
      <c r="M143" s="26"/>
      <c r="O143" s="61"/>
      <c r="P143" s="59"/>
    </row>
    <row r="144" spans="1:17" x14ac:dyDescent="0.25">
      <c r="A144" s="32" t="s">
        <v>32</v>
      </c>
      <c r="B144" s="33"/>
      <c r="C144" s="34">
        <v>123079</v>
      </c>
      <c r="D144" s="6">
        <v>108762</v>
      </c>
      <c r="E144" s="33"/>
      <c r="F144" s="31">
        <v>11.7033</v>
      </c>
      <c r="G144" s="35" t="s">
        <v>18</v>
      </c>
      <c r="H144" s="18">
        <f t="shared" si="25"/>
        <v>14404</v>
      </c>
      <c r="I144" s="18">
        <f t="shared" si="25"/>
        <v>12729</v>
      </c>
      <c r="J144" s="33"/>
      <c r="K144" s="31"/>
      <c r="L144" s="31">
        <f>L41</f>
        <v>12.243600000000001</v>
      </c>
      <c r="M144" s="35" t="s">
        <v>18</v>
      </c>
      <c r="N144" s="7">
        <f>ROUND($D144*L144/100,0)</f>
        <v>13316</v>
      </c>
      <c r="O144" s="62">
        <f>O41</f>
        <v>11.912599999999999</v>
      </c>
      <c r="P144" s="63" t="s">
        <v>18</v>
      </c>
      <c r="Q144" s="54">
        <f>ROUND($D144*O144/100,0)</f>
        <v>12956</v>
      </c>
    </row>
    <row r="145" spans="1:17" x14ac:dyDescent="0.25">
      <c r="A145" s="19" t="s">
        <v>33</v>
      </c>
      <c r="C145" s="36">
        <v>862476</v>
      </c>
      <c r="D145" s="36">
        <v>0</v>
      </c>
      <c r="H145" s="37">
        <v>98698</v>
      </c>
      <c r="I145" s="37">
        <v>0</v>
      </c>
      <c r="N145" s="37">
        <v>0</v>
      </c>
      <c r="Q145" s="64">
        <v>0</v>
      </c>
    </row>
    <row r="146" spans="1:17" x14ac:dyDescent="0.25">
      <c r="A146" s="19" t="s">
        <v>34</v>
      </c>
      <c r="F146" s="23">
        <v>-3.9100000000000003E-2</v>
      </c>
      <c r="G146" s="24"/>
      <c r="H146" s="7">
        <f>SUM(H139:H141,H142:H144)*$F146</f>
        <v>-588415.3526000001</v>
      </c>
      <c r="I146" s="7">
        <f>SUM(I139:I141,I142:I144)*$F146</f>
        <v>-520314.99990000005</v>
      </c>
      <c r="K146" s="23" t="str">
        <f>$K$43</f>
        <v>TAA 1 (1/1/2021)</v>
      </c>
      <c r="L146" s="23">
        <f>$L$43</f>
        <v>-3.0200000000000001E-2</v>
      </c>
      <c r="M146" s="24"/>
      <c r="N146" s="7">
        <f>L146*SUM(N132:N136,N144)</f>
        <v>-391582.32040000003</v>
      </c>
      <c r="O146" s="65">
        <f>$L$43</f>
        <v>-3.0200000000000001E-2</v>
      </c>
      <c r="P146" s="57"/>
      <c r="Q146" s="54">
        <f>O146*SUM(Q132:Q136,Q144)</f>
        <v>-382098.37280000001</v>
      </c>
    </row>
    <row r="147" spans="1:17" x14ac:dyDescent="0.25">
      <c r="A147" s="32" t="s">
        <v>35</v>
      </c>
      <c r="C147" s="6">
        <v>-4359</v>
      </c>
      <c r="D147" s="6">
        <v>-3852</v>
      </c>
      <c r="F147" s="23"/>
      <c r="G147" s="24"/>
      <c r="K147" s="23" t="str">
        <f>$K$44</f>
        <v>TAA 2 (1/1/2022)</v>
      </c>
      <c r="L147" s="23">
        <f>$L$44</f>
        <v>-1.5100000000000001E-2</v>
      </c>
      <c r="M147" s="24"/>
      <c r="N147" s="7">
        <f>L147*SUM(N132:N136,N144)</f>
        <v>-195791.16020000001</v>
      </c>
      <c r="O147" s="65">
        <f>$L$44</f>
        <v>-1.5100000000000001E-2</v>
      </c>
      <c r="P147" s="57"/>
      <c r="Q147" s="54">
        <f>O147*SUM(Q132:Q136,Q144)</f>
        <v>-191049.18640000001</v>
      </c>
    </row>
    <row r="148" spans="1:17" ht="16.5" thickBot="1" x14ac:dyDescent="0.3">
      <c r="A148" s="19" t="s">
        <v>36</v>
      </c>
      <c r="C148" s="38">
        <v>152607148.87214673</v>
      </c>
      <c r="D148" s="38">
        <v>134093071.70705788</v>
      </c>
      <c r="F148" s="39"/>
      <c r="H148" s="40">
        <f>SUM(H115:H146)</f>
        <v>16082878.647399999</v>
      </c>
      <c r="I148" s="40">
        <f>SUM(I115:I146)</f>
        <v>14086238.0001</v>
      </c>
      <c r="K148" s="41"/>
      <c r="L148" s="41"/>
      <c r="N148" s="40">
        <f>SUM(N116:N145)</f>
        <v>14491970</v>
      </c>
      <c r="O148" s="68"/>
      <c r="Q148" s="67">
        <f>SUM(Q116:Q145)</f>
        <v>14404658</v>
      </c>
    </row>
    <row r="149" spans="1:17" ht="16.5" thickTop="1" x14ac:dyDescent="0.25"/>
    <row r="150" spans="1:17" x14ac:dyDescent="0.25">
      <c r="A150" s="15" t="s">
        <v>45</v>
      </c>
    </row>
    <row r="151" spans="1:17" x14ac:dyDescent="0.25">
      <c r="A151" s="19" t="s">
        <v>7</v>
      </c>
      <c r="C151" s="6">
        <v>358674.66666666663</v>
      </c>
      <c r="D151" s="6">
        <v>418416</v>
      </c>
      <c r="F151" s="20"/>
      <c r="G151" s="20"/>
      <c r="K151" s="20"/>
      <c r="L151" s="20"/>
      <c r="M151" s="20"/>
      <c r="O151" s="55"/>
      <c r="P151" s="55"/>
    </row>
    <row r="152" spans="1:17" x14ac:dyDescent="0.25">
      <c r="A152" s="19" t="s">
        <v>8</v>
      </c>
      <c r="C152" s="6">
        <v>358350.66666666663</v>
      </c>
      <c r="D152" s="6">
        <v>418038</v>
      </c>
      <c r="F152" s="20">
        <v>6</v>
      </c>
      <c r="G152" s="20"/>
      <c r="H152" s="7">
        <f t="shared" ref="H152:I166" si="26">ROUND($F152*C152,0)</f>
        <v>2150104</v>
      </c>
      <c r="I152" s="7">
        <f t="shared" si="26"/>
        <v>2508228</v>
      </c>
      <c r="K152" s="20"/>
      <c r="L152" s="20"/>
      <c r="M152" s="20"/>
      <c r="O152" s="55"/>
      <c r="P152" s="55"/>
    </row>
    <row r="153" spans="1:17" x14ac:dyDescent="0.25">
      <c r="A153" s="19" t="s">
        <v>9</v>
      </c>
      <c r="C153" s="6">
        <v>347723.76666666666</v>
      </c>
      <c r="D153" s="6">
        <v>405641</v>
      </c>
      <c r="F153" s="20"/>
      <c r="G153" s="20"/>
      <c r="K153" s="20"/>
      <c r="L153" s="20">
        <f>L13</f>
        <v>8</v>
      </c>
      <c r="M153" s="20"/>
      <c r="N153" s="7">
        <f>ROUND($D153*L153,0)</f>
        <v>3245128</v>
      </c>
      <c r="O153" s="55">
        <f>O13</f>
        <v>10</v>
      </c>
      <c r="P153" s="55"/>
      <c r="Q153" s="54">
        <f>ROUND($D153*O153,0)</f>
        <v>4056410</v>
      </c>
    </row>
    <row r="154" spans="1:17" x14ac:dyDescent="0.25">
      <c r="A154" s="19" t="s">
        <v>10</v>
      </c>
      <c r="C154" s="6">
        <v>10626.899999999987</v>
      </c>
      <c r="D154" s="6">
        <v>12397</v>
      </c>
      <c r="F154" s="20"/>
      <c r="G154" s="20"/>
      <c r="K154" s="20"/>
      <c r="L154" s="20">
        <f>L14</f>
        <v>6</v>
      </c>
      <c r="M154" s="20"/>
      <c r="N154" s="7">
        <f>ROUND($D154*L154,0)</f>
        <v>74382</v>
      </c>
      <c r="O154" s="55">
        <f>O14</f>
        <v>6</v>
      </c>
      <c r="P154" s="55"/>
      <c r="Q154" s="54">
        <f>ROUND($D154*O154,0)</f>
        <v>74382</v>
      </c>
    </row>
    <row r="155" spans="1:17" x14ac:dyDescent="0.25">
      <c r="A155" s="19" t="s">
        <v>11</v>
      </c>
      <c r="C155" s="6">
        <v>324</v>
      </c>
      <c r="D155" s="6">
        <v>378</v>
      </c>
      <c r="F155" s="20">
        <v>12</v>
      </c>
      <c r="G155" s="20"/>
      <c r="H155" s="7">
        <f t="shared" si="26"/>
        <v>3888</v>
      </c>
      <c r="I155" s="7">
        <f t="shared" si="26"/>
        <v>4536</v>
      </c>
      <c r="K155" s="20"/>
      <c r="L155" s="20"/>
      <c r="M155" s="20"/>
      <c r="O155" s="55"/>
      <c r="P155" s="55"/>
    </row>
    <row r="156" spans="1:17" x14ac:dyDescent="0.25">
      <c r="A156" s="19" t="s">
        <v>9</v>
      </c>
      <c r="C156" s="6">
        <v>96</v>
      </c>
      <c r="D156" s="6">
        <v>112</v>
      </c>
      <c r="F156" s="20"/>
      <c r="G156" s="20"/>
      <c r="K156" s="20"/>
      <c r="L156" s="20">
        <f>L16</f>
        <v>16</v>
      </c>
      <c r="M156" s="20"/>
      <c r="N156" s="7">
        <f>ROUND($D156*L156,0)</f>
        <v>1792</v>
      </c>
      <c r="O156" s="55">
        <f>O16</f>
        <v>20</v>
      </c>
      <c r="P156" s="55"/>
      <c r="Q156" s="54">
        <f>ROUND($D156*O156,0)</f>
        <v>2240</v>
      </c>
    </row>
    <row r="157" spans="1:17" x14ac:dyDescent="0.25">
      <c r="A157" s="19" t="s">
        <v>10</v>
      </c>
      <c r="C157" s="6">
        <v>228</v>
      </c>
      <c r="D157" s="6">
        <v>266</v>
      </c>
      <c r="F157" s="20"/>
      <c r="G157" s="20"/>
      <c r="K157" s="20"/>
      <c r="L157" s="20">
        <f>L17</f>
        <v>12</v>
      </c>
      <c r="M157" s="20"/>
      <c r="N157" s="7">
        <f>ROUND($D157*L157,0)</f>
        <v>3192</v>
      </c>
      <c r="O157" s="55">
        <f>O17</f>
        <v>12</v>
      </c>
      <c r="P157" s="55"/>
      <c r="Q157" s="54">
        <f>ROUND($D157*O157,0)</f>
        <v>3192</v>
      </c>
    </row>
    <row r="158" spans="1:17" x14ac:dyDescent="0.25">
      <c r="A158" s="19" t="s">
        <v>12</v>
      </c>
      <c r="C158" s="6">
        <v>0</v>
      </c>
      <c r="D158" s="6">
        <v>0</v>
      </c>
      <c r="F158" s="20">
        <v>2</v>
      </c>
      <c r="G158" s="20"/>
      <c r="H158" s="7">
        <f t="shared" si="26"/>
        <v>0</v>
      </c>
      <c r="I158" s="7">
        <f t="shared" si="26"/>
        <v>0</v>
      </c>
      <c r="K158" s="20"/>
      <c r="L158" s="20">
        <f t="shared" ref="L158:L159" si="27">L18</f>
        <v>2</v>
      </c>
      <c r="M158" s="20"/>
      <c r="N158" s="7">
        <f>ROUND($D158*L158,0)</f>
        <v>0</v>
      </c>
      <c r="O158" s="55">
        <f t="shared" ref="O158:O159" si="28">O18</f>
        <v>2</v>
      </c>
      <c r="P158" s="55"/>
      <c r="Q158" s="54">
        <f>ROUND($D158*O158,0)</f>
        <v>0</v>
      </c>
    </row>
    <row r="159" spans="1:17" x14ac:dyDescent="0.25">
      <c r="A159" s="19" t="s">
        <v>13</v>
      </c>
      <c r="C159" s="6">
        <v>12</v>
      </c>
      <c r="D159" s="6">
        <v>14</v>
      </c>
      <c r="F159" s="20">
        <v>22</v>
      </c>
      <c r="G159" s="20"/>
      <c r="H159" s="7">
        <f t="shared" si="26"/>
        <v>264</v>
      </c>
      <c r="I159" s="7">
        <f t="shared" si="26"/>
        <v>308</v>
      </c>
      <c r="K159" s="20"/>
      <c r="L159" s="20">
        <f t="shared" si="27"/>
        <v>22</v>
      </c>
      <c r="M159" s="20"/>
      <c r="N159" s="7">
        <f>ROUND($D159*L159,0)</f>
        <v>308</v>
      </c>
      <c r="O159" s="55">
        <f t="shared" si="28"/>
        <v>22</v>
      </c>
      <c r="P159" s="55"/>
      <c r="Q159" s="54">
        <f>ROUND($D159*O159,0)</f>
        <v>308</v>
      </c>
    </row>
    <row r="160" spans="1:17" x14ac:dyDescent="0.25">
      <c r="A160" s="19" t="s">
        <v>14</v>
      </c>
      <c r="C160" s="6">
        <v>41793.397499999999</v>
      </c>
      <c r="D160" s="6">
        <v>48755</v>
      </c>
      <c r="F160" s="20">
        <v>8</v>
      </c>
      <c r="G160" s="20"/>
      <c r="H160" s="7">
        <f t="shared" si="26"/>
        <v>334347</v>
      </c>
      <c r="I160" s="7">
        <f t="shared" si="26"/>
        <v>390040</v>
      </c>
      <c r="K160" s="20"/>
      <c r="L160" s="20"/>
      <c r="M160" s="20"/>
      <c r="O160" s="55"/>
      <c r="P160" s="55"/>
    </row>
    <row r="161" spans="1:17" x14ac:dyDescent="0.25">
      <c r="A161" s="19" t="s">
        <v>9</v>
      </c>
      <c r="C161" s="6">
        <v>41131.633750000001</v>
      </c>
      <c r="D161" s="6">
        <v>47983</v>
      </c>
      <c r="F161" s="20"/>
      <c r="G161" s="20"/>
      <c r="K161" s="20"/>
      <c r="L161" s="20"/>
      <c r="M161" s="20"/>
      <c r="O161" s="55"/>
      <c r="P161" s="55"/>
    </row>
    <row r="162" spans="1:17" x14ac:dyDescent="0.25">
      <c r="A162" s="19" t="s">
        <v>10</v>
      </c>
      <c r="C162" s="6">
        <v>661.76374999999996</v>
      </c>
      <c r="D162" s="6">
        <v>772</v>
      </c>
      <c r="F162" s="20"/>
      <c r="G162" s="20"/>
      <c r="K162" s="20"/>
      <c r="L162" s="20"/>
      <c r="M162" s="20"/>
      <c r="O162" s="55"/>
      <c r="P162" s="55"/>
    </row>
    <row r="163" spans="1:17" x14ac:dyDescent="0.25">
      <c r="A163" s="19" t="s">
        <v>15</v>
      </c>
      <c r="C163" s="6">
        <v>9.7675000000000001</v>
      </c>
      <c r="D163" s="6">
        <v>11</v>
      </c>
      <c r="F163" s="20">
        <v>16</v>
      </c>
      <c r="G163" s="20"/>
      <c r="H163" s="7">
        <f t="shared" si="26"/>
        <v>156</v>
      </c>
      <c r="I163" s="7">
        <f t="shared" si="26"/>
        <v>176</v>
      </c>
      <c r="K163" s="20"/>
      <c r="L163" s="20"/>
      <c r="M163" s="20"/>
      <c r="O163" s="55"/>
      <c r="P163" s="55"/>
    </row>
    <row r="164" spans="1:17" x14ac:dyDescent="0.25">
      <c r="A164" s="19" t="s">
        <v>9</v>
      </c>
      <c r="C164" s="6">
        <v>7.2675000000000001</v>
      </c>
      <c r="D164" s="6">
        <v>8</v>
      </c>
      <c r="F164" s="20"/>
      <c r="G164" s="20"/>
      <c r="K164" s="20"/>
      <c r="L164" s="20"/>
      <c r="M164" s="20"/>
      <c r="O164" s="55"/>
      <c r="P164" s="55"/>
    </row>
    <row r="165" spans="1:17" x14ac:dyDescent="0.25">
      <c r="A165" s="19" t="s">
        <v>10</v>
      </c>
      <c r="C165" s="6">
        <v>2.5</v>
      </c>
      <c r="D165" s="6">
        <v>3</v>
      </c>
      <c r="F165" s="20"/>
      <c r="G165" s="20"/>
      <c r="K165" s="20"/>
      <c r="L165" s="20"/>
      <c r="M165" s="20"/>
      <c r="O165" s="55"/>
      <c r="P165" s="55"/>
    </row>
    <row r="166" spans="1:17" x14ac:dyDescent="0.25">
      <c r="A166" s="19" t="s">
        <v>16</v>
      </c>
      <c r="C166" s="6">
        <v>0</v>
      </c>
      <c r="D166" s="6">
        <v>0</v>
      </c>
      <c r="F166" s="20">
        <v>96</v>
      </c>
      <c r="G166" s="20"/>
      <c r="H166" s="7">
        <f t="shared" si="26"/>
        <v>0</v>
      </c>
      <c r="I166" s="7">
        <f t="shared" si="26"/>
        <v>0</v>
      </c>
      <c r="K166" s="20"/>
      <c r="L166" s="20"/>
      <c r="M166" s="20"/>
      <c r="O166" s="55"/>
      <c r="P166" s="55"/>
    </row>
    <row r="167" spans="1:17" x14ac:dyDescent="0.25">
      <c r="A167" s="19" t="s">
        <v>17</v>
      </c>
      <c r="C167" s="6">
        <v>5306.0149714409508</v>
      </c>
      <c r="D167" s="6">
        <v>7090</v>
      </c>
      <c r="F167" s="25"/>
      <c r="G167" s="26"/>
      <c r="K167" s="25"/>
      <c r="L167" s="25">
        <f t="shared" ref="L167:L173" si="29">L27</f>
        <v>4.3559999999999999</v>
      </c>
      <c r="M167" s="26" t="s">
        <v>18</v>
      </c>
      <c r="N167" s="7">
        <f t="shared" ref="N167:N173" si="30">ROUND($D167*L167/100,0)</f>
        <v>309</v>
      </c>
      <c r="O167" s="58">
        <f t="shared" ref="O167:O173" si="31">O27</f>
        <v>4.3559999999999999</v>
      </c>
      <c r="P167" s="59" t="s">
        <v>18</v>
      </c>
      <c r="Q167" s="54">
        <f t="shared" ref="Q167:Q173" si="32">ROUND($D167*O167/100,0)</f>
        <v>309</v>
      </c>
    </row>
    <row r="168" spans="1:17" x14ac:dyDescent="0.25">
      <c r="A168" s="19" t="s">
        <v>19</v>
      </c>
      <c r="C168" s="6">
        <v>33281.092966817378</v>
      </c>
      <c r="D168" s="6">
        <v>44469</v>
      </c>
      <c r="F168" s="25"/>
      <c r="G168" s="26"/>
      <c r="K168" s="25"/>
      <c r="L168" s="25">
        <f t="shared" si="29"/>
        <v>-1.6334</v>
      </c>
      <c r="M168" s="26" t="s">
        <v>18</v>
      </c>
      <c r="N168" s="7">
        <f t="shared" si="30"/>
        <v>-726</v>
      </c>
      <c r="O168" s="58">
        <f t="shared" si="31"/>
        <v>-1.6334</v>
      </c>
      <c r="P168" s="59" t="s">
        <v>18</v>
      </c>
      <c r="Q168" s="54">
        <f t="shared" si="32"/>
        <v>-726</v>
      </c>
    </row>
    <row r="169" spans="1:17" x14ac:dyDescent="0.25">
      <c r="A169" s="19" t="s">
        <v>20</v>
      </c>
      <c r="C169" s="6">
        <v>16439716.09066999</v>
      </c>
      <c r="D169" s="6">
        <v>21966173.894598663</v>
      </c>
      <c r="F169" s="30"/>
      <c r="G169" s="26"/>
      <c r="K169" s="30"/>
      <c r="L169" s="30">
        <f t="shared" si="29"/>
        <v>9.2802000000000007</v>
      </c>
      <c r="M169" s="26" t="s">
        <v>18</v>
      </c>
      <c r="N169" s="7">
        <f t="shared" si="30"/>
        <v>2038505</v>
      </c>
      <c r="O169" s="61">
        <f t="shared" si="31"/>
        <v>9.0279000000000007</v>
      </c>
      <c r="P169" s="59" t="s">
        <v>18</v>
      </c>
      <c r="Q169" s="54">
        <f t="shared" si="32"/>
        <v>1983084</v>
      </c>
    </row>
    <row r="170" spans="1:17" x14ac:dyDescent="0.25">
      <c r="A170" s="19" t="s">
        <v>21</v>
      </c>
      <c r="C170" s="6">
        <v>10812418.378645124</v>
      </c>
      <c r="D170" s="6">
        <v>14447176</v>
      </c>
      <c r="F170" s="30"/>
      <c r="G170" s="26"/>
      <c r="K170" s="30"/>
      <c r="L170" s="30">
        <f t="shared" si="29"/>
        <v>11.9733</v>
      </c>
      <c r="M170" s="26" t="s">
        <v>18</v>
      </c>
      <c r="N170" s="7">
        <f t="shared" si="30"/>
        <v>1729804</v>
      </c>
      <c r="O170" s="61">
        <f t="shared" si="31"/>
        <v>11.721</v>
      </c>
      <c r="P170" s="59" t="s">
        <v>18</v>
      </c>
      <c r="Q170" s="54">
        <f t="shared" si="32"/>
        <v>1693353</v>
      </c>
    </row>
    <row r="171" spans="1:17" x14ac:dyDescent="0.25">
      <c r="A171" s="19" t="s">
        <v>22</v>
      </c>
      <c r="C171" s="6">
        <v>5925108.1796947811</v>
      </c>
      <c r="D171" s="6">
        <v>7916923</v>
      </c>
      <c r="F171" s="30"/>
      <c r="G171" s="26"/>
      <c r="K171" s="30"/>
      <c r="L171" s="30">
        <f t="shared" si="29"/>
        <v>11.9733</v>
      </c>
      <c r="M171" s="26" t="s">
        <v>18</v>
      </c>
      <c r="N171" s="7">
        <f t="shared" si="30"/>
        <v>947917</v>
      </c>
      <c r="O171" s="61">
        <f t="shared" si="31"/>
        <v>11.721</v>
      </c>
      <c r="P171" s="59" t="s">
        <v>18</v>
      </c>
      <c r="Q171" s="54">
        <f t="shared" si="32"/>
        <v>927943</v>
      </c>
    </row>
    <row r="172" spans="1:17" x14ac:dyDescent="0.25">
      <c r="A172" s="19" t="s">
        <v>23</v>
      </c>
      <c r="B172" s="29"/>
      <c r="C172" s="6">
        <v>42954251.743285455</v>
      </c>
      <c r="D172" s="6">
        <v>50047131</v>
      </c>
      <c r="E172" s="29"/>
      <c r="F172" s="30"/>
      <c r="G172" s="26"/>
      <c r="J172" s="29"/>
      <c r="K172" s="30"/>
      <c r="L172" s="30">
        <f t="shared" si="29"/>
        <v>8.2126000000000001</v>
      </c>
      <c r="M172" s="26" t="s">
        <v>18</v>
      </c>
      <c r="N172" s="7">
        <f t="shared" si="30"/>
        <v>4110171</v>
      </c>
      <c r="O172" s="61">
        <f t="shared" si="31"/>
        <v>7.9893000000000001</v>
      </c>
      <c r="P172" s="59" t="s">
        <v>18</v>
      </c>
      <c r="Q172" s="54">
        <f t="shared" si="32"/>
        <v>3998415</v>
      </c>
    </row>
    <row r="173" spans="1:17" x14ac:dyDescent="0.25">
      <c r="A173" s="19" t="s">
        <v>24</v>
      </c>
      <c r="B173" s="29"/>
      <c r="C173" s="6">
        <v>41160207.628910221</v>
      </c>
      <c r="D173" s="6">
        <v>47956842</v>
      </c>
      <c r="E173" s="29"/>
      <c r="F173" s="30"/>
      <c r="G173" s="26"/>
      <c r="J173" s="29"/>
      <c r="K173" s="30"/>
      <c r="L173" s="30">
        <f t="shared" si="29"/>
        <v>10.5959</v>
      </c>
      <c r="M173" s="26" t="s">
        <v>18</v>
      </c>
      <c r="N173" s="7">
        <f t="shared" si="30"/>
        <v>5081459</v>
      </c>
      <c r="O173" s="61">
        <f t="shared" si="31"/>
        <v>10.3725</v>
      </c>
      <c r="P173" s="59" t="s">
        <v>18</v>
      </c>
      <c r="Q173" s="54">
        <f t="shared" si="32"/>
        <v>4974323</v>
      </c>
    </row>
    <row r="174" spans="1:17" x14ac:dyDescent="0.25">
      <c r="A174" s="19" t="s">
        <v>25</v>
      </c>
      <c r="C174" s="6">
        <v>5872</v>
      </c>
      <c r="D174" s="6">
        <v>7604</v>
      </c>
      <c r="F174" s="25">
        <v>4.3559999999999999</v>
      </c>
      <c r="G174" s="26" t="s">
        <v>18</v>
      </c>
      <c r="H174" s="7">
        <f t="shared" ref="H174:I181" si="33">ROUND($F174*C174/100,0)</f>
        <v>256</v>
      </c>
      <c r="I174" s="7">
        <f t="shared" si="33"/>
        <v>331</v>
      </c>
      <c r="K174" s="25"/>
      <c r="L174" s="25"/>
      <c r="M174" s="26"/>
      <c r="O174" s="58"/>
      <c r="P174" s="59"/>
    </row>
    <row r="175" spans="1:17" x14ac:dyDescent="0.25">
      <c r="A175" s="19" t="s">
        <v>26</v>
      </c>
      <c r="C175" s="6">
        <v>40803</v>
      </c>
      <c r="D175" s="6">
        <v>52839</v>
      </c>
      <c r="F175" s="25">
        <v>-1.6334</v>
      </c>
      <c r="G175" s="26" t="s">
        <v>18</v>
      </c>
      <c r="H175" s="7">
        <f t="shared" si="33"/>
        <v>-666</v>
      </c>
      <c r="I175" s="7">
        <f t="shared" si="33"/>
        <v>-863</v>
      </c>
      <c r="K175" s="25"/>
      <c r="L175" s="25"/>
      <c r="M175" s="26"/>
      <c r="O175" s="58"/>
      <c r="P175" s="59"/>
    </row>
    <row r="176" spans="1:17" x14ac:dyDescent="0.25">
      <c r="A176" s="19" t="s">
        <v>27</v>
      </c>
      <c r="C176" s="6">
        <v>18539579.763590723</v>
      </c>
      <c r="D176" s="6">
        <v>24008563.894598663</v>
      </c>
      <c r="F176" s="30">
        <v>8.8498000000000001</v>
      </c>
      <c r="G176" s="26" t="s">
        <v>18</v>
      </c>
      <c r="H176" s="7">
        <f t="shared" si="33"/>
        <v>1640716</v>
      </c>
      <c r="I176" s="7">
        <f t="shared" si="33"/>
        <v>2124710</v>
      </c>
      <c r="K176" s="30"/>
      <c r="L176" s="30"/>
      <c r="M176" s="26"/>
      <c r="O176" s="61"/>
      <c r="P176" s="59"/>
    </row>
    <row r="177" spans="1:17" x14ac:dyDescent="0.25">
      <c r="A177" s="19" t="s">
        <v>28</v>
      </c>
      <c r="C177" s="6">
        <v>11711853.344823245</v>
      </c>
      <c r="D177" s="6">
        <v>15166728</v>
      </c>
      <c r="F177" s="30">
        <v>11.542899999999999</v>
      </c>
      <c r="G177" s="26" t="s">
        <v>18</v>
      </c>
      <c r="H177" s="7">
        <f t="shared" si="33"/>
        <v>1351888</v>
      </c>
      <c r="I177" s="7">
        <f t="shared" si="33"/>
        <v>1750680</v>
      </c>
      <c r="K177" s="30"/>
      <c r="L177" s="30"/>
      <c r="M177" s="26"/>
      <c r="O177" s="61"/>
      <c r="P177" s="59"/>
    </row>
    <row r="178" spans="1:17" x14ac:dyDescent="0.25">
      <c r="A178" s="19" t="s">
        <v>29</v>
      </c>
      <c r="C178" s="6">
        <v>6443331.5536244791</v>
      </c>
      <c r="D178" s="6">
        <v>8344047</v>
      </c>
      <c r="F178" s="30">
        <v>14.450799999999999</v>
      </c>
      <c r="G178" s="26" t="s">
        <v>18</v>
      </c>
      <c r="H178" s="7">
        <f t="shared" si="33"/>
        <v>931113</v>
      </c>
      <c r="I178" s="7">
        <f t="shared" si="33"/>
        <v>1205782</v>
      </c>
      <c r="K178" s="30"/>
      <c r="L178" s="30"/>
      <c r="M178" s="26"/>
      <c r="O178" s="61"/>
      <c r="P178" s="59"/>
    </row>
    <row r="179" spans="1:17" x14ac:dyDescent="0.25">
      <c r="A179" s="19" t="s">
        <v>30</v>
      </c>
      <c r="B179" s="29"/>
      <c r="C179" s="6">
        <v>40722859.346801311</v>
      </c>
      <c r="D179" s="6">
        <v>47906710</v>
      </c>
      <c r="E179" s="29"/>
      <c r="F179" s="30">
        <v>8.8498000000000001</v>
      </c>
      <c r="G179" s="26" t="s">
        <v>18</v>
      </c>
      <c r="H179" s="7">
        <f t="shared" si="33"/>
        <v>3603892</v>
      </c>
      <c r="I179" s="7">
        <f t="shared" si="33"/>
        <v>4239648</v>
      </c>
      <c r="J179" s="29"/>
      <c r="K179" s="30"/>
      <c r="L179" s="30"/>
      <c r="M179" s="26"/>
      <c r="O179" s="61"/>
      <c r="P179" s="59"/>
    </row>
    <row r="180" spans="1:17" x14ac:dyDescent="0.25">
      <c r="A180" s="19" t="s">
        <v>31</v>
      </c>
      <c r="B180" s="29"/>
      <c r="C180" s="6">
        <v>39874078.012365803</v>
      </c>
      <c r="D180" s="6">
        <v>46908197</v>
      </c>
      <c r="E180" s="29"/>
      <c r="F180" s="30">
        <v>10.7072</v>
      </c>
      <c r="G180" s="26" t="s">
        <v>18</v>
      </c>
      <c r="H180" s="7">
        <f t="shared" si="33"/>
        <v>4269397</v>
      </c>
      <c r="I180" s="7">
        <f t="shared" si="33"/>
        <v>5022554</v>
      </c>
      <c r="J180" s="29"/>
      <c r="K180" s="30"/>
      <c r="L180" s="30"/>
      <c r="M180" s="26"/>
      <c r="O180" s="61"/>
      <c r="P180" s="59"/>
    </row>
    <row r="181" spans="1:17" x14ac:dyDescent="0.25">
      <c r="A181" s="32" t="s">
        <v>32</v>
      </c>
      <c r="B181" s="33"/>
      <c r="C181" s="34">
        <v>0</v>
      </c>
      <c r="D181" s="6">
        <v>0</v>
      </c>
      <c r="E181" s="33"/>
      <c r="F181" s="31">
        <v>11.7033</v>
      </c>
      <c r="G181" s="35" t="s">
        <v>18</v>
      </c>
      <c r="H181" s="18">
        <f t="shared" si="33"/>
        <v>0</v>
      </c>
      <c r="I181" s="18">
        <f t="shared" si="33"/>
        <v>0</v>
      </c>
      <c r="J181" s="33"/>
      <c r="K181" s="31"/>
      <c r="L181" s="31">
        <f>L41</f>
        <v>12.243600000000001</v>
      </c>
      <c r="M181" s="35" t="s">
        <v>18</v>
      </c>
      <c r="N181" s="7">
        <f>ROUND($D181*L181/100,0)</f>
        <v>0</v>
      </c>
      <c r="O181" s="62">
        <f>O41</f>
        <v>11.912599999999999</v>
      </c>
      <c r="P181" s="63" t="s">
        <v>18</v>
      </c>
      <c r="Q181" s="54">
        <f>ROUND($D181*O181/100,0)</f>
        <v>0</v>
      </c>
    </row>
    <row r="182" spans="1:17" x14ac:dyDescent="0.25">
      <c r="A182" s="19" t="s">
        <v>33</v>
      </c>
      <c r="C182" s="36">
        <v>668834</v>
      </c>
      <c r="D182" s="36">
        <v>0</v>
      </c>
      <c r="H182" s="37">
        <v>85540</v>
      </c>
      <c r="I182" s="37">
        <v>0</v>
      </c>
      <c r="N182" s="37">
        <v>0</v>
      </c>
      <c r="Q182" s="64">
        <v>0</v>
      </c>
    </row>
    <row r="183" spans="1:17" x14ac:dyDescent="0.25">
      <c r="A183" s="19" t="s">
        <v>34</v>
      </c>
      <c r="F183" s="23">
        <v>-3.9100000000000003E-2</v>
      </c>
      <c r="G183" s="24"/>
      <c r="H183" s="7">
        <f>SUM(H176:H178,H179:H181)*$F183</f>
        <v>-461262.93460000004</v>
      </c>
      <c r="I183" s="7">
        <f>SUM(I176:I178,I179:I181)*$F183</f>
        <v>-560825.92340000009</v>
      </c>
      <c r="K183" s="23" t="str">
        <f>$K$43</f>
        <v>TAA 1 (1/1/2021)</v>
      </c>
      <c r="L183" s="23">
        <f>$L$43</f>
        <v>-3.0200000000000001E-2</v>
      </c>
      <c r="M183" s="24"/>
      <c r="N183" s="7">
        <f>L183*SUM(N169:N173,N181)</f>
        <v>-420017.2512</v>
      </c>
      <c r="O183" s="65">
        <f>$L$43</f>
        <v>-3.0200000000000001E-2</v>
      </c>
      <c r="P183" s="57"/>
      <c r="Q183" s="54">
        <f>O183*SUM(Q169:Q173,Q181)</f>
        <v>-410028.96360000002</v>
      </c>
    </row>
    <row r="184" spans="1:17" x14ac:dyDescent="0.25">
      <c r="A184" s="32" t="s">
        <v>35</v>
      </c>
      <c r="C184" s="6">
        <v>0</v>
      </c>
      <c r="D184" s="6">
        <v>0</v>
      </c>
      <c r="F184" s="23"/>
      <c r="G184" s="24"/>
      <c r="K184" s="23" t="str">
        <f>$K$44</f>
        <v>TAA 2 (1/1/2022)</v>
      </c>
      <c r="L184" s="23">
        <f>$L$44</f>
        <v>-1.5100000000000001E-2</v>
      </c>
      <c r="M184" s="24"/>
      <c r="N184" s="7">
        <f>L184*SUM(N169:N173,N181)</f>
        <v>-210008.6256</v>
      </c>
      <c r="O184" s="65">
        <f>$L$44</f>
        <v>-1.5100000000000001E-2</v>
      </c>
      <c r="P184" s="57"/>
      <c r="Q184" s="54">
        <f>O184*SUM(Q169:Q173,Q181)</f>
        <v>-205014.48180000001</v>
      </c>
    </row>
    <row r="185" spans="1:17" ht="16.5" thickBot="1" x14ac:dyDescent="0.3">
      <c r="A185" s="19" t="s">
        <v>36</v>
      </c>
      <c r="C185" s="38">
        <v>117960536.02120556</v>
      </c>
      <c r="D185" s="38">
        <v>142334245.89459866</v>
      </c>
      <c r="F185" s="41"/>
      <c r="H185" s="95">
        <f>SUM(H152:H183)</f>
        <v>13909632.065400001</v>
      </c>
      <c r="I185" s="95">
        <f>SUM(I152:I183)</f>
        <v>16685304.0766</v>
      </c>
      <c r="K185" s="41"/>
      <c r="L185" s="41"/>
      <c r="N185" s="40">
        <f>SUM(N153:N182)</f>
        <v>17232241</v>
      </c>
      <c r="O185" s="68"/>
      <c r="Q185" s="67">
        <f>SUM(Q153:Q182)</f>
        <v>17713233</v>
      </c>
    </row>
    <row r="186" spans="1:17" ht="16.5" thickTop="1" x14ac:dyDescent="0.25"/>
    <row r="187" spans="1:17" x14ac:dyDescent="0.25">
      <c r="A187" s="15" t="s">
        <v>46</v>
      </c>
    </row>
    <row r="188" spans="1:17" x14ac:dyDescent="0.25">
      <c r="A188" s="19" t="s">
        <v>7</v>
      </c>
      <c r="C188" s="6">
        <v>56694.066666666578</v>
      </c>
      <c r="D188" s="6">
        <v>307354</v>
      </c>
      <c r="F188" s="20"/>
      <c r="G188" s="20"/>
      <c r="K188" s="20"/>
      <c r="L188" s="20"/>
      <c r="M188" s="20"/>
      <c r="O188" s="55"/>
      <c r="P188" s="55"/>
    </row>
    <row r="189" spans="1:17" x14ac:dyDescent="0.25">
      <c r="A189" s="19" t="s">
        <v>8</v>
      </c>
      <c r="C189" s="6">
        <v>56694.066666666578</v>
      </c>
      <c r="D189" s="6">
        <v>307354</v>
      </c>
      <c r="F189" s="20">
        <v>6</v>
      </c>
      <c r="G189" s="20"/>
      <c r="H189" s="7">
        <f t="shared" ref="H189:I203" si="34">ROUND($F189*C189,0)</f>
        <v>340164</v>
      </c>
      <c r="I189" s="7">
        <f t="shared" si="34"/>
        <v>1844124</v>
      </c>
      <c r="K189" s="20"/>
      <c r="L189" s="20"/>
      <c r="M189" s="20"/>
      <c r="O189" s="55"/>
      <c r="P189" s="55"/>
    </row>
    <row r="190" spans="1:17" x14ac:dyDescent="0.25">
      <c r="A190" s="19" t="s">
        <v>9</v>
      </c>
      <c r="C190" s="6">
        <v>56003.233333333243</v>
      </c>
      <c r="D190" s="6">
        <v>303609</v>
      </c>
      <c r="F190" s="20"/>
      <c r="G190" s="20"/>
      <c r="K190" s="20"/>
      <c r="L190" s="20">
        <f>L13</f>
        <v>8</v>
      </c>
      <c r="M190" s="20"/>
      <c r="N190" s="7">
        <f>ROUND($D190*L190,0)</f>
        <v>2428872</v>
      </c>
      <c r="O190" s="55">
        <f>O13</f>
        <v>10</v>
      </c>
      <c r="P190" s="55"/>
      <c r="Q190" s="54">
        <f>ROUND($D190*O190,0)</f>
        <v>3036090</v>
      </c>
    </row>
    <row r="191" spans="1:17" x14ac:dyDescent="0.25">
      <c r="A191" s="19" t="s">
        <v>10</v>
      </c>
      <c r="C191" s="6">
        <v>690.83333333333326</v>
      </c>
      <c r="D191" s="6">
        <v>3745</v>
      </c>
      <c r="F191" s="20"/>
      <c r="G191" s="20"/>
      <c r="K191" s="20"/>
      <c r="L191" s="20">
        <f>L14</f>
        <v>6</v>
      </c>
      <c r="M191" s="20"/>
      <c r="N191" s="7">
        <f>ROUND($D191*L191,0)</f>
        <v>22470</v>
      </c>
      <c r="O191" s="55">
        <f>O14</f>
        <v>6</v>
      </c>
      <c r="P191" s="55"/>
      <c r="Q191" s="54">
        <f>ROUND($D191*O191,0)</f>
        <v>22470</v>
      </c>
    </row>
    <row r="192" spans="1:17" x14ac:dyDescent="0.25">
      <c r="A192" s="19" t="s">
        <v>11</v>
      </c>
      <c r="C192" s="6">
        <v>0</v>
      </c>
      <c r="D192" s="6">
        <v>0</v>
      </c>
      <c r="F192" s="20">
        <v>12</v>
      </c>
      <c r="G192" s="20"/>
      <c r="H192" s="7">
        <f t="shared" si="34"/>
        <v>0</v>
      </c>
      <c r="I192" s="7">
        <f t="shared" si="34"/>
        <v>0</v>
      </c>
      <c r="K192" s="20"/>
      <c r="L192" s="20"/>
      <c r="M192" s="20"/>
      <c r="O192" s="55"/>
      <c r="P192" s="55"/>
    </row>
    <row r="193" spans="1:17" x14ac:dyDescent="0.25">
      <c r="A193" s="19" t="s">
        <v>9</v>
      </c>
      <c r="C193" s="6">
        <v>0</v>
      </c>
      <c r="F193" s="20"/>
      <c r="G193" s="20"/>
      <c r="K193" s="20"/>
      <c r="L193" s="20">
        <f>L16</f>
        <v>16</v>
      </c>
      <c r="M193" s="20"/>
      <c r="N193" s="7">
        <f>ROUND($D193*L193,0)</f>
        <v>0</v>
      </c>
      <c r="O193" s="55">
        <f>O16</f>
        <v>20</v>
      </c>
      <c r="P193" s="55"/>
      <c r="Q193" s="54">
        <f>ROUND($D193*O193,0)</f>
        <v>0</v>
      </c>
    </row>
    <row r="194" spans="1:17" x14ac:dyDescent="0.25">
      <c r="A194" s="19" t="s">
        <v>10</v>
      </c>
      <c r="C194" s="6">
        <v>0</v>
      </c>
      <c r="F194" s="20"/>
      <c r="G194" s="20"/>
      <c r="K194" s="20"/>
      <c r="L194" s="20">
        <f>L17</f>
        <v>12</v>
      </c>
      <c r="M194" s="20"/>
      <c r="N194" s="7">
        <f>ROUND($D194*L194,0)</f>
        <v>0</v>
      </c>
      <c r="O194" s="55">
        <f>O17</f>
        <v>12</v>
      </c>
      <c r="P194" s="55"/>
      <c r="Q194" s="54">
        <f>ROUND($D194*O194,0)</f>
        <v>0</v>
      </c>
    </row>
    <row r="195" spans="1:17" x14ac:dyDescent="0.25">
      <c r="A195" s="19" t="s">
        <v>12</v>
      </c>
      <c r="C195" s="6">
        <v>303.69499999999999</v>
      </c>
      <c r="D195" s="6">
        <v>1646</v>
      </c>
      <c r="F195" s="20">
        <v>2</v>
      </c>
      <c r="G195" s="20"/>
      <c r="H195" s="7">
        <f t="shared" si="34"/>
        <v>607</v>
      </c>
      <c r="I195" s="7">
        <f t="shared" si="34"/>
        <v>3292</v>
      </c>
      <c r="K195" s="20"/>
      <c r="L195" s="20">
        <f t="shared" ref="L195:L196" si="35">L18</f>
        <v>2</v>
      </c>
      <c r="M195" s="20"/>
      <c r="N195" s="7">
        <f>ROUND($D195*L195,0)</f>
        <v>3292</v>
      </c>
      <c r="O195" s="55">
        <f t="shared" ref="O195:O196" si="36">O18</f>
        <v>2</v>
      </c>
      <c r="P195" s="55"/>
      <c r="Q195" s="54">
        <f>ROUND($D195*O195,0)</f>
        <v>3292</v>
      </c>
    </row>
    <row r="196" spans="1:17" x14ac:dyDescent="0.25">
      <c r="A196" s="19" t="s">
        <v>13</v>
      </c>
      <c r="C196" s="6">
        <v>0</v>
      </c>
      <c r="D196" s="6">
        <v>0</v>
      </c>
      <c r="F196" s="20">
        <v>22</v>
      </c>
      <c r="G196" s="20"/>
      <c r="H196" s="7">
        <f t="shared" si="34"/>
        <v>0</v>
      </c>
      <c r="I196" s="7">
        <f t="shared" si="34"/>
        <v>0</v>
      </c>
      <c r="K196" s="20"/>
      <c r="L196" s="20">
        <f t="shared" si="35"/>
        <v>22</v>
      </c>
      <c r="M196" s="20"/>
      <c r="N196" s="7">
        <f>ROUND($D196*L196,0)</f>
        <v>0</v>
      </c>
      <c r="O196" s="55">
        <f t="shared" si="36"/>
        <v>22</v>
      </c>
      <c r="P196" s="55"/>
      <c r="Q196" s="54">
        <f>ROUND($D196*O196,0)</f>
        <v>0</v>
      </c>
    </row>
    <row r="197" spans="1:17" x14ac:dyDescent="0.25">
      <c r="A197" s="19" t="s">
        <v>14</v>
      </c>
      <c r="C197" s="6">
        <v>13201.804999999977</v>
      </c>
      <c r="D197" s="6">
        <v>71571</v>
      </c>
      <c r="F197" s="20">
        <v>8</v>
      </c>
      <c r="G197" s="20"/>
      <c r="H197" s="7">
        <f t="shared" si="34"/>
        <v>105614</v>
      </c>
      <c r="I197" s="7">
        <f t="shared" si="34"/>
        <v>572568</v>
      </c>
      <c r="K197" s="20"/>
      <c r="L197" s="20"/>
      <c r="M197" s="20"/>
      <c r="O197" s="55"/>
      <c r="P197" s="55"/>
    </row>
    <row r="198" spans="1:17" x14ac:dyDescent="0.25">
      <c r="A198" s="19" t="s">
        <v>9</v>
      </c>
      <c r="C198" s="6">
        <v>13106.414999999977</v>
      </c>
      <c r="D198" s="6">
        <v>71054</v>
      </c>
      <c r="F198" s="20"/>
      <c r="G198" s="20"/>
      <c r="K198" s="20"/>
      <c r="L198" s="20"/>
      <c r="M198" s="20"/>
      <c r="O198" s="55"/>
      <c r="P198" s="55"/>
    </row>
    <row r="199" spans="1:17" x14ac:dyDescent="0.25">
      <c r="A199" s="19" t="s">
        <v>10</v>
      </c>
      <c r="C199" s="6">
        <v>95.39</v>
      </c>
      <c r="D199" s="6">
        <v>517</v>
      </c>
      <c r="F199" s="20"/>
      <c r="G199" s="20"/>
      <c r="K199" s="20"/>
      <c r="L199" s="20"/>
      <c r="M199" s="20"/>
      <c r="O199" s="55"/>
      <c r="P199" s="55"/>
    </row>
    <row r="200" spans="1:17" x14ac:dyDescent="0.25">
      <c r="A200" s="19" t="s">
        <v>15</v>
      </c>
      <c r="C200" s="6">
        <v>0</v>
      </c>
      <c r="D200" s="6">
        <v>0</v>
      </c>
      <c r="F200" s="20">
        <v>16</v>
      </c>
      <c r="G200" s="20"/>
      <c r="H200" s="7">
        <f t="shared" si="34"/>
        <v>0</v>
      </c>
      <c r="I200" s="7">
        <f t="shared" si="34"/>
        <v>0</v>
      </c>
      <c r="K200" s="20"/>
      <c r="L200" s="20"/>
      <c r="M200" s="20"/>
      <c r="O200" s="55"/>
      <c r="P200" s="55"/>
    </row>
    <row r="201" spans="1:17" x14ac:dyDescent="0.25">
      <c r="A201" s="19" t="s">
        <v>9</v>
      </c>
      <c r="C201" s="6">
        <v>0</v>
      </c>
      <c r="F201" s="20"/>
      <c r="G201" s="20"/>
      <c r="K201" s="20"/>
      <c r="L201" s="20"/>
      <c r="M201" s="20"/>
      <c r="O201" s="55"/>
      <c r="P201" s="55"/>
    </row>
    <row r="202" spans="1:17" x14ac:dyDescent="0.25">
      <c r="A202" s="19" t="s">
        <v>10</v>
      </c>
      <c r="C202" s="6">
        <v>0</v>
      </c>
      <c r="F202" s="20"/>
      <c r="G202" s="20"/>
      <c r="K202" s="20"/>
      <c r="L202" s="20"/>
      <c r="M202" s="20"/>
      <c r="O202" s="55"/>
      <c r="P202" s="55"/>
    </row>
    <row r="203" spans="1:17" x14ac:dyDescent="0.25">
      <c r="A203" s="19" t="s">
        <v>16</v>
      </c>
      <c r="C203" s="6">
        <v>0</v>
      </c>
      <c r="D203" s="6">
        <v>0</v>
      </c>
      <c r="F203" s="20">
        <v>96</v>
      </c>
      <c r="G203" s="20"/>
      <c r="H203" s="7">
        <f t="shared" si="34"/>
        <v>0</v>
      </c>
      <c r="I203" s="7">
        <f t="shared" si="34"/>
        <v>0</v>
      </c>
      <c r="K203" s="20"/>
      <c r="L203" s="20"/>
      <c r="M203" s="20"/>
      <c r="O203" s="55"/>
      <c r="P203" s="55"/>
    </row>
    <row r="204" spans="1:17" x14ac:dyDescent="0.25">
      <c r="A204" s="19" t="s">
        <v>17</v>
      </c>
      <c r="C204" s="6">
        <v>1101.0139275766016</v>
      </c>
      <c r="D204" s="6">
        <v>5690</v>
      </c>
      <c r="F204" s="25"/>
      <c r="G204" s="26"/>
      <c r="K204" s="25"/>
      <c r="L204" s="25">
        <f t="shared" ref="L204:L210" si="37">L27</f>
        <v>4.3559999999999999</v>
      </c>
      <c r="M204" s="26" t="s">
        <v>18</v>
      </c>
      <c r="N204" s="7">
        <f t="shared" ref="N204:N210" si="38">ROUND($D204*L204/100,0)</f>
        <v>248</v>
      </c>
      <c r="O204" s="58">
        <f t="shared" ref="O204:O210" si="39">O27</f>
        <v>4.3559999999999999</v>
      </c>
      <c r="P204" s="59" t="s">
        <v>18</v>
      </c>
      <c r="Q204" s="54">
        <f t="shared" ref="Q204:Q210" si="40">ROUND($D204*O204/100,0)</f>
        <v>248</v>
      </c>
    </row>
    <row r="205" spans="1:17" x14ac:dyDescent="0.25">
      <c r="A205" s="19" t="s">
        <v>19</v>
      </c>
      <c r="C205" s="6">
        <v>6841.8412256267411</v>
      </c>
      <c r="D205" s="6">
        <v>35358</v>
      </c>
      <c r="F205" s="25"/>
      <c r="G205" s="26"/>
      <c r="K205" s="25"/>
      <c r="L205" s="25">
        <f t="shared" si="37"/>
        <v>-1.6334</v>
      </c>
      <c r="M205" s="26" t="s">
        <v>18</v>
      </c>
      <c r="N205" s="7">
        <f t="shared" si="38"/>
        <v>-578</v>
      </c>
      <c r="O205" s="58">
        <f t="shared" si="39"/>
        <v>-1.6334</v>
      </c>
      <c r="P205" s="59" t="s">
        <v>18</v>
      </c>
      <c r="Q205" s="54">
        <f t="shared" si="40"/>
        <v>-578</v>
      </c>
    </row>
    <row r="206" spans="1:17" x14ac:dyDescent="0.25">
      <c r="A206" s="19" t="s">
        <v>20</v>
      </c>
      <c r="C206" s="6">
        <v>7489143.5454950463</v>
      </c>
      <c r="D206" s="6">
        <v>38703048.189910412</v>
      </c>
      <c r="F206" s="30"/>
      <c r="G206" s="26"/>
      <c r="K206" s="30"/>
      <c r="L206" s="30">
        <f t="shared" si="37"/>
        <v>9.2802000000000007</v>
      </c>
      <c r="M206" s="26" t="s">
        <v>18</v>
      </c>
      <c r="N206" s="7">
        <f t="shared" si="38"/>
        <v>3591720</v>
      </c>
      <c r="O206" s="61">
        <f t="shared" si="39"/>
        <v>9.0279000000000007</v>
      </c>
      <c r="P206" s="59" t="s">
        <v>18</v>
      </c>
      <c r="Q206" s="54">
        <f t="shared" si="40"/>
        <v>3494072</v>
      </c>
    </row>
    <row r="207" spans="1:17" x14ac:dyDescent="0.25">
      <c r="A207" s="19" t="s">
        <v>21</v>
      </c>
      <c r="C207" s="6">
        <v>5194029.4005090147</v>
      </c>
      <c r="D207" s="6">
        <v>26842157</v>
      </c>
      <c r="F207" s="30"/>
      <c r="G207" s="26"/>
      <c r="K207" s="30"/>
      <c r="L207" s="30">
        <f t="shared" si="37"/>
        <v>11.9733</v>
      </c>
      <c r="M207" s="26" t="s">
        <v>18</v>
      </c>
      <c r="N207" s="7">
        <f t="shared" si="38"/>
        <v>3213892</v>
      </c>
      <c r="O207" s="61">
        <f t="shared" si="39"/>
        <v>11.721</v>
      </c>
      <c r="P207" s="59" t="s">
        <v>18</v>
      </c>
      <c r="Q207" s="54">
        <f t="shared" si="40"/>
        <v>3146169</v>
      </c>
    </row>
    <row r="208" spans="1:17" x14ac:dyDescent="0.25">
      <c r="A208" s="19" t="s">
        <v>22</v>
      </c>
      <c r="C208" s="6">
        <v>1470728.1321477473</v>
      </c>
      <c r="D208" s="6">
        <v>7600557</v>
      </c>
      <c r="F208" s="30"/>
      <c r="G208" s="26"/>
      <c r="K208" s="30"/>
      <c r="L208" s="30">
        <f t="shared" si="37"/>
        <v>11.9733</v>
      </c>
      <c r="M208" s="26" t="s">
        <v>18</v>
      </c>
      <c r="N208" s="7">
        <f t="shared" si="38"/>
        <v>910037</v>
      </c>
      <c r="O208" s="61">
        <f t="shared" si="39"/>
        <v>11.721</v>
      </c>
      <c r="P208" s="59" t="s">
        <v>18</v>
      </c>
      <c r="Q208" s="54">
        <f t="shared" si="40"/>
        <v>890861</v>
      </c>
    </row>
    <row r="209" spans="1:17" x14ac:dyDescent="0.25">
      <c r="A209" s="19" t="s">
        <v>23</v>
      </c>
      <c r="B209" s="29"/>
      <c r="C209" s="6">
        <v>12939891.563608348</v>
      </c>
      <c r="D209" s="6">
        <v>68555364</v>
      </c>
      <c r="E209" s="29"/>
      <c r="F209" s="30"/>
      <c r="G209" s="26"/>
      <c r="J209" s="29"/>
      <c r="K209" s="30"/>
      <c r="L209" s="30">
        <f t="shared" si="37"/>
        <v>8.2126000000000001</v>
      </c>
      <c r="M209" s="26" t="s">
        <v>18</v>
      </c>
      <c r="N209" s="7">
        <f t="shared" si="38"/>
        <v>5630178</v>
      </c>
      <c r="O209" s="61">
        <f t="shared" si="39"/>
        <v>7.9893000000000001</v>
      </c>
      <c r="P209" s="59" t="s">
        <v>18</v>
      </c>
      <c r="Q209" s="54">
        <f t="shared" si="40"/>
        <v>5477094</v>
      </c>
    </row>
    <row r="210" spans="1:17" x14ac:dyDescent="0.25">
      <c r="A210" s="19" t="s">
        <v>24</v>
      </c>
      <c r="B210" s="29"/>
      <c r="C210" s="6">
        <v>9646843.8093998432</v>
      </c>
      <c r="D210" s="6">
        <v>51108843</v>
      </c>
      <c r="E210" s="29"/>
      <c r="F210" s="30"/>
      <c r="G210" s="26"/>
      <c r="J210" s="29"/>
      <c r="K210" s="30"/>
      <c r="L210" s="30">
        <f t="shared" si="37"/>
        <v>10.5959</v>
      </c>
      <c r="M210" s="26" t="s">
        <v>18</v>
      </c>
      <c r="N210" s="7">
        <f t="shared" si="38"/>
        <v>5415442</v>
      </c>
      <c r="O210" s="61">
        <f t="shared" si="39"/>
        <v>10.3725</v>
      </c>
      <c r="P210" s="59" t="s">
        <v>18</v>
      </c>
      <c r="Q210" s="54">
        <f t="shared" si="40"/>
        <v>5301265</v>
      </c>
    </row>
    <row r="211" spans="1:17" x14ac:dyDescent="0.25">
      <c r="A211" s="19" t="s">
        <v>25</v>
      </c>
      <c r="C211" s="6">
        <v>1261</v>
      </c>
      <c r="D211" s="6">
        <v>6621</v>
      </c>
      <c r="F211" s="25">
        <v>4.3559999999999999</v>
      </c>
      <c r="G211" s="26" t="s">
        <v>18</v>
      </c>
      <c r="H211" s="7">
        <f t="shared" ref="H211:I218" si="41">ROUND($F211*C211/100,0)</f>
        <v>55</v>
      </c>
      <c r="I211" s="7">
        <f t="shared" si="41"/>
        <v>288</v>
      </c>
      <c r="K211" s="25"/>
      <c r="L211" s="25"/>
      <c r="M211" s="26"/>
      <c r="O211" s="58"/>
      <c r="P211" s="59"/>
    </row>
    <row r="212" spans="1:17" x14ac:dyDescent="0.25">
      <c r="A212" s="19" t="s">
        <v>26</v>
      </c>
      <c r="C212" s="6">
        <v>8120</v>
      </c>
      <c r="D212" s="6">
        <v>42635</v>
      </c>
      <c r="F212" s="25">
        <v>-1.6334</v>
      </c>
      <c r="G212" s="26" t="s">
        <v>18</v>
      </c>
      <c r="H212" s="7">
        <f t="shared" si="41"/>
        <v>-133</v>
      </c>
      <c r="I212" s="7">
        <f t="shared" si="41"/>
        <v>-696</v>
      </c>
      <c r="K212" s="25"/>
      <c r="L212" s="25"/>
      <c r="M212" s="26"/>
      <c r="O212" s="58"/>
      <c r="P212" s="59"/>
    </row>
    <row r="213" spans="1:17" x14ac:dyDescent="0.25">
      <c r="A213" s="19" t="s">
        <v>27</v>
      </c>
      <c r="C213" s="6">
        <v>8940821.074906487</v>
      </c>
      <c r="D213" s="6">
        <v>46944979.189910412</v>
      </c>
      <c r="F213" s="30">
        <v>8.8498000000000001</v>
      </c>
      <c r="G213" s="26" t="s">
        <v>18</v>
      </c>
      <c r="H213" s="7">
        <f t="shared" si="41"/>
        <v>791245</v>
      </c>
      <c r="I213" s="7">
        <f t="shared" si="41"/>
        <v>4154537</v>
      </c>
      <c r="K213" s="30"/>
      <c r="L213" s="30"/>
      <c r="M213" s="26"/>
      <c r="O213" s="61"/>
      <c r="P213" s="59"/>
    </row>
    <row r="214" spans="1:17" x14ac:dyDescent="0.25">
      <c r="A214" s="19" t="s">
        <v>28</v>
      </c>
      <c r="C214" s="6">
        <v>5582947.6547998888</v>
      </c>
      <c r="D214" s="6">
        <v>29314016</v>
      </c>
      <c r="F214" s="30">
        <v>11.542899999999999</v>
      </c>
      <c r="G214" s="26" t="s">
        <v>18</v>
      </c>
      <c r="H214" s="7">
        <f t="shared" si="41"/>
        <v>644434</v>
      </c>
      <c r="I214" s="7">
        <f t="shared" si="41"/>
        <v>3383688</v>
      </c>
      <c r="K214" s="30"/>
      <c r="L214" s="30"/>
      <c r="M214" s="26"/>
      <c r="O214" s="61"/>
      <c r="P214" s="59"/>
    </row>
    <row r="215" spans="1:17" x14ac:dyDescent="0.25">
      <c r="A215" s="19" t="s">
        <v>29</v>
      </c>
      <c r="C215" s="6">
        <v>1581971.162817372</v>
      </c>
      <c r="D215" s="6">
        <v>8306352</v>
      </c>
      <c r="F215" s="30">
        <v>14.450799999999999</v>
      </c>
      <c r="G215" s="26" t="s">
        <v>18</v>
      </c>
      <c r="H215" s="7">
        <f t="shared" si="41"/>
        <v>228607</v>
      </c>
      <c r="I215" s="7">
        <f t="shared" si="41"/>
        <v>1200334</v>
      </c>
      <c r="K215" s="30"/>
      <c r="L215" s="30"/>
      <c r="M215" s="26"/>
      <c r="O215" s="61"/>
      <c r="P215" s="59"/>
    </row>
    <row r="216" spans="1:17" x14ac:dyDescent="0.25">
      <c r="A216" s="19" t="s">
        <v>30</v>
      </c>
      <c r="B216" s="29"/>
      <c r="C216" s="6">
        <v>11556636.628071776</v>
      </c>
      <c r="D216" s="6">
        <v>60622730</v>
      </c>
      <c r="E216" s="29"/>
      <c r="F216" s="30">
        <v>8.8498000000000001</v>
      </c>
      <c r="G216" s="26" t="s">
        <v>18</v>
      </c>
      <c r="H216" s="7">
        <f t="shared" si="41"/>
        <v>1022739</v>
      </c>
      <c r="I216" s="7">
        <f t="shared" si="41"/>
        <v>5364990</v>
      </c>
      <c r="J216" s="29"/>
      <c r="K216" s="30"/>
      <c r="L216" s="30"/>
      <c r="M216" s="26"/>
      <c r="O216" s="61"/>
      <c r="P216" s="59"/>
    </row>
    <row r="217" spans="1:17" x14ac:dyDescent="0.25">
      <c r="A217" s="19" t="s">
        <v>31</v>
      </c>
      <c r="B217" s="29"/>
      <c r="C217" s="6">
        <v>9078259.9305644762</v>
      </c>
      <c r="D217" s="6">
        <v>47621892</v>
      </c>
      <c r="E217" s="29"/>
      <c r="F217" s="30">
        <v>10.7072</v>
      </c>
      <c r="G217" s="26" t="s">
        <v>18</v>
      </c>
      <c r="H217" s="7">
        <f t="shared" si="41"/>
        <v>972027</v>
      </c>
      <c r="I217" s="7">
        <f t="shared" si="41"/>
        <v>5098971</v>
      </c>
      <c r="J217" s="29"/>
      <c r="K217" s="30"/>
      <c r="L217" s="30"/>
      <c r="M217" s="26"/>
      <c r="O217" s="61"/>
      <c r="P217" s="59"/>
    </row>
    <row r="218" spans="1:17" x14ac:dyDescent="0.25">
      <c r="A218" s="32" t="s">
        <v>32</v>
      </c>
      <c r="B218" s="33"/>
      <c r="C218" s="34">
        <v>0</v>
      </c>
      <c r="D218" s="6">
        <v>0</v>
      </c>
      <c r="E218" s="33"/>
      <c r="F218" s="31">
        <v>11.7033</v>
      </c>
      <c r="G218" s="35" t="s">
        <v>18</v>
      </c>
      <c r="H218" s="18">
        <f t="shared" si="41"/>
        <v>0</v>
      </c>
      <c r="I218" s="18">
        <f t="shared" si="41"/>
        <v>0</v>
      </c>
      <c r="J218" s="33"/>
      <c r="K218" s="30"/>
      <c r="L218" s="30">
        <f t="shared" ref="L218" si="42">L41</f>
        <v>12.243600000000001</v>
      </c>
      <c r="M218" s="26" t="s">
        <v>18</v>
      </c>
      <c r="N218" s="7">
        <f>ROUND($D218*L218/100,0)</f>
        <v>0</v>
      </c>
      <c r="O218" s="61">
        <f t="shared" ref="O218" si="43">O41</f>
        <v>11.912599999999999</v>
      </c>
      <c r="P218" s="59" t="s">
        <v>18</v>
      </c>
      <c r="Q218" s="54">
        <f>ROUND($D218*O218/100,0)</f>
        <v>0</v>
      </c>
    </row>
    <row r="219" spans="1:17" x14ac:dyDescent="0.25">
      <c r="A219" s="19" t="s">
        <v>33</v>
      </c>
      <c r="C219" s="36">
        <v>209507</v>
      </c>
      <c r="D219" s="36">
        <v>0</v>
      </c>
      <c r="H219" s="37">
        <v>24549</v>
      </c>
      <c r="I219" s="37">
        <v>0</v>
      </c>
      <c r="N219" s="37">
        <v>0</v>
      </c>
      <c r="Q219" s="64">
        <v>0</v>
      </c>
    </row>
    <row r="220" spans="1:17" x14ac:dyDescent="0.25">
      <c r="A220" s="19" t="s">
        <v>34</v>
      </c>
      <c r="F220" s="23">
        <v>-3.9100000000000003E-2</v>
      </c>
      <c r="G220" s="24"/>
      <c r="H220" s="7">
        <f>SUM(H213:H215,H216:H218)*$F220</f>
        <v>-143068.9332</v>
      </c>
      <c r="I220" s="7">
        <f>SUM(I213:I215,I216:I218)*$F220</f>
        <v>-750818.53200000001</v>
      </c>
      <c r="K220" s="23" t="str">
        <f>$K$43</f>
        <v>TAA 1 (1/1/2021)</v>
      </c>
      <c r="L220" s="23">
        <f>$L$43</f>
        <v>-3.0200000000000001E-2</v>
      </c>
      <c r="M220" s="24"/>
      <c r="N220" s="7">
        <f>L220*SUM(N206:N210,N218)</f>
        <v>-566590.32380000001</v>
      </c>
      <c r="O220" s="65">
        <f>$L$43</f>
        <v>-3.0200000000000001E-2</v>
      </c>
      <c r="P220" s="57"/>
      <c r="Q220" s="54">
        <f>O220*SUM(Q206:Q210,Q218)</f>
        <v>-552945.72220000008</v>
      </c>
    </row>
    <row r="221" spans="1:17" x14ac:dyDescent="0.25">
      <c r="A221" s="32" t="s">
        <v>35</v>
      </c>
      <c r="C221" s="6">
        <v>0</v>
      </c>
      <c r="D221" s="6">
        <v>0</v>
      </c>
      <c r="F221" s="23"/>
      <c r="G221" s="24"/>
      <c r="K221" s="23" t="str">
        <f>$K$44</f>
        <v>TAA 2 (1/1/2022)</v>
      </c>
      <c r="L221" s="23">
        <f>$L$44</f>
        <v>-1.5100000000000001E-2</v>
      </c>
      <c r="M221" s="24"/>
      <c r="N221" s="7">
        <f>L221*SUM(N206:N210,N218)</f>
        <v>-283295.16190000001</v>
      </c>
      <c r="O221" s="65">
        <f>$L$44</f>
        <v>-1.5100000000000001E-2</v>
      </c>
      <c r="P221" s="57"/>
      <c r="Q221" s="54">
        <f>O221*SUM(Q206:Q210,Q218)</f>
        <v>-276472.86110000004</v>
      </c>
    </row>
    <row r="222" spans="1:17" ht="16.5" thickBot="1" x14ac:dyDescent="0.3">
      <c r="A222" s="19" t="s">
        <v>36</v>
      </c>
      <c r="C222" s="38">
        <v>36950143.451159999</v>
      </c>
      <c r="D222" s="38">
        <v>192809969.18991041</v>
      </c>
      <c r="F222" s="41"/>
      <c r="H222" s="95">
        <f>SUM(H189:H220)</f>
        <v>3986839.0668000001</v>
      </c>
      <c r="I222" s="95">
        <f>SUM(I189:I220)</f>
        <v>20871277.467999998</v>
      </c>
      <c r="K222" s="41"/>
      <c r="L222" s="41"/>
      <c r="N222" s="40">
        <f>SUM(N190:N219)</f>
        <v>21215573</v>
      </c>
      <c r="O222" s="68"/>
      <c r="Q222" s="67">
        <f>SUM(Q190:Q219)</f>
        <v>21370983</v>
      </c>
    </row>
    <row r="223" spans="1:17" ht="16.5" thickTop="1" x14ac:dyDescent="0.25">
      <c r="A223" s="244" t="s">
        <v>490</v>
      </c>
      <c r="N223" s="7">
        <f>N45+N82+N111+N148+N185+N222</f>
        <v>750005198</v>
      </c>
      <c r="Q223" s="7">
        <f>Q45+Q82+Q111+Q148+Q185+Q222</f>
        <v>750006832</v>
      </c>
    </row>
    <row r="224" spans="1:17" x14ac:dyDescent="0.25">
      <c r="A224" s="15" t="s">
        <v>67</v>
      </c>
    </row>
    <row r="225" spans="1:16" x14ac:dyDescent="0.25">
      <c r="A225" s="19" t="s">
        <v>68</v>
      </c>
      <c r="C225" s="6">
        <v>16269.966666649996</v>
      </c>
      <c r="D225" s="6">
        <v>16184.594130320329</v>
      </c>
      <c r="F225" s="20"/>
      <c r="G225" s="20"/>
      <c r="K225" s="20"/>
      <c r="L225" s="20">
        <f>L969</f>
        <v>53</v>
      </c>
      <c r="M225" s="20"/>
      <c r="N225" s="7">
        <f>ROUND($D225*L225,0)</f>
        <v>857783</v>
      </c>
      <c r="O225" s="55"/>
      <c r="P225" s="55"/>
    </row>
    <row r="226" spans="1:16" x14ac:dyDescent="0.25">
      <c r="A226" s="19" t="s">
        <v>69</v>
      </c>
      <c r="C226" s="6">
        <v>23610055.27722773</v>
      </c>
      <c r="D226" s="6">
        <v>22837905.528605085</v>
      </c>
      <c r="E226" s="24"/>
      <c r="F226" s="99"/>
      <c r="G226" s="26"/>
      <c r="J226" s="24"/>
      <c r="K226" s="99"/>
      <c r="L226" s="99">
        <f>L961</f>
        <v>22.156199999999998</v>
      </c>
      <c r="M226" s="26" t="s">
        <v>18</v>
      </c>
      <c r="N226" s="7">
        <f t="shared" ref="N226:N233" si="44">ROUND($D226*L226/100,0)</f>
        <v>5060012</v>
      </c>
      <c r="O226" s="206"/>
      <c r="P226" s="59"/>
    </row>
    <row r="227" spans="1:16" x14ac:dyDescent="0.25">
      <c r="A227" s="19" t="s">
        <v>70</v>
      </c>
      <c r="C227" s="6">
        <v>54335608.722772263</v>
      </c>
      <c r="D227" s="6">
        <v>52553411.422486275</v>
      </c>
      <c r="E227" s="24"/>
      <c r="F227" s="99"/>
      <c r="G227" s="26"/>
      <c r="J227" s="24"/>
      <c r="K227" s="99"/>
      <c r="L227" s="99">
        <f t="shared" ref="L227:L233" si="45">L962</f>
        <v>4.309899999999999</v>
      </c>
      <c r="M227" s="26" t="s">
        <v>18</v>
      </c>
      <c r="N227" s="7">
        <f t="shared" si="44"/>
        <v>2264999</v>
      </c>
      <c r="O227" s="206"/>
      <c r="P227" s="59"/>
    </row>
    <row r="228" spans="1:16" x14ac:dyDescent="0.25">
      <c r="A228" s="19" t="s">
        <v>71</v>
      </c>
      <c r="C228" s="6">
        <v>41025677.646039605</v>
      </c>
      <c r="D228" s="6">
        <v>39702141.256844603</v>
      </c>
      <c r="E228" s="24"/>
      <c r="F228" s="99"/>
      <c r="G228" s="26"/>
      <c r="J228" s="24"/>
      <c r="K228" s="99"/>
      <c r="L228" s="99">
        <f t="shared" si="45"/>
        <v>19.607299999999999</v>
      </c>
      <c r="M228" s="26" t="s">
        <v>18</v>
      </c>
      <c r="N228" s="7">
        <f t="shared" si="44"/>
        <v>7784518</v>
      </c>
      <c r="O228" s="206"/>
      <c r="P228" s="59"/>
    </row>
    <row r="229" spans="1:16" x14ac:dyDescent="0.25">
      <c r="A229" s="19" t="s">
        <v>72</v>
      </c>
      <c r="C229" s="6">
        <v>96492343.853960425</v>
      </c>
      <c r="D229" s="6">
        <v>93250801.351241559</v>
      </c>
      <c r="E229" s="24"/>
      <c r="F229" s="99"/>
      <c r="G229" s="26"/>
      <c r="J229" s="24"/>
      <c r="K229" s="99"/>
      <c r="L229" s="99">
        <f t="shared" si="45"/>
        <v>3.8140999999999989</v>
      </c>
      <c r="M229" s="26" t="s">
        <v>18</v>
      </c>
      <c r="N229" s="7">
        <f t="shared" si="44"/>
        <v>3556679</v>
      </c>
      <c r="O229" s="206"/>
      <c r="P229" s="59"/>
    </row>
    <row r="230" spans="1:16" x14ac:dyDescent="0.25">
      <c r="A230" s="19" t="s">
        <v>73</v>
      </c>
      <c r="C230" s="6">
        <v>43287163.770088859</v>
      </c>
      <c r="D230" s="6">
        <v>41868605.849641204</v>
      </c>
      <c r="E230" s="24"/>
      <c r="F230" s="99"/>
      <c r="G230" s="26"/>
      <c r="J230" s="24"/>
      <c r="K230" s="99"/>
      <c r="L230" s="99">
        <f t="shared" si="45"/>
        <v>6</v>
      </c>
      <c r="M230" s="26" t="s">
        <v>18</v>
      </c>
      <c r="N230" s="7">
        <f t="shared" si="44"/>
        <v>2512116</v>
      </c>
      <c r="O230" s="206"/>
      <c r="P230" s="59"/>
    </row>
    <row r="231" spans="1:16" x14ac:dyDescent="0.25">
      <c r="A231" s="19" t="s">
        <v>74</v>
      </c>
      <c r="C231" s="6">
        <v>34658500.229911141</v>
      </c>
      <c r="D231" s="6">
        <v>33522711.101450153</v>
      </c>
      <c r="E231" s="24"/>
      <c r="F231" s="99"/>
      <c r="G231" s="26"/>
      <c r="J231" s="24"/>
      <c r="K231" s="99"/>
      <c r="L231" s="99">
        <f t="shared" si="45"/>
        <v>-2.335799999999999</v>
      </c>
      <c r="M231" s="26" t="s">
        <v>18</v>
      </c>
      <c r="N231" s="7">
        <f t="shared" si="44"/>
        <v>-783023</v>
      </c>
      <c r="O231" s="206"/>
      <c r="P231" s="59"/>
    </row>
    <row r="232" spans="1:16" x14ac:dyDescent="0.25">
      <c r="A232" s="19" t="s">
        <v>75</v>
      </c>
      <c r="C232" s="6">
        <v>76370702.519246042</v>
      </c>
      <c r="D232" s="6">
        <v>73835483.656813219</v>
      </c>
      <c r="E232" s="24"/>
      <c r="F232" s="99"/>
      <c r="G232" s="26"/>
      <c r="J232" s="24"/>
      <c r="K232" s="99"/>
      <c r="L232" s="99">
        <f t="shared" si="45"/>
        <v>5.3097000000000003</v>
      </c>
      <c r="M232" s="26" t="s">
        <v>18</v>
      </c>
      <c r="N232" s="7">
        <f t="shared" si="44"/>
        <v>3920443</v>
      </c>
      <c r="O232" s="206"/>
      <c r="P232" s="59"/>
    </row>
    <row r="233" spans="1:16" x14ac:dyDescent="0.25">
      <c r="A233" s="19" t="s">
        <v>76</v>
      </c>
      <c r="C233" s="6">
        <v>61147318.980753943</v>
      </c>
      <c r="D233" s="6">
        <v>59117458.951272905</v>
      </c>
      <c r="E233" s="24"/>
      <c r="F233" s="99"/>
      <c r="G233" s="26"/>
      <c r="J233" s="24"/>
      <c r="K233" s="99"/>
      <c r="L233" s="99">
        <f t="shared" si="45"/>
        <v>-2.0670999999999999</v>
      </c>
      <c r="M233" s="26" t="s">
        <v>18</v>
      </c>
      <c r="N233" s="7">
        <f t="shared" si="44"/>
        <v>-1222017</v>
      </c>
      <c r="O233" s="206"/>
      <c r="P233" s="59"/>
    </row>
    <row r="234" spans="1:16" x14ac:dyDescent="0.25">
      <c r="A234" s="19" t="s">
        <v>77</v>
      </c>
      <c r="C234" s="6">
        <v>57416.182291666664</v>
      </c>
      <c r="D234" s="6">
        <v>56872.363899238364</v>
      </c>
      <c r="F234" s="20"/>
      <c r="G234" s="20"/>
      <c r="K234" s="20"/>
      <c r="L234" s="20">
        <f>L972</f>
        <v>-0.61</v>
      </c>
      <c r="M234" s="20"/>
      <c r="N234" s="7">
        <f>ROUND($D234*L234,0)</f>
        <v>-34692</v>
      </c>
      <c r="O234" s="55"/>
      <c r="P234" s="55"/>
    </row>
    <row r="235" spans="1:16" x14ac:dyDescent="0.25">
      <c r="A235" s="32" t="s">
        <v>32</v>
      </c>
      <c r="C235" s="6">
        <v>799646.5</v>
      </c>
      <c r="D235" s="6">
        <v>758838.16754595097</v>
      </c>
      <c r="F235" s="100"/>
      <c r="G235" s="26"/>
      <c r="K235" s="100"/>
      <c r="L235" s="100">
        <f>L977</f>
        <v>7.125</v>
      </c>
      <c r="M235" s="26" t="s">
        <v>18</v>
      </c>
      <c r="N235" s="7">
        <f>ROUND($D235*L235/100,0)</f>
        <v>54067</v>
      </c>
      <c r="O235" s="207"/>
      <c r="P235" s="59"/>
    </row>
    <row r="236" spans="1:16" x14ac:dyDescent="0.25">
      <c r="A236" s="19" t="s">
        <v>34</v>
      </c>
      <c r="F236" s="23"/>
      <c r="G236" s="24"/>
      <c r="K236" s="93" t="str">
        <f>$K$43</f>
        <v>TAA 1 (1/1/2021)</v>
      </c>
      <c r="L236" s="23">
        <f>$L$979</f>
        <v>-2.9100000000000001E-2</v>
      </c>
      <c r="M236" s="24"/>
      <c r="N236" s="7">
        <f>L236*SUM(N226:N229,N235)</f>
        <v>-544760.00250000006</v>
      </c>
      <c r="O236" s="65"/>
      <c r="P236" s="57"/>
    </row>
    <row r="237" spans="1:16" x14ac:dyDescent="0.25">
      <c r="A237" s="19"/>
      <c r="F237" s="23"/>
      <c r="G237" s="24"/>
      <c r="K237" s="93" t="str">
        <f>$K$44</f>
        <v>TAA 2 (1/1/2022)</v>
      </c>
      <c r="L237" s="23">
        <f>$L$980</f>
        <v>-1.46E-2</v>
      </c>
      <c r="M237" s="24"/>
      <c r="N237" s="7">
        <f>L237*SUM(N226:N229,N235)</f>
        <v>-273316.01500000001</v>
      </c>
      <c r="O237" s="65"/>
      <c r="P237" s="57"/>
    </row>
    <row r="238" spans="1:16" x14ac:dyDescent="0.25">
      <c r="A238" s="19" t="s">
        <v>78</v>
      </c>
      <c r="C238" s="6">
        <v>216263332</v>
      </c>
      <c r="D238" s="6">
        <v>209103097.7267234</v>
      </c>
      <c r="F238" s="20"/>
      <c r="G238" s="20"/>
      <c r="K238" s="20"/>
      <c r="L238" s="20"/>
      <c r="M238" s="20"/>
      <c r="N238" s="7">
        <f>SUM(N225:N235)</f>
        <v>23970885</v>
      </c>
      <c r="O238" s="55"/>
      <c r="P238" s="55"/>
    </row>
    <row r="239" spans="1:16" x14ac:dyDescent="0.25">
      <c r="A239" s="19"/>
      <c r="F239" s="20"/>
      <c r="G239" s="20"/>
      <c r="K239" s="20"/>
      <c r="L239" s="20"/>
      <c r="M239" s="20"/>
      <c r="O239" s="55"/>
      <c r="P239" s="55"/>
    </row>
    <row r="240" spans="1:16" x14ac:dyDescent="0.25">
      <c r="A240" s="19" t="s">
        <v>68</v>
      </c>
      <c r="C240" s="6">
        <v>16269.966666649996</v>
      </c>
      <c r="D240" s="6">
        <v>16184.594130320329</v>
      </c>
      <c r="F240" s="20">
        <v>54</v>
      </c>
      <c r="G240" s="20"/>
      <c r="H240" s="7">
        <f t="shared" ref="H240:I242" si="46">ROUND($F240*C240,0)</f>
        <v>878578</v>
      </c>
      <c r="I240" s="7">
        <f t="shared" si="46"/>
        <v>873968</v>
      </c>
      <c r="K240" s="20"/>
      <c r="L240" s="20">
        <f>L672</f>
        <v>53</v>
      </c>
      <c r="M240" s="20"/>
      <c r="N240" s="7">
        <f t="shared" ref="N240:N245" si="47">ROUND($D240*L240,0)</f>
        <v>857783</v>
      </c>
      <c r="O240" s="55"/>
      <c r="P240" s="55"/>
    </row>
    <row r="241" spans="1:17" x14ac:dyDescent="0.25">
      <c r="A241" s="19" t="s">
        <v>79</v>
      </c>
      <c r="C241" s="6">
        <v>0</v>
      </c>
      <c r="D241" s="6">
        <v>0</v>
      </c>
      <c r="F241" s="20">
        <v>648</v>
      </c>
      <c r="G241" s="20"/>
      <c r="H241" s="7">
        <f t="shared" si="46"/>
        <v>0</v>
      </c>
      <c r="I241" s="7">
        <f t="shared" si="46"/>
        <v>0</v>
      </c>
      <c r="K241" s="20"/>
      <c r="L241" s="20">
        <f t="shared" ref="L241:L247" si="48">L673</f>
        <v>636</v>
      </c>
      <c r="M241" s="20"/>
      <c r="N241" s="7">
        <f t="shared" si="47"/>
        <v>0</v>
      </c>
      <c r="O241" s="55"/>
      <c r="P241" s="55"/>
    </row>
    <row r="242" spans="1:17" x14ac:dyDescent="0.25">
      <c r="A242" s="19" t="s">
        <v>80</v>
      </c>
      <c r="C242" s="6">
        <v>0</v>
      </c>
      <c r="D242" s="6">
        <v>0</v>
      </c>
      <c r="F242" s="24">
        <v>54</v>
      </c>
      <c r="G242" s="24"/>
      <c r="H242" s="7">
        <f t="shared" si="46"/>
        <v>0</v>
      </c>
      <c r="I242" s="7">
        <f t="shared" si="46"/>
        <v>0</v>
      </c>
      <c r="K242" s="24"/>
      <c r="L242" s="24">
        <f t="shared" si="48"/>
        <v>53</v>
      </c>
      <c r="M242" s="24"/>
      <c r="N242" s="7">
        <f t="shared" si="47"/>
        <v>0</v>
      </c>
      <c r="O242" s="57"/>
      <c r="P242" s="57"/>
    </row>
    <row r="243" spans="1:17" x14ac:dyDescent="0.25">
      <c r="A243" s="19" t="s">
        <v>81</v>
      </c>
      <c r="C243" s="6">
        <v>1324225.0309405944</v>
      </c>
      <c r="D243" s="6">
        <v>1281154</v>
      </c>
      <c r="F243" s="20">
        <v>4.04</v>
      </c>
      <c r="G243" s="20"/>
      <c r="H243" s="7">
        <f>ROUND($F243*C243,0)</f>
        <v>5349869</v>
      </c>
      <c r="I243" s="7">
        <f>ROUND($F243*D243,0)</f>
        <v>5175862</v>
      </c>
      <c r="K243" s="20"/>
      <c r="L243" s="20">
        <f t="shared" si="48"/>
        <v>3.99</v>
      </c>
      <c r="M243" s="20"/>
      <c r="N243" s="7">
        <f t="shared" si="47"/>
        <v>5111804</v>
      </c>
      <c r="O243" s="55"/>
      <c r="P243" s="55"/>
    </row>
    <row r="244" spans="1:17" x14ac:dyDescent="0.25">
      <c r="A244" s="19" t="s">
        <v>82</v>
      </c>
      <c r="C244" s="6">
        <v>483511.58044554468</v>
      </c>
      <c r="D244" s="6">
        <v>467710</v>
      </c>
      <c r="F244" s="24"/>
      <c r="G244" s="24"/>
      <c r="K244" s="24"/>
      <c r="L244" s="24">
        <f t="shared" si="48"/>
        <v>13.27</v>
      </c>
      <c r="M244" s="24"/>
      <c r="N244" s="7">
        <f t="shared" si="47"/>
        <v>6206512</v>
      </c>
      <c r="O244" s="57"/>
      <c r="P244" s="57"/>
    </row>
    <row r="245" spans="1:17" x14ac:dyDescent="0.25">
      <c r="A245" s="19" t="s">
        <v>83</v>
      </c>
      <c r="C245" s="6">
        <v>840713.45049504982</v>
      </c>
      <c r="D245" s="6">
        <v>813444</v>
      </c>
      <c r="F245" s="24"/>
      <c r="G245" s="24"/>
      <c r="K245" s="24"/>
      <c r="L245" s="24">
        <f t="shared" si="48"/>
        <v>11.74</v>
      </c>
      <c r="M245" s="24"/>
      <c r="N245" s="7">
        <f t="shared" si="47"/>
        <v>9549833</v>
      </c>
      <c r="O245" s="57"/>
      <c r="P245" s="57"/>
    </row>
    <row r="246" spans="1:17" x14ac:dyDescent="0.25">
      <c r="A246" s="19" t="s">
        <v>84</v>
      </c>
      <c r="C246" s="6">
        <v>77945664</v>
      </c>
      <c r="D246" s="6">
        <v>75391316.726723433</v>
      </c>
      <c r="F246" s="100"/>
      <c r="G246" s="26"/>
      <c r="K246" s="100"/>
      <c r="L246" s="100">
        <f t="shared" si="48"/>
        <v>3.8877999999999999</v>
      </c>
      <c r="M246" s="26" t="s">
        <v>18</v>
      </c>
      <c r="N246" s="7">
        <f>ROUND($D246*L246/100,0)</f>
        <v>2931064</v>
      </c>
      <c r="O246" s="207"/>
      <c r="P246" s="59"/>
    </row>
    <row r="247" spans="1:17" x14ac:dyDescent="0.25">
      <c r="A247" s="19" t="s">
        <v>85</v>
      </c>
      <c r="C247" s="6">
        <v>137518021.5</v>
      </c>
      <c r="D247" s="6">
        <v>132952943</v>
      </c>
      <c r="F247" s="100"/>
      <c r="G247" s="26"/>
      <c r="K247" s="100"/>
      <c r="L247" s="100">
        <f t="shared" si="48"/>
        <v>3.4405000000000001</v>
      </c>
      <c r="M247" s="26" t="s">
        <v>18</v>
      </c>
      <c r="N247" s="7">
        <f>ROUND($D247*L247/100,0)</f>
        <v>4574246</v>
      </c>
      <c r="O247" s="207"/>
      <c r="P247" s="59"/>
    </row>
    <row r="248" spans="1:17" x14ac:dyDescent="0.25">
      <c r="A248" s="19" t="s">
        <v>86</v>
      </c>
      <c r="C248" s="6">
        <v>584798.45553699986</v>
      </c>
      <c r="D248" s="6">
        <v>563910</v>
      </c>
      <c r="F248" s="20">
        <v>14.62</v>
      </c>
      <c r="G248" s="20"/>
      <c r="H248" s="7">
        <f t="shared" ref="H248:I250" si="49">ROUND($F248*C248,0)</f>
        <v>8549753</v>
      </c>
      <c r="I248" s="7">
        <f t="shared" si="49"/>
        <v>8244364</v>
      </c>
      <c r="K248" s="20"/>
      <c r="L248" s="20"/>
      <c r="M248" s="20"/>
      <c r="O248" s="55"/>
      <c r="P248" s="55"/>
    </row>
    <row r="249" spans="1:17" x14ac:dyDescent="0.25">
      <c r="A249" s="19" t="s">
        <v>87</v>
      </c>
      <c r="C249" s="6">
        <v>739426.57540359464</v>
      </c>
      <c r="D249" s="6">
        <v>717244</v>
      </c>
      <c r="F249" s="20">
        <v>10.91</v>
      </c>
      <c r="G249" s="20"/>
      <c r="H249" s="7">
        <f t="shared" si="49"/>
        <v>8067144</v>
      </c>
      <c r="I249" s="7">
        <f t="shared" si="49"/>
        <v>7825132</v>
      </c>
      <c r="K249" s="20"/>
      <c r="L249" s="20"/>
      <c r="M249" s="20"/>
      <c r="O249" s="55"/>
      <c r="P249" s="55"/>
    </row>
    <row r="250" spans="1:17" x14ac:dyDescent="0.25">
      <c r="A250" s="19" t="s">
        <v>77</v>
      </c>
      <c r="C250" s="6">
        <v>57416.182291666664</v>
      </c>
      <c r="D250" s="6">
        <v>56872.363899238364</v>
      </c>
      <c r="F250" s="20">
        <v>-0.96</v>
      </c>
      <c r="G250" s="20"/>
      <c r="H250" s="7">
        <f t="shared" si="49"/>
        <v>-55120</v>
      </c>
      <c r="I250" s="7">
        <f t="shared" si="49"/>
        <v>-54597</v>
      </c>
      <c r="K250" s="20"/>
      <c r="L250" s="20">
        <f>L682</f>
        <v>-0.96</v>
      </c>
      <c r="M250" s="20"/>
      <c r="N250" s="7">
        <f>ROUND($D250*L250,0)</f>
        <v>-54597</v>
      </c>
      <c r="O250" s="55"/>
      <c r="P250" s="55"/>
    </row>
    <row r="251" spans="1:17" x14ac:dyDescent="0.25">
      <c r="A251" s="19" t="s">
        <v>88</v>
      </c>
      <c r="C251" s="6">
        <v>93573337.543722346</v>
      </c>
      <c r="D251" s="6">
        <v>90236925</v>
      </c>
      <c r="F251" s="100">
        <v>3.8127</v>
      </c>
      <c r="G251" s="26" t="s">
        <v>18</v>
      </c>
      <c r="H251" s="7">
        <f t="shared" ref="H251:I253" si="50">ROUND($F251*C251/100,0)</f>
        <v>3567671</v>
      </c>
      <c r="I251" s="7">
        <f t="shared" si="50"/>
        <v>3440463</v>
      </c>
      <c r="K251" s="100"/>
      <c r="L251" s="100"/>
      <c r="M251" s="26"/>
      <c r="O251" s="207"/>
      <c r="P251" s="59"/>
    </row>
    <row r="252" spans="1:17" x14ac:dyDescent="0.25">
      <c r="A252" s="19" t="s">
        <v>89</v>
      </c>
      <c r="C252" s="6">
        <v>121890347.95627764</v>
      </c>
      <c r="D252" s="6">
        <v>118107334.72672343</v>
      </c>
      <c r="F252" s="100">
        <v>3.5143</v>
      </c>
      <c r="G252" s="26" t="s">
        <v>18</v>
      </c>
      <c r="H252" s="7">
        <f t="shared" si="50"/>
        <v>4283592</v>
      </c>
      <c r="I252" s="7">
        <f t="shared" si="50"/>
        <v>4150646</v>
      </c>
      <c r="K252" s="100"/>
      <c r="L252" s="100"/>
      <c r="M252" s="26"/>
      <c r="O252" s="207"/>
      <c r="P252" s="59"/>
    </row>
    <row r="253" spans="1:17" x14ac:dyDescent="0.25">
      <c r="A253" s="32" t="s">
        <v>32</v>
      </c>
      <c r="C253" s="6">
        <v>799646.5</v>
      </c>
      <c r="D253" s="6">
        <v>758838</v>
      </c>
      <c r="F253" s="100">
        <v>7.125</v>
      </c>
      <c r="G253" s="26" t="s">
        <v>18</v>
      </c>
      <c r="H253" s="7">
        <f t="shared" si="50"/>
        <v>56975</v>
      </c>
      <c r="I253" s="7">
        <f t="shared" si="50"/>
        <v>54067</v>
      </c>
      <c r="K253" s="100"/>
      <c r="L253" s="100">
        <f>L685</f>
        <v>7.125</v>
      </c>
      <c r="M253" s="26" t="s">
        <v>18</v>
      </c>
      <c r="N253" s="7">
        <f>ROUND($D253*L253/100,0)</f>
        <v>54067</v>
      </c>
      <c r="O253" s="207"/>
      <c r="P253" s="59"/>
    </row>
    <row r="254" spans="1:17" x14ac:dyDescent="0.25">
      <c r="A254" s="19" t="s">
        <v>33</v>
      </c>
      <c r="C254" s="36">
        <v>0</v>
      </c>
      <c r="D254" s="36">
        <v>0</v>
      </c>
      <c r="H254" s="37">
        <f>H290+H326+H362</f>
        <v>0</v>
      </c>
      <c r="I254" s="37">
        <f>I290+I326+I362</f>
        <v>0</v>
      </c>
      <c r="N254" s="37"/>
      <c r="Q254" s="64"/>
    </row>
    <row r="255" spans="1:17" x14ac:dyDescent="0.25">
      <c r="A255" s="19" t="s">
        <v>34</v>
      </c>
      <c r="F255" s="23">
        <v>-3.61E-2</v>
      </c>
      <c r="G255" s="24"/>
      <c r="H255" s="7">
        <f>SUM(H248:H249,H251:H253)*$F255</f>
        <v>-885357.37349999999</v>
      </c>
      <c r="I255" s="7">
        <f>SUM(I248:I249,I251:I253)*$F255</f>
        <v>-856099.65919999999</v>
      </c>
      <c r="K255" s="93" t="str">
        <f>$K$43</f>
        <v>TAA 1 (1/1/2021)</v>
      </c>
      <c r="L255" s="23">
        <f>$L$687</f>
        <v>-2.6100000000000002E-2</v>
      </c>
      <c r="M255" s="24"/>
      <c r="N255" s="7">
        <f>L255*SUM(N244:N247,N253)</f>
        <v>-608540.34420000005</v>
      </c>
      <c r="O255" s="65"/>
      <c r="P255" s="57"/>
    </row>
    <row r="256" spans="1:17" x14ac:dyDescent="0.25">
      <c r="A256" s="19"/>
      <c r="F256" s="23"/>
      <c r="G256" s="24"/>
      <c r="K256" s="93" t="str">
        <f>$K$44</f>
        <v>TAA 2 (1/1/2022)</v>
      </c>
      <c r="L256" s="23">
        <f>$L$688</f>
        <v>-1.2999999999999999E-2</v>
      </c>
      <c r="M256" s="24"/>
      <c r="N256" s="7">
        <f>L256*SUM(N244:N247,N253)</f>
        <v>-303104.386</v>
      </c>
      <c r="O256" s="65"/>
      <c r="P256" s="57"/>
    </row>
    <row r="257" spans="1:17" ht="16.5" thickBot="1" x14ac:dyDescent="0.3">
      <c r="A257" s="32" t="s">
        <v>35</v>
      </c>
      <c r="C257" s="6">
        <v>0</v>
      </c>
      <c r="D257" s="6">
        <v>0</v>
      </c>
      <c r="F257" s="23"/>
      <c r="G257" s="24"/>
      <c r="K257" s="41"/>
      <c r="L257" s="41"/>
      <c r="N257" s="95"/>
      <c r="O257" s="68"/>
      <c r="Q257" s="208"/>
    </row>
    <row r="258" spans="1:17" ht="17.25" thickTop="1" thickBot="1" x14ac:dyDescent="0.3">
      <c r="A258" s="19" t="s">
        <v>36</v>
      </c>
      <c r="C258" s="101">
        <v>216263332</v>
      </c>
      <c r="D258" s="101">
        <v>209103097.72672343</v>
      </c>
      <c r="F258" s="41"/>
      <c r="H258" s="95">
        <f>SUM(H240:H255)</f>
        <v>29813104.626499999</v>
      </c>
      <c r="I258" s="95">
        <f>SUM(I240:I255)</f>
        <v>28853805.340799998</v>
      </c>
      <c r="K258" s="41"/>
      <c r="L258" s="41"/>
      <c r="N258" s="95">
        <f>SUM(N240:N254)</f>
        <v>29230712</v>
      </c>
      <c r="O258" s="68"/>
      <c r="Q258" s="208"/>
    </row>
    <row r="259" spans="1:17" ht="16.5" thickTop="1" x14ac:dyDescent="0.25"/>
    <row r="260" spans="1:17" x14ac:dyDescent="0.25">
      <c r="A260" s="15" t="s">
        <v>90</v>
      </c>
    </row>
    <row r="261" spans="1:17" x14ac:dyDescent="0.25">
      <c r="A261" s="19" t="s">
        <v>68</v>
      </c>
      <c r="C261" s="6">
        <v>118.29999999999998</v>
      </c>
      <c r="D261" s="6">
        <v>124.80319282544595</v>
      </c>
      <c r="F261" s="20"/>
      <c r="G261" s="20"/>
      <c r="K261" s="20"/>
      <c r="L261" s="20">
        <f t="shared" ref="L261:L271" si="51">L225</f>
        <v>53</v>
      </c>
      <c r="M261" s="20"/>
      <c r="N261" s="7">
        <f>ROUND($D261*L261,0)</f>
        <v>6615</v>
      </c>
      <c r="O261" s="55"/>
      <c r="P261" s="55"/>
    </row>
    <row r="262" spans="1:17" x14ac:dyDescent="0.25">
      <c r="A262" s="19" t="s">
        <v>69</v>
      </c>
      <c r="C262" s="6">
        <v>70433.487623762368</v>
      </c>
      <c r="D262" s="6">
        <v>84591.692737472054</v>
      </c>
      <c r="E262" s="24"/>
      <c r="F262" s="99"/>
      <c r="G262" s="26"/>
      <c r="J262" s="24"/>
      <c r="K262" s="99"/>
      <c r="L262" s="99">
        <f t="shared" si="51"/>
        <v>22.156199999999998</v>
      </c>
      <c r="M262" s="26" t="s">
        <v>18</v>
      </c>
      <c r="N262" s="7">
        <f t="shared" ref="N262:N269" si="52">ROUND($D262*L262/100,0)</f>
        <v>18742</v>
      </c>
      <c r="O262" s="206"/>
      <c r="P262" s="59"/>
    </row>
    <row r="263" spans="1:17" x14ac:dyDescent="0.25">
      <c r="A263" s="19" t="s">
        <v>70</v>
      </c>
      <c r="C263" s="6">
        <v>165608.5123762376</v>
      </c>
      <c r="D263" s="6">
        <v>198898.34887168405</v>
      </c>
      <c r="E263" s="24"/>
      <c r="F263" s="99"/>
      <c r="G263" s="26"/>
      <c r="J263" s="24"/>
      <c r="K263" s="99"/>
      <c r="L263" s="99">
        <f t="shared" si="51"/>
        <v>4.309899999999999</v>
      </c>
      <c r="M263" s="26" t="s">
        <v>18</v>
      </c>
      <c r="N263" s="7">
        <f t="shared" si="52"/>
        <v>8572</v>
      </c>
      <c r="O263" s="206"/>
      <c r="P263" s="59"/>
    </row>
    <row r="264" spans="1:17" x14ac:dyDescent="0.25">
      <c r="A264" s="19" t="s">
        <v>71</v>
      </c>
      <c r="C264" s="6">
        <v>120935.20792079209</v>
      </c>
      <c r="D264" s="6">
        <v>145245.02895873319</v>
      </c>
      <c r="E264" s="24"/>
      <c r="F264" s="99"/>
      <c r="G264" s="26"/>
      <c r="J264" s="24"/>
      <c r="K264" s="99"/>
      <c r="L264" s="99">
        <f t="shared" si="51"/>
        <v>19.607299999999999</v>
      </c>
      <c r="M264" s="26" t="s">
        <v>18</v>
      </c>
      <c r="N264" s="7">
        <f t="shared" si="52"/>
        <v>28479</v>
      </c>
      <c r="O264" s="206"/>
      <c r="P264" s="59"/>
    </row>
    <row r="265" spans="1:17" x14ac:dyDescent="0.25">
      <c r="A265" s="19" t="s">
        <v>72</v>
      </c>
      <c r="C265" s="6">
        <v>224349.79207920792</v>
      </c>
      <c r="D265" s="6">
        <v>269447.52159166668</v>
      </c>
      <c r="E265" s="24"/>
      <c r="F265" s="99"/>
      <c r="G265" s="26"/>
      <c r="J265" s="24"/>
      <c r="K265" s="99"/>
      <c r="L265" s="99">
        <f t="shared" si="51"/>
        <v>3.8140999999999989</v>
      </c>
      <c r="M265" s="26" t="s">
        <v>18</v>
      </c>
      <c r="N265" s="7">
        <f t="shared" si="52"/>
        <v>10277</v>
      </c>
      <c r="O265" s="206"/>
      <c r="P265" s="59"/>
    </row>
    <row r="266" spans="1:17" x14ac:dyDescent="0.25">
      <c r="A266" s="19" t="s">
        <v>73</v>
      </c>
      <c r="C266" s="6">
        <v>131086.04361391169</v>
      </c>
      <c r="D266" s="6">
        <v>157436.33742506622</v>
      </c>
      <c r="E266" s="24"/>
      <c r="F266" s="99"/>
      <c r="G266" s="26"/>
      <c r="J266" s="24"/>
      <c r="K266" s="99"/>
      <c r="L266" s="99">
        <f t="shared" si="51"/>
        <v>6</v>
      </c>
      <c r="M266" s="26" t="s">
        <v>18</v>
      </c>
      <c r="N266" s="7">
        <f t="shared" si="52"/>
        <v>9446</v>
      </c>
      <c r="O266" s="206"/>
      <c r="P266" s="59"/>
    </row>
    <row r="267" spans="1:17" x14ac:dyDescent="0.25">
      <c r="A267" s="19" t="s">
        <v>74</v>
      </c>
      <c r="C267" s="6">
        <v>104955.95638608832</v>
      </c>
      <c r="D267" s="6">
        <v>126053.70418408993</v>
      </c>
      <c r="E267" s="24"/>
      <c r="F267" s="99"/>
      <c r="G267" s="26"/>
      <c r="J267" s="24"/>
      <c r="K267" s="99"/>
      <c r="L267" s="99">
        <f t="shared" si="51"/>
        <v>-2.335799999999999</v>
      </c>
      <c r="M267" s="26" t="s">
        <v>18</v>
      </c>
      <c r="N267" s="7">
        <f t="shared" si="52"/>
        <v>-2944</v>
      </c>
      <c r="O267" s="206"/>
      <c r="P267" s="59"/>
    </row>
    <row r="268" spans="1:17" x14ac:dyDescent="0.25">
      <c r="A268" s="19" t="s">
        <v>75</v>
      </c>
      <c r="C268" s="6">
        <v>191754.1986986617</v>
      </c>
      <c r="D268" s="6">
        <v>230299.71686315996</v>
      </c>
      <c r="E268" s="24"/>
      <c r="F268" s="99"/>
      <c r="G268" s="26"/>
      <c r="J268" s="24"/>
      <c r="K268" s="99"/>
      <c r="L268" s="99">
        <f t="shared" si="51"/>
        <v>5.3097000000000003</v>
      </c>
      <c r="M268" s="26" t="s">
        <v>18</v>
      </c>
      <c r="N268" s="7">
        <f t="shared" si="52"/>
        <v>12228</v>
      </c>
      <c r="O268" s="206"/>
      <c r="P268" s="59"/>
    </row>
    <row r="269" spans="1:17" x14ac:dyDescent="0.25">
      <c r="A269" s="19" t="s">
        <v>76</v>
      </c>
      <c r="C269" s="6">
        <v>153530.8013013383</v>
      </c>
      <c r="D269" s="6">
        <v>184392.83368723991</v>
      </c>
      <c r="E269" s="24"/>
      <c r="F269" s="99"/>
      <c r="G269" s="26"/>
      <c r="J269" s="24"/>
      <c r="K269" s="99"/>
      <c r="L269" s="99">
        <f t="shared" si="51"/>
        <v>-2.0670999999999999</v>
      </c>
      <c r="M269" s="26" t="s">
        <v>18</v>
      </c>
      <c r="N269" s="7">
        <f t="shared" si="52"/>
        <v>-3812</v>
      </c>
      <c r="O269" s="206"/>
      <c r="P269" s="59"/>
    </row>
    <row r="270" spans="1:17" x14ac:dyDescent="0.25">
      <c r="A270" s="19" t="s">
        <v>77</v>
      </c>
      <c r="C270" s="6">
        <v>0</v>
      </c>
      <c r="D270" s="6">
        <v>0</v>
      </c>
      <c r="F270" s="20"/>
      <c r="G270" s="20"/>
      <c r="K270" s="20"/>
      <c r="L270" s="20">
        <f t="shared" si="51"/>
        <v>-0.61</v>
      </c>
      <c r="M270" s="20"/>
      <c r="N270" s="7">
        <f>ROUND($D270*L270,0)</f>
        <v>0</v>
      </c>
      <c r="O270" s="55"/>
      <c r="P270" s="55"/>
    </row>
    <row r="271" spans="1:17" x14ac:dyDescent="0.25">
      <c r="A271" s="32" t="s">
        <v>32</v>
      </c>
      <c r="C271" s="6">
        <v>0</v>
      </c>
      <c r="D271" s="6">
        <v>0</v>
      </c>
      <c r="F271" s="100"/>
      <c r="G271" s="26"/>
      <c r="K271" s="100"/>
      <c r="L271" s="100">
        <f t="shared" si="51"/>
        <v>7.125</v>
      </c>
      <c r="M271" s="26" t="s">
        <v>18</v>
      </c>
      <c r="N271" s="7">
        <f>ROUND($D271*L271/100,0)</f>
        <v>0</v>
      </c>
      <c r="O271" s="207"/>
      <c r="P271" s="59"/>
    </row>
    <row r="272" spans="1:17" x14ac:dyDescent="0.25">
      <c r="A272" s="19" t="s">
        <v>34</v>
      </c>
      <c r="F272" s="23"/>
      <c r="G272" s="24"/>
      <c r="K272" s="93" t="str">
        <f>$K$43</f>
        <v>TAA 1 (1/1/2021)</v>
      </c>
      <c r="L272" s="23">
        <f>$L$979</f>
        <v>-2.9100000000000001E-2</v>
      </c>
      <c r="M272" s="24"/>
      <c r="N272" s="7">
        <f>L272*SUM(N262:N265,N271)</f>
        <v>-1922.6369999999999</v>
      </c>
      <c r="O272" s="65"/>
      <c r="P272" s="57"/>
    </row>
    <row r="273" spans="1:16" x14ac:dyDescent="0.25">
      <c r="A273" s="19"/>
      <c r="F273" s="23"/>
      <c r="G273" s="24"/>
      <c r="K273" s="93" t="str">
        <f>$K$44</f>
        <v>TAA 2 (1/1/2022)</v>
      </c>
      <c r="L273" s="23">
        <f>$L$980</f>
        <v>-1.46E-2</v>
      </c>
      <c r="M273" s="24"/>
      <c r="N273" s="7">
        <f>L273*SUM(N262:N265,N271)</f>
        <v>-964.62199999999996</v>
      </c>
      <c r="O273" s="65"/>
      <c r="P273" s="57"/>
    </row>
    <row r="274" spans="1:16" x14ac:dyDescent="0.25">
      <c r="A274" s="19" t="s">
        <v>78</v>
      </c>
      <c r="C274" s="6">
        <v>581327</v>
      </c>
      <c r="D274" s="6">
        <v>698182.59215955599</v>
      </c>
      <c r="F274" s="20"/>
      <c r="G274" s="20"/>
      <c r="K274" s="20"/>
      <c r="L274" s="20"/>
      <c r="M274" s="20"/>
      <c r="N274" s="7">
        <f>SUM(N261:N271)</f>
        <v>87603</v>
      </c>
      <c r="O274" s="55"/>
      <c r="P274" s="55"/>
    </row>
    <row r="275" spans="1:16" x14ac:dyDescent="0.25">
      <c r="A275" s="19"/>
      <c r="F275" s="20"/>
      <c r="G275" s="20"/>
      <c r="K275" s="20"/>
      <c r="L275" s="20"/>
      <c r="M275" s="20"/>
      <c r="O275" s="55"/>
      <c r="P275" s="55"/>
    </row>
    <row r="276" spans="1:16" x14ac:dyDescent="0.25">
      <c r="A276" s="19" t="s">
        <v>68</v>
      </c>
      <c r="C276" s="6">
        <v>118.29999999999998</v>
      </c>
      <c r="D276" s="6">
        <v>124.80319282544595</v>
      </c>
      <c r="F276" s="24">
        <v>54</v>
      </c>
      <c r="G276" s="24"/>
      <c r="H276" s="7">
        <f t="shared" ref="H276:I278" si="53">ROUND($F276*C276,0)</f>
        <v>6388</v>
      </c>
      <c r="I276" s="7">
        <f t="shared" si="53"/>
        <v>6739</v>
      </c>
      <c r="K276" s="24"/>
      <c r="L276" s="24">
        <f t="shared" ref="L276:L283" si="54">L240</f>
        <v>53</v>
      </c>
      <c r="M276" s="24"/>
      <c r="N276" s="7">
        <f t="shared" ref="N276:N281" si="55">ROUND($D276*L276,0)</f>
        <v>6615</v>
      </c>
      <c r="O276" s="57"/>
      <c r="P276" s="57"/>
    </row>
    <row r="277" spans="1:16" x14ac:dyDescent="0.25">
      <c r="A277" s="19" t="s">
        <v>79</v>
      </c>
      <c r="C277" s="6">
        <v>0</v>
      </c>
      <c r="D277" s="6">
        <v>0</v>
      </c>
      <c r="F277" s="24">
        <v>648</v>
      </c>
      <c r="G277" s="24"/>
      <c r="H277" s="7">
        <f t="shared" si="53"/>
        <v>0</v>
      </c>
      <c r="I277" s="7">
        <f t="shared" si="53"/>
        <v>0</v>
      </c>
      <c r="K277" s="24"/>
      <c r="L277" s="24">
        <f t="shared" si="54"/>
        <v>636</v>
      </c>
      <c r="M277" s="24"/>
      <c r="N277" s="7">
        <f t="shared" si="55"/>
        <v>0</v>
      </c>
      <c r="O277" s="57"/>
      <c r="P277" s="57"/>
    </row>
    <row r="278" spans="1:16" x14ac:dyDescent="0.25">
      <c r="A278" s="19" t="s">
        <v>80</v>
      </c>
      <c r="C278" s="6">
        <v>0</v>
      </c>
      <c r="D278" s="6">
        <v>0</v>
      </c>
      <c r="F278" s="24">
        <v>54</v>
      </c>
      <c r="G278" s="24"/>
      <c r="H278" s="7">
        <f t="shared" si="53"/>
        <v>0</v>
      </c>
      <c r="I278" s="7">
        <f t="shared" si="53"/>
        <v>0</v>
      </c>
      <c r="K278" s="24"/>
      <c r="L278" s="24">
        <f t="shared" si="54"/>
        <v>53</v>
      </c>
      <c r="M278" s="24"/>
      <c r="N278" s="7">
        <f t="shared" si="55"/>
        <v>0</v>
      </c>
      <c r="O278" s="57"/>
      <c r="P278" s="57"/>
    </row>
    <row r="279" spans="1:16" x14ac:dyDescent="0.25">
      <c r="A279" s="19" t="s">
        <v>81</v>
      </c>
      <c r="C279" s="6">
        <v>3964.2846534653472</v>
      </c>
      <c r="D279" s="6">
        <v>4761</v>
      </c>
      <c r="F279" s="24">
        <v>4.04</v>
      </c>
      <c r="G279" s="24"/>
      <c r="H279" s="7">
        <f>ROUND($F279*C279,0)</f>
        <v>16016</v>
      </c>
      <c r="I279" s="7">
        <f>ROUND($F279*D279,0)</f>
        <v>19234</v>
      </c>
      <c r="K279" s="24"/>
      <c r="L279" s="24">
        <f t="shared" si="54"/>
        <v>3.99</v>
      </c>
      <c r="M279" s="24"/>
      <c r="N279" s="7">
        <f t="shared" si="55"/>
        <v>18996</v>
      </c>
      <c r="O279" s="57"/>
      <c r="P279" s="57"/>
    </row>
    <row r="280" spans="1:16" x14ac:dyDescent="0.25">
      <c r="A280" s="19" t="s">
        <v>82</v>
      </c>
      <c r="C280" s="6">
        <v>1503.5334158415844</v>
      </c>
      <c r="D280" s="6">
        <v>1806</v>
      </c>
      <c r="F280" s="24"/>
      <c r="G280" s="24"/>
      <c r="K280" s="24"/>
      <c r="L280" s="24">
        <f t="shared" si="54"/>
        <v>13.27</v>
      </c>
      <c r="M280" s="24"/>
      <c r="N280" s="7">
        <f t="shared" si="55"/>
        <v>23966</v>
      </c>
      <c r="O280" s="57"/>
      <c r="P280" s="57"/>
    </row>
    <row r="281" spans="1:16" x14ac:dyDescent="0.25">
      <c r="A281" s="19" t="s">
        <v>83</v>
      </c>
      <c r="C281" s="6">
        <v>2460.7512376237623</v>
      </c>
      <c r="D281" s="6">
        <v>2955</v>
      </c>
      <c r="F281" s="24"/>
      <c r="G281" s="24"/>
      <c r="K281" s="24"/>
      <c r="L281" s="24">
        <f t="shared" si="54"/>
        <v>11.74</v>
      </c>
      <c r="M281" s="24"/>
      <c r="N281" s="7">
        <f t="shared" si="55"/>
        <v>34692</v>
      </c>
      <c r="O281" s="57"/>
      <c r="P281" s="57"/>
    </row>
    <row r="282" spans="1:16" x14ac:dyDescent="0.25">
      <c r="A282" s="19" t="s">
        <v>84</v>
      </c>
      <c r="C282" s="6">
        <v>236042</v>
      </c>
      <c r="D282" s="6">
        <v>283489.59215955599</v>
      </c>
      <c r="F282" s="100"/>
      <c r="G282" s="26"/>
      <c r="K282" s="100"/>
      <c r="L282" s="100">
        <f t="shared" si="54"/>
        <v>3.8877999999999999</v>
      </c>
      <c r="M282" s="26" t="s">
        <v>18</v>
      </c>
      <c r="N282" s="7">
        <f>ROUND($D282*L282/100,0)</f>
        <v>11022</v>
      </c>
      <c r="O282" s="207"/>
      <c r="P282" s="59"/>
    </row>
    <row r="283" spans="1:16" x14ac:dyDescent="0.25">
      <c r="A283" s="19" t="s">
        <v>85</v>
      </c>
      <c r="C283" s="6">
        <v>345285</v>
      </c>
      <c r="D283" s="6">
        <v>414693</v>
      </c>
      <c r="F283" s="100"/>
      <c r="G283" s="26"/>
      <c r="K283" s="100"/>
      <c r="L283" s="100">
        <f t="shared" si="54"/>
        <v>3.4405000000000001</v>
      </c>
      <c r="M283" s="26" t="s">
        <v>18</v>
      </c>
      <c r="N283" s="7">
        <f>ROUND($D283*L283/100,0)</f>
        <v>14268</v>
      </c>
      <c r="O283" s="207"/>
      <c r="P283" s="59"/>
    </row>
    <row r="284" spans="1:16" x14ac:dyDescent="0.25">
      <c r="A284" s="19" t="s">
        <v>86</v>
      </c>
      <c r="C284" s="6">
        <v>1658.2225477373308</v>
      </c>
      <c r="D284" s="6">
        <v>1992</v>
      </c>
      <c r="F284" s="24">
        <v>14.62</v>
      </c>
      <c r="G284" s="24"/>
      <c r="H284" s="7">
        <f t="shared" ref="H284:I286" si="56">ROUND($F284*C284,0)</f>
        <v>24243</v>
      </c>
      <c r="I284" s="7">
        <f t="shared" si="56"/>
        <v>29123</v>
      </c>
      <c r="K284" s="24"/>
      <c r="L284" s="24"/>
      <c r="M284" s="24"/>
      <c r="O284" s="57"/>
      <c r="P284" s="57"/>
    </row>
    <row r="285" spans="1:16" x14ac:dyDescent="0.25">
      <c r="A285" s="19" t="s">
        <v>87</v>
      </c>
      <c r="C285" s="6">
        <v>2306.0621057280159</v>
      </c>
      <c r="D285" s="6">
        <v>2770</v>
      </c>
      <c r="F285" s="24">
        <v>10.91</v>
      </c>
      <c r="G285" s="24"/>
      <c r="H285" s="7">
        <f t="shared" si="56"/>
        <v>25159</v>
      </c>
      <c r="I285" s="7">
        <f t="shared" si="56"/>
        <v>30221</v>
      </c>
      <c r="K285" s="24"/>
      <c r="L285" s="24"/>
      <c r="M285" s="24"/>
      <c r="O285" s="57"/>
      <c r="P285" s="57"/>
    </row>
    <row r="286" spans="1:16" x14ac:dyDescent="0.25">
      <c r="A286" s="19" t="s">
        <v>77</v>
      </c>
      <c r="C286" s="6">
        <v>0</v>
      </c>
      <c r="D286" s="6">
        <v>0</v>
      </c>
      <c r="F286" s="24">
        <v>-0.96</v>
      </c>
      <c r="G286" s="24"/>
      <c r="H286" s="7">
        <f t="shared" si="56"/>
        <v>0</v>
      </c>
      <c r="I286" s="7">
        <f t="shared" si="56"/>
        <v>0</v>
      </c>
      <c r="K286" s="24"/>
      <c r="L286" s="24">
        <f>L250</f>
        <v>-0.96</v>
      </c>
      <c r="M286" s="24"/>
      <c r="N286" s="7">
        <f>ROUND($D286*L286,0)</f>
        <v>0</v>
      </c>
      <c r="O286" s="57"/>
      <c r="P286" s="57"/>
    </row>
    <row r="287" spans="1:16" x14ac:dyDescent="0.25">
      <c r="A287" s="19" t="s">
        <v>88</v>
      </c>
      <c r="C287" s="6">
        <v>234805.04955330916</v>
      </c>
      <c r="D287" s="6">
        <v>282004</v>
      </c>
      <c r="F287" s="100">
        <v>3.8127</v>
      </c>
      <c r="G287" s="26" t="s">
        <v>18</v>
      </c>
      <c r="H287" s="7">
        <f t="shared" ref="H287:I289" si="57">ROUND($F287*C287/100,0)</f>
        <v>8952</v>
      </c>
      <c r="I287" s="7">
        <f t="shared" si="57"/>
        <v>10752</v>
      </c>
      <c r="K287" s="100"/>
      <c r="L287" s="100"/>
      <c r="M287" s="26"/>
      <c r="O287" s="207"/>
      <c r="P287" s="59"/>
    </row>
    <row r="288" spans="1:16" x14ac:dyDescent="0.25">
      <c r="A288" s="19" t="s">
        <v>89</v>
      </c>
      <c r="C288" s="6">
        <v>346521.95044669084</v>
      </c>
      <c r="D288" s="6">
        <v>416178.59215955599</v>
      </c>
      <c r="F288" s="100">
        <v>3.5143</v>
      </c>
      <c r="G288" s="26" t="s">
        <v>18</v>
      </c>
      <c r="H288" s="7">
        <f t="shared" si="57"/>
        <v>12178</v>
      </c>
      <c r="I288" s="7">
        <f t="shared" si="57"/>
        <v>14626</v>
      </c>
      <c r="K288" s="100"/>
      <c r="L288" s="100"/>
      <c r="M288" s="26"/>
      <c r="O288" s="207"/>
      <c r="P288" s="59"/>
    </row>
    <row r="289" spans="1:17" x14ac:dyDescent="0.25">
      <c r="A289" s="32" t="s">
        <v>32</v>
      </c>
      <c r="C289" s="6">
        <v>0</v>
      </c>
      <c r="D289" s="6">
        <v>0</v>
      </c>
      <c r="F289" s="100">
        <v>7.125</v>
      </c>
      <c r="G289" s="26" t="s">
        <v>18</v>
      </c>
      <c r="H289" s="7">
        <f t="shared" si="57"/>
        <v>0</v>
      </c>
      <c r="I289" s="7">
        <f t="shared" si="57"/>
        <v>0</v>
      </c>
      <c r="K289" s="100"/>
      <c r="L289" s="100">
        <f>L253</f>
        <v>7.125</v>
      </c>
      <c r="M289" s="26" t="s">
        <v>18</v>
      </c>
      <c r="N289" s="7">
        <f>ROUND($D289*L289/100,0)</f>
        <v>0</v>
      </c>
      <c r="O289" s="207"/>
      <c r="P289" s="59"/>
    </row>
    <row r="290" spans="1:17" x14ac:dyDescent="0.25">
      <c r="A290" s="19" t="s">
        <v>33</v>
      </c>
      <c r="C290" s="36">
        <v>0</v>
      </c>
      <c r="D290" s="36">
        <v>0</v>
      </c>
      <c r="H290" s="37">
        <v>0</v>
      </c>
      <c r="I290" s="37">
        <v>0</v>
      </c>
      <c r="N290" s="37"/>
      <c r="Q290" s="64"/>
    </row>
    <row r="291" spans="1:17" x14ac:dyDescent="0.25">
      <c r="A291" s="19" t="s">
        <v>34</v>
      </c>
      <c r="F291" s="23">
        <v>-3.61E-2</v>
      </c>
      <c r="G291" s="24"/>
      <c r="H291" s="7">
        <f>SUM(H284:H285,H287:H289)*$F291</f>
        <v>-2546.2051999999999</v>
      </c>
      <c r="I291" s="7">
        <f>SUM(I284:I285,I287:I289)*$F291</f>
        <v>-3058.4641999999999</v>
      </c>
      <c r="K291" s="93" t="str">
        <f>$K$43</f>
        <v>TAA 1 (1/1/2021)</v>
      </c>
      <c r="L291" s="23">
        <f>$L$687</f>
        <v>-2.6100000000000002E-2</v>
      </c>
      <c r="M291" s="24"/>
      <c r="N291" s="7">
        <f>L291*SUM(N280:N283,N289)</f>
        <v>-2191.0428000000002</v>
      </c>
      <c r="O291" s="65"/>
      <c r="P291" s="57"/>
    </row>
    <row r="292" spans="1:17" x14ac:dyDescent="0.25">
      <c r="A292" s="19"/>
      <c r="F292" s="23"/>
      <c r="G292" s="24"/>
      <c r="K292" s="93" t="str">
        <f>$K$44</f>
        <v>TAA 2 (1/1/2022)</v>
      </c>
      <c r="L292" s="23">
        <f>$L$688</f>
        <v>-1.2999999999999999E-2</v>
      </c>
      <c r="M292" s="24"/>
      <c r="N292" s="7">
        <f>L292*SUM(N280:N283,N289)</f>
        <v>-1091.3239999999998</v>
      </c>
      <c r="O292" s="65"/>
      <c r="P292" s="57"/>
    </row>
    <row r="293" spans="1:17" ht="16.5" thickBot="1" x14ac:dyDescent="0.3">
      <c r="A293" s="32" t="s">
        <v>35</v>
      </c>
      <c r="C293" s="6">
        <v>0</v>
      </c>
      <c r="D293" s="6">
        <v>0</v>
      </c>
      <c r="F293" s="23"/>
      <c r="G293" s="24"/>
      <c r="K293" s="41"/>
      <c r="L293" s="41"/>
      <c r="N293" s="95"/>
      <c r="O293" s="68"/>
      <c r="Q293" s="208"/>
    </row>
    <row r="294" spans="1:17" ht="17.25" thickTop="1" thickBot="1" x14ac:dyDescent="0.3">
      <c r="A294" s="19" t="s">
        <v>36</v>
      </c>
      <c r="C294" s="101">
        <v>581327</v>
      </c>
      <c r="D294" s="101">
        <v>698182.59215955599</v>
      </c>
      <c r="F294" s="41"/>
      <c r="H294" s="95">
        <f>SUM(H276:H291)</f>
        <v>90389.794800000003</v>
      </c>
      <c r="I294" s="95">
        <f>SUM(I276:I291)</f>
        <v>107636.5358</v>
      </c>
      <c r="K294" s="41"/>
      <c r="L294" s="41"/>
      <c r="N294" s="95">
        <f>SUM(N276:N290)</f>
        <v>109559</v>
      </c>
      <c r="O294" s="68"/>
      <c r="Q294" s="208"/>
    </row>
    <row r="295" spans="1:17" ht="16.5" thickTop="1" x14ac:dyDescent="0.25"/>
    <row r="296" spans="1:17" x14ac:dyDescent="0.25">
      <c r="A296" s="15" t="s">
        <v>91</v>
      </c>
    </row>
    <row r="297" spans="1:17" x14ac:dyDescent="0.25">
      <c r="A297" s="19" t="s">
        <v>68</v>
      </c>
      <c r="C297" s="6">
        <v>14061.016666649997</v>
      </c>
      <c r="D297" s="6">
        <v>13951.476908881947</v>
      </c>
      <c r="F297" s="20"/>
      <c r="G297" s="20"/>
      <c r="K297" s="20"/>
      <c r="L297" s="20">
        <f t="shared" ref="L297:L307" si="58">L225</f>
        <v>53</v>
      </c>
      <c r="M297" s="20"/>
      <c r="N297" s="7">
        <f>ROUND($D297*L297,0)</f>
        <v>739428</v>
      </c>
      <c r="O297" s="55"/>
      <c r="P297" s="55"/>
    </row>
    <row r="298" spans="1:17" x14ac:dyDescent="0.25">
      <c r="A298" s="19" t="s">
        <v>69</v>
      </c>
      <c r="C298" s="6">
        <v>19353983.668316837</v>
      </c>
      <c r="D298" s="6">
        <v>18365329.916608788</v>
      </c>
      <c r="E298" s="24"/>
      <c r="F298" s="99"/>
      <c r="G298" s="26"/>
      <c r="J298" s="24"/>
      <c r="K298" s="99"/>
      <c r="L298" s="99">
        <f t="shared" si="58"/>
        <v>22.156199999999998</v>
      </c>
      <c r="M298" s="26" t="s">
        <v>18</v>
      </c>
      <c r="N298" s="7">
        <f t="shared" ref="N298:N305" si="59">ROUND($D298*L298/100,0)</f>
        <v>4069059</v>
      </c>
      <c r="O298" s="206"/>
      <c r="P298" s="59"/>
    </row>
    <row r="299" spans="1:17" x14ac:dyDescent="0.25">
      <c r="A299" s="19" t="s">
        <v>70</v>
      </c>
      <c r="C299" s="6">
        <v>44598391.331683159</v>
      </c>
      <c r="D299" s="6">
        <v>42320185.063358508</v>
      </c>
      <c r="E299" s="24"/>
      <c r="F299" s="99"/>
      <c r="G299" s="26"/>
      <c r="J299" s="24"/>
      <c r="K299" s="99"/>
      <c r="L299" s="99">
        <f t="shared" si="58"/>
        <v>4.309899999999999</v>
      </c>
      <c r="M299" s="26" t="s">
        <v>18</v>
      </c>
      <c r="N299" s="7">
        <f t="shared" si="59"/>
        <v>1823958</v>
      </c>
      <c r="O299" s="206"/>
      <c r="P299" s="59"/>
    </row>
    <row r="300" spans="1:17" x14ac:dyDescent="0.25">
      <c r="A300" s="19" t="s">
        <v>71</v>
      </c>
      <c r="C300" s="6">
        <v>33445107.804455444</v>
      </c>
      <c r="D300" s="6">
        <v>31736641.378430471</v>
      </c>
      <c r="E300" s="24"/>
      <c r="F300" s="99"/>
      <c r="G300" s="26"/>
      <c r="J300" s="24"/>
      <c r="K300" s="99"/>
      <c r="L300" s="99">
        <f t="shared" si="58"/>
        <v>19.607299999999999</v>
      </c>
      <c r="M300" s="26" t="s">
        <v>18</v>
      </c>
      <c r="N300" s="7">
        <f t="shared" si="59"/>
        <v>6222698</v>
      </c>
      <c r="O300" s="206"/>
      <c r="P300" s="59"/>
    </row>
    <row r="301" spans="1:17" x14ac:dyDescent="0.25">
      <c r="A301" s="19" t="s">
        <v>72</v>
      </c>
      <c r="C301" s="6">
        <v>79863876.695544586</v>
      </c>
      <c r="D301" s="6">
        <v>75784214.19948411</v>
      </c>
      <c r="E301" s="24"/>
      <c r="F301" s="99"/>
      <c r="G301" s="26"/>
      <c r="J301" s="24"/>
      <c r="K301" s="99"/>
      <c r="L301" s="99">
        <f t="shared" si="58"/>
        <v>3.8140999999999989</v>
      </c>
      <c r="M301" s="26" t="s">
        <v>18</v>
      </c>
      <c r="N301" s="7">
        <f t="shared" si="59"/>
        <v>2890486</v>
      </c>
      <c r="O301" s="206"/>
      <c r="P301" s="59"/>
    </row>
    <row r="302" spans="1:17" x14ac:dyDescent="0.25">
      <c r="A302" s="19" t="s">
        <v>73</v>
      </c>
      <c r="C302" s="6">
        <v>35515983.674359836</v>
      </c>
      <c r="D302" s="6">
        <v>33701731.316446617</v>
      </c>
      <c r="E302" s="24"/>
      <c r="F302" s="99"/>
      <c r="G302" s="26"/>
      <c r="J302" s="24"/>
      <c r="K302" s="99"/>
      <c r="L302" s="99">
        <f t="shared" si="58"/>
        <v>6</v>
      </c>
      <c r="M302" s="26" t="s">
        <v>18</v>
      </c>
      <c r="N302" s="7">
        <f t="shared" si="59"/>
        <v>2022104</v>
      </c>
      <c r="O302" s="206"/>
      <c r="P302" s="59"/>
    </row>
    <row r="303" spans="1:17" x14ac:dyDescent="0.25">
      <c r="A303" s="19" t="s">
        <v>74</v>
      </c>
      <c r="C303" s="6">
        <v>28436391.325640164</v>
      </c>
      <c r="D303" s="6">
        <v>26983783.663520679</v>
      </c>
      <c r="E303" s="24"/>
      <c r="F303" s="99"/>
      <c r="G303" s="26"/>
      <c r="J303" s="24"/>
      <c r="K303" s="99"/>
      <c r="L303" s="99">
        <f t="shared" si="58"/>
        <v>-2.335799999999999</v>
      </c>
      <c r="M303" s="26" t="s">
        <v>18</v>
      </c>
      <c r="N303" s="7">
        <f t="shared" si="59"/>
        <v>-630287</v>
      </c>
      <c r="O303" s="206"/>
      <c r="P303" s="59"/>
    </row>
    <row r="304" spans="1:17" x14ac:dyDescent="0.25">
      <c r="A304" s="19" t="s">
        <v>75</v>
      </c>
      <c r="C304" s="6">
        <v>62926201.625198364</v>
      </c>
      <c r="D304" s="6">
        <v>59711761.312358119</v>
      </c>
      <c r="E304" s="24"/>
      <c r="F304" s="99"/>
      <c r="G304" s="26"/>
      <c r="J304" s="24"/>
      <c r="K304" s="99"/>
      <c r="L304" s="99">
        <f t="shared" si="58"/>
        <v>5.3097000000000003</v>
      </c>
      <c r="M304" s="26" t="s">
        <v>18</v>
      </c>
      <c r="N304" s="7">
        <f t="shared" si="59"/>
        <v>3170515</v>
      </c>
      <c r="O304" s="206"/>
      <c r="P304" s="59"/>
    </row>
    <row r="305" spans="1:16" x14ac:dyDescent="0.25">
      <c r="A305" s="19" t="s">
        <v>76</v>
      </c>
      <c r="C305" s="6">
        <v>50382782.874801628</v>
      </c>
      <c r="D305" s="6">
        <v>47809094.265556425</v>
      </c>
      <c r="E305" s="24"/>
      <c r="F305" s="99"/>
      <c r="G305" s="26"/>
      <c r="J305" s="24"/>
      <c r="K305" s="99"/>
      <c r="L305" s="99">
        <f t="shared" si="58"/>
        <v>-2.0670999999999999</v>
      </c>
      <c r="M305" s="26" t="s">
        <v>18</v>
      </c>
      <c r="N305" s="7">
        <f t="shared" si="59"/>
        <v>-988262</v>
      </c>
      <c r="O305" s="206"/>
      <c r="P305" s="59"/>
    </row>
    <row r="306" spans="1:16" x14ac:dyDescent="0.25">
      <c r="A306" s="19" t="s">
        <v>77</v>
      </c>
      <c r="C306" s="6">
        <v>33386.598958333328</v>
      </c>
      <c r="D306" s="6">
        <v>31681.121322172912</v>
      </c>
      <c r="F306" s="20"/>
      <c r="G306" s="20"/>
      <c r="K306" s="20"/>
      <c r="L306" s="20">
        <f t="shared" si="58"/>
        <v>-0.61</v>
      </c>
      <c r="M306" s="20"/>
      <c r="N306" s="7">
        <f>ROUND($D306*L306,0)</f>
        <v>-19325</v>
      </c>
      <c r="O306" s="55"/>
      <c r="P306" s="55"/>
    </row>
    <row r="307" spans="1:16" x14ac:dyDescent="0.25">
      <c r="A307" s="32" t="s">
        <v>32</v>
      </c>
      <c r="C307" s="6">
        <v>799246.5</v>
      </c>
      <c r="D307" s="6">
        <v>758418.83039428061</v>
      </c>
      <c r="F307" s="100"/>
      <c r="G307" s="26"/>
      <c r="K307" s="100"/>
      <c r="L307" s="100">
        <f t="shared" si="58"/>
        <v>7.125</v>
      </c>
      <c r="M307" s="26" t="s">
        <v>18</v>
      </c>
      <c r="N307" s="7">
        <f>ROUND($D307*L307/100,0)</f>
        <v>54037</v>
      </c>
      <c r="O307" s="207"/>
      <c r="P307" s="59"/>
    </row>
    <row r="308" spans="1:16" x14ac:dyDescent="0.25">
      <c r="A308" s="19" t="s">
        <v>34</v>
      </c>
      <c r="F308" s="23"/>
      <c r="G308" s="24"/>
      <c r="K308" s="93" t="str">
        <f>$K$43</f>
        <v>TAA 1 (1/1/2021)</v>
      </c>
      <c r="L308" s="23">
        <f>$L$979</f>
        <v>-2.9100000000000001E-2</v>
      </c>
      <c r="M308" s="24"/>
      <c r="N308" s="7">
        <f>L308*SUM(N298:N301,N307)</f>
        <v>-438252.92580000003</v>
      </c>
      <c r="O308" s="65"/>
      <c r="P308" s="57"/>
    </row>
    <row r="309" spans="1:16" x14ac:dyDescent="0.25">
      <c r="A309" s="19"/>
      <c r="F309" s="23"/>
      <c r="G309" s="24"/>
      <c r="K309" s="93" t="str">
        <f>$K$44</f>
        <v>TAA 2 (1/1/2022)</v>
      </c>
      <c r="L309" s="23">
        <f>$L$980</f>
        <v>-1.46E-2</v>
      </c>
      <c r="M309" s="24"/>
      <c r="N309" s="7">
        <f>L309*SUM(N298:N301,N307)</f>
        <v>-219879.4748</v>
      </c>
      <c r="O309" s="65"/>
      <c r="P309" s="57"/>
    </row>
    <row r="310" spans="1:16" x14ac:dyDescent="0.25">
      <c r="A310" s="19" t="s">
        <v>78</v>
      </c>
      <c r="C310" s="6">
        <v>178060606</v>
      </c>
      <c r="D310" s="6">
        <v>168964789.38827613</v>
      </c>
      <c r="F310" s="20"/>
      <c r="G310" s="20"/>
      <c r="K310" s="20"/>
      <c r="L310" s="20"/>
      <c r="M310" s="20"/>
      <c r="N310" s="7">
        <f>SUM(N297:N307)</f>
        <v>19354411</v>
      </c>
      <c r="O310" s="55"/>
      <c r="P310" s="55"/>
    </row>
    <row r="311" spans="1:16" x14ac:dyDescent="0.25">
      <c r="A311" s="19"/>
      <c r="F311" s="20"/>
      <c r="G311" s="20"/>
      <c r="K311" s="20"/>
      <c r="L311" s="20"/>
      <c r="M311" s="20"/>
      <c r="O311" s="55"/>
      <c r="P311" s="55"/>
    </row>
    <row r="312" spans="1:16" x14ac:dyDescent="0.25">
      <c r="A312" s="19" t="s">
        <v>68</v>
      </c>
      <c r="C312" s="6">
        <v>14061.016666649997</v>
      </c>
      <c r="D312" s="6">
        <v>13951.476908881947</v>
      </c>
      <c r="F312" s="24">
        <v>54</v>
      </c>
      <c r="G312" s="24"/>
      <c r="H312" s="7">
        <f t="shared" ref="H312:I314" si="60">ROUND($F312*C312,0)</f>
        <v>759295</v>
      </c>
      <c r="I312" s="7">
        <f t="shared" si="60"/>
        <v>753380</v>
      </c>
      <c r="K312" s="24"/>
      <c r="L312" s="24">
        <f t="shared" ref="L312:L319" si="61">L240</f>
        <v>53</v>
      </c>
      <c r="M312" s="24"/>
      <c r="N312" s="7">
        <f t="shared" ref="N312:N317" si="62">ROUND($D312*L312,0)</f>
        <v>739428</v>
      </c>
      <c r="O312" s="57"/>
      <c r="P312" s="57"/>
    </row>
    <row r="313" spans="1:16" x14ac:dyDescent="0.25">
      <c r="A313" s="19" t="s">
        <v>79</v>
      </c>
      <c r="C313" s="6">
        <v>0</v>
      </c>
      <c r="D313" s="6">
        <v>0</v>
      </c>
      <c r="F313" s="24">
        <v>648</v>
      </c>
      <c r="G313" s="24"/>
      <c r="H313" s="7">
        <f t="shared" si="60"/>
        <v>0</v>
      </c>
      <c r="I313" s="7">
        <f t="shared" si="60"/>
        <v>0</v>
      </c>
      <c r="K313" s="24"/>
      <c r="L313" s="24">
        <f t="shared" si="61"/>
        <v>636</v>
      </c>
      <c r="M313" s="24"/>
      <c r="N313" s="7">
        <f t="shared" si="62"/>
        <v>0</v>
      </c>
      <c r="O313" s="57"/>
      <c r="P313" s="57"/>
    </row>
    <row r="314" spans="1:16" x14ac:dyDescent="0.25">
      <c r="A314" s="19" t="s">
        <v>80</v>
      </c>
      <c r="C314" s="6">
        <v>0</v>
      </c>
      <c r="D314" s="6">
        <v>0</v>
      </c>
      <c r="F314" s="24">
        <v>54</v>
      </c>
      <c r="G314" s="24"/>
      <c r="H314" s="7">
        <f t="shared" si="60"/>
        <v>0</v>
      </c>
      <c r="I314" s="7">
        <f t="shared" si="60"/>
        <v>0</v>
      </c>
      <c r="K314" s="24"/>
      <c r="L314" s="24">
        <f t="shared" si="61"/>
        <v>53</v>
      </c>
      <c r="M314" s="24"/>
      <c r="N314" s="7">
        <f t="shared" si="62"/>
        <v>0</v>
      </c>
      <c r="O314" s="57"/>
      <c r="P314" s="57"/>
    </row>
    <row r="315" spans="1:16" x14ac:dyDescent="0.25">
      <c r="A315" s="19" t="s">
        <v>81</v>
      </c>
      <c r="C315" s="6">
        <v>1083158.4146039609</v>
      </c>
      <c r="D315" s="6">
        <v>1027828</v>
      </c>
      <c r="F315" s="24">
        <v>4.04</v>
      </c>
      <c r="G315" s="24"/>
      <c r="H315" s="7">
        <f>ROUND($F315*C315,0)</f>
        <v>4375960</v>
      </c>
      <c r="I315" s="7">
        <f>ROUND($F315*D315,0)</f>
        <v>4152425</v>
      </c>
      <c r="K315" s="24"/>
      <c r="L315" s="24">
        <f t="shared" si="61"/>
        <v>3.99</v>
      </c>
      <c r="M315" s="24"/>
      <c r="N315" s="7">
        <f t="shared" si="62"/>
        <v>4101034</v>
      </c>
      <c r="O315" s="57"/>
      <c r="P315" s="57"/>
    </row>
    <row r="316" spans="1:16" x14ac:dyDescent="0.25">
      <c r="A316" s="19" t="s">
        <v>82</v>
      </c>
      <c r="C316" s="6">
        <v>396337.73143564368</v>
      </c>
      <c r="D316" s="6">
        <v>376092</v>
      </c>
      <c r="F316" s="24"/>
      <c r="G316" s="24"/>
      <c r="K316" s="24"/>
      <c r="L316" s="24">
        <f t="shared" si="61"/>
        <v>13.27</v>
      </c>
      <c r="M316" s="24"/>
      <c r="N316" s="7">
        <f t="shared" si="62"/>
        <v>4990741</v>
      </c>
      <c r="O316" s="57"/>
      <c r="P316" s="57"/>
    </row>
    <row r="317" spans="1:16" x14ac:dyDescent="0.25">
      <c r="A317" s="19" t="s">
        <v>83</v>
      </c>
      <c r="C317" s="6">
        <v>686820.68316831719</v>
      </c>
      <c r="D317" s="6">
        <v>651736</v>
      </c>
      <c r="F317" s="24"/>
      <c r="G317" s="24"/>
      <c r="K317" s="24"/>
      <c r="L317" s="24">
        <f t="shared" si="61"/>
        <v>11.74</v>
      </c>
      <c r="M317" s="24"/>
      <c r="N317" s="7">
        <f t="shared" si="62"/>
        <v>7651381</v>
      </c>
      <c r="O317" s="57"/>
      <c r="P317" s="57"/>
    </row>
    <row r="318" spans="1:16" x14ac:dyDescent="0.25">
      <c r="A318" s="19" t="s">
        <v>84</v>
      </c>
      <c r="C318" s="6">
        <v>63952375</v>
      </c>
      <c r="D318" s="6">
        <v>60685514.38827613</v>
      </c>
      <c r="F318" s="100"/>
      <c r="G318" s="26"/>
      <c r="K318" s="100"/>
      <c r="L318" s="100">
        <f t="shared" si="61"/>
        <v>3.8877999999999999</v>
      </c>
      <c r="M318" s="26" t="s">
        <v>18</v>
      </c>
      <c r="N318" s="7">
        <f>ROUND($D318*L318/100,0)</f>
        <v>2359331</v>
      </c>
      <c r="O318" s="207"/>
      <c r="P318" s="59"/>
    </row>
    <row r="319" spans="1:16" x14ac:dyDescent="0.25">
      <c r="A319" s="19" t="s">
        <v>85</v>
      </c>
      <c r="C319" s="6">
        <v>113308984.5</v>
      </c>
      <c r="D319" s="6">
        <v>107520856</v>
      </c>
      <c r="F319" s="100"/>
      <c r="G319" s="26"/>
      <c r="K319" s="100"/>
      <c r="L319" s="100">
        <f t="shared" si="61"/>
        <v>3.4405000000000001</v>
      </c>
      <c r="M319" s="26" t="s">
        <v>18</v>
      </c>
      <c r="N319" s="7">
        <f>ROUND($D319*L319/100,0)</f>
        <v>3699255</v>
      </c>
      <c r="O319" s="207"/>
      <c r="P319" s="59"/>
    </row>
    <row r="320" spans="1:16" x14ac:dyDescent="0.25">
      <c r="A320" s="19" t="s">
        <v>86</v>
      </c>
      <c r="C320" s="6">
        <v>496983.98864179431</v>
      </c>
      <c r="D320" s="6">
        <v>471597</v>
      </c>
      <c r="F320" s="24">
        <v>14.62</v>
      </c>
      <c r="G320" s="24"/>
      <c r="H320" s="7">
        <f t="shared" ref="H320:I322" si="63">ROUND($F320*C320,0)</f>
        <v>7265906</v>
      </c>
      <c r="I320" s="7">
        <f t="shared" si="63"/>
        <v>6894748</v>
      </c>
      <c r="K320" s="24"/>
      <c r="L320" s="24"/>
      <c r="M320" s="24"/>
      <c r="O320" s="57"/>
      <c r="P320" s="57"/>
    </row>
    <row r="321" spans="1:17" x14ac:dyDescent="0.25">
      <c r="A321" s="19" t="s">
        <v>87</v>
      </c>
      <c r="C321" s="6">
        <v>586174.42596216663</v>
      </c>
      <c r="D321" s="6">
        <v>556231</v>
      </c>
      <c r="F321" s="24">
        <v>10.91</v>
      </c>
      <c r="G321" s="24"/>
      <c r="H321" s="7">
        <f t="shared" si="63"/>
        <v>6395163</v>
      </c>
      <c r="I321" s="7">
        <f t="shared" si="63"/>
        <v>6068480</v>
      </c>
      <c r="K321" s="24"/>
      <c r="L321" s="24"/>
      <c r="M321" s="24"/>
      <c r="O321" s="57"/>
      <c r="P321" s="57"/>
    </row>
    <row r="322" spans="1:17" x14ac:dyDescent="0.25">
      <c r="A322" s="19" t="s">
        <v>77</v>
      </c>
      <c r="C322" s="6">
        <v>33386.598958333328</v>
      </c>
      <c r="D322" s="6">
        <v>31681.121322172912</v>
      </c>
      <c r="F322" s="24">
        <v>-0.96</v>
      </c>
      <c r="G322" s="24"/>
      <c r="H322" s="7">
        <f t="shared" si="63"/>
        <v>-32051</v>
      </c>
      <c r="I322" s="7">
        <f t="shared" si="63"/>
        <v>-30414</v>
      </c>
      <c r="K322" s="24"/>
      <c r="L322" s="24">
        <f>L250</f>
        <v>-0.96</v>
      </c>
      <c r="M322" s="24"/>
      <c r="N322" s="7">
        <f>ROUND($D322*L322,0)</f>
        <v>-30414</v>
      </c>
      <c r="O322" s="57"/>
      <c r="P322" s="57"/>
    </row>
    <row r="323" spans="1:17" x14ac:dyDescent="0.25">
      <c r="A323" s="19" t="s">
        <v>88</v>
      </c>
      <c r="C323" s="6">
        <v>79414824.790631607</v>
      </c>
      <c r="D323" s="6">
        <v>75358101</v>
      </c>
      <c r="F323" s="100">
        <v>3.8127</v>
      </c>
      <c r="G323" s="26" t="s">
        <v>18</v>
      </c>
      <c r="H323" s="7">
        <f t="shared" ref="H323:I325" si="64">ROUND($F323*C323/100,0)</f>
        <v>3027849</v>
      </c>
      <c r="I323" s="7">
        <f t="shared" si="64"/>
        <v>2873178</v>
      </c>
      <c r="K323" s="100"/>
      <c r="L323" s="100"/>
      <c r="M323" s="26"/>
      <c r="O323" s="207"/>
      <c r="P323" s="59"/>
    </row>
    <row r="324" spans="1:17" x14ac:dyDescent="0.25">
      <c r="A324" s="19" t="s">
        <v>89</v>
      </c>
      <c r="C324" s="6">
        <v>97846534.709368393</v>
      </c>
      <c r="D324" s="6">
        <v>92848269.38827613</v>
      </c>
      <c r="F324" s="100">
        <v>3.5143</v>
      </c>
      <c r="G324" s="26" t="s">
        <v>18</v>
      </c>
      <c r="H324" s="7">
        <f t="shared" si="64"/>
        <v>3438621</v>
      </c>
      <c r="I324" s="7">
        <f t="shared" si="64"/>
        <v>3262967</v>
      </c>
      <c r="K324" s="100"/>
      <c r="L324" s="100"/>
      <c r="M324" s="26"/>
      <c r="O324" s="207"/>
      <c r="P324" s="59"/>
    </row>
    <row r="325" spans="1:17" x14ac:dyDescent="0.25">
      <c r="A325" s="32" t="s">
        <v>32</v>
      </c>
      <c r="C325" s="6">
        <v>799246.5</v>
      </c>
      <c r="D325" s="6">
        <v>758419</v>
      </c>
      <c r="F325" s="100">
        <v>7.125</v>
      </c>
      <c r="G325" s="26" t="s">
        <v>18</v>
      </c>
      <c r="H325" s="7">
        <f t="shared" si="64"/>
        <v>56946</v>
      </c>
      <c r="I325" s="7">
        <f t="shared" si="64"/>
        <v>54037</v>
      </c>
      <c r="K325" s="100"/>
      <c r="L325" s="100">
        <f>L253</f>
        <v>7.125</v>
      </c>
      <c r="M325" s="26" t="s">
        <v>18</v>
      </c>
      <c r="N325" s="7">
        <f>ROUND($D325*L325/100,0)</f>
        <v>54037</v>
      </c>
      <c r="O325" s="207"/>
      <c r="P325" s="59"/>
    </row>
    <row r="326" spans="1:17" x14ac:dyDescent="0.25">
      <c r="A326" s="19" t="s">
        <v>33</v>
      </c>
      <c r="C326" s="36">
        <v>0</v>
      </c>
      <c r="D326" s="36">
        <v>0</v>
      </c>
      <c r="H326" s="37">
        <v>0</v>
      </c>
      <c r="I326" s="37">
        <v>0</v>
      </c>
      <c r="N326" s="37"/>
      <c r="Q326" s="64"/>
    </row>
    <row r="327" spans="1:17" x14ac:dyDescent="0.25">
      <c r="A327" s="19" t="s">
        <v>34</v>
      </c>
      <c r="F327" s="23">
        <v>-3.61E-2</v>
      </c>
      <c r="G327" s="24"/>
      <c r="H327" s="7">
        <f>SUM(H320:H321,H323:H325)*$F327</f>
        <v>-728659.90850000002</v>
      </c>
      <c r="I327" s="7">
        <f>SUM(I320:I321,I323:I325)*$F327</f>
        <v>-691438.10100000002</v>
      </c>
      <c r="K327" s="93" t="str">
        <f>$K$43</f>
        <v>TAA 1 (1/1/2021)</v>
      </c>
      <c r="L327" s="23">
        <f>$L$687</f>
        <v>-2.6100000000000002E-2</v>
      </c>
      <c r="M327" s="24"/>
      <c r="N327" s="7">
        <f>L327*SUM(N316:N319,N325)</f>
        <v>-489498.84450000001</v>
      </c>
      <c r="O327" s="65"/>
      <c r="P327" s="57"/>
    </row>
    <row r="328" spans="1:17" x14ac:dyDescent="0.25">
      <c r="A328" s="19"/>
      <c r="F328" s="23"/>
      <c r="G328" s="24"/>
      <c r="K328" s="93" t="str">
        <f>$K$44</f>
        <v>TAA 2 (1/1/2022)</v>
      </c>
      <c r="L328" s="23">
        <f>$L$688</f>
        <v>-1.2999999999999999E-2</v>
      </c>
      <c r="M328" s="24"/>
      <c r="N328" s="7">
        <f>L328*SUM(N316:N319,N325)</f>
        <v>-243811.685</v>
      </c>
      <c r="O328" s="65"/>
      <c r="P328" s="57"/>
    </row>
    <row r="329" spans="1:17" ht="16.5" thickBot="1" x14ac:dyDescent="0.3">
      <c r="A329" s="32" t="s">
        <v>35</v>
      </c>
      <c r="C329" s="6">
        <v>0</v>
      </c>
      <c r="D329" s="6">
        <v>0</v>
      </c>
      <c r="F329" s="23"/>
      <c r="G329" s="24"/>
      <c r="K329" s="41"/>
      <c r="L329" s="41"/>
      <c r="N329" s="95"/>
      <c r="O329" s="68"/>
      <c r="Q329" s="208"/>
    </row>
    <row r="330" spans="1:17" ht="17.25" thickTop="1" thickBot="1" x14ac:dyDescent="0.3">
      <c r="A330" s="19" t="s">
        <v>36</v>
      </c>
      <c r="C330" s="101">
        <v>178060606</v>
      </c>
      <c r="D330" s="101">
        <v>168964789.38827613</v>
      </c>
      <c r="F330" s="41"/>
      <c r="H330" s="95">
        <f>SUM(H312:H327)</f>
        <v>24559029.091499999</v>
      </c>
      <c r="I330" s="95">
        <f>SUM(I312:I327)</f>
        <v>23337362.899</v>
      </c>
      <c r="K330" s="41"/>
      <c r="L330" s="41"/>
      <c r="N330" s="95">
        <f>SUM(N312:N326)</f>
        <v>23564793</v>
      </c>
      <c r="O330" s="68"/>
      <c r="Q330" s="208"/>
    </row>
    <row r="331" spans="1:17" ht="16.5" thickTop="1" x14ac:dyDescent="0.25"/>
    <row r="332" spans="1:17" x14ac:dyDescent="0.25">
      <c r="A332" s="15" t="s">
        <v>92</v>
      </c>
    </row>
    <row r="333" spans="1:17" x14ac:dyDescent="0.25">
      <c r="A333" s="19" t="s">
        <v>68</v>
      </c>
      <c r="C333" s="6">
        <v>2090.65</v>
      </c>
      <c r="D333" s="6">
        <v>2108.3140286129374</v>
      </c>
      <c r="F333" s="20"/>
      <c r="G333" s="20"/>
      <c r="K333" s="20"/>
      <c r="L333" s="20">
        <f t="shared" ref="L333:L343" si="65">L225</f>
        <v>53</v>
      </c>
      <c r="M333" s="20"/>
      <c r="N333" s="7">
        <f>ROUND($D333*L333,0)</f>
        <v>111741</v>
      </c>
      <c r="O333" s="55"/>
      <c r="P333" s="55"/>
    </row>
    <row r="334" spans="1:17" x14ac:dyDescent="0.25">
      <c r="A334" s="19" t="s">
        <v>69</v>
      </c>
      <c r="C334" s="6">
        <v>4185638.1212871289</v>
      </c>
      <c r="D334" s="6">
        <v>4387983.9192588255</v>
      </c>
      <c r="E334" s="24"/>
      <c r="F334" s="99"/>
      <c r="G334" s="26"/>
      <c r="J334" s="24"/>
      <c r="K334" s="99"/>
      <c r="L334" s="99">
        <f t="shared" si="65"/>
        <v>22.156199999999998</v>
      </c>
      <c r="M334" s="26" t="s">
        <v>18</v>
      </c>
      <c r="N334" s="7">
        <f t="shared" ref="N334:N341" si="66">ROUND($D334*L334/100,0)</f>
        <v>972210</v>
      </c>
      <c r="O334" s="206"/>
      <c r="P334" s="59"/>
    </row>
    <row r="335" spans="1:17" x14ac:dyDescent="0.25">
      <c r="A335" s="19" t="s">
        <v>70</v>
      </c>
      <c r="C335" s="6">
        <v>9571608.8787128702</v>
      </c>
      <c r="D335" s="6">
        <v>10034328.01025608</v>
      </c>
      <c r="E335" s="24"/>
      <c r="F335" s="99"/>
      <c r="G335" s="26"/>
      <c r="J335" s="24"/>
      <c r="K335" s="99"/>
      <c r="L335" s="99">
        <f t="shared" si="65"/>
        <v>4.309899999999999</v>
      </c>
      <c r="M335" s="26" t="s">
        <v>18</v>
      </c>
      <c r="N335" s="7">
        <f t="shared" si="66"/>
        <v>432470</v>
      </c>
      <c r="O335" s="206"/>
      <c r="P335" s="59"/>
    </row>
    <row r="336" spans="1:17" x14ac:dyDescent="0.25">
      <c r="A336" s="19" t="s">
        <v>71</v>
      </c>
      <c r="C336" s="6">
        <v>7459634.6336633675</v>
      </c>
      <c r="D336" s="6">
        <v>7820254.8494553976</v>
      </c>
      <c r="E336" s="24"/>
      <c r="F336" s="99"/>
      <c r="G336" s="26"/>
      <c r="J336" s="24"/>
      <c r="K336" s="99"/>
      <c r="L336" s="99">
        <f t="shared" si="65"/>
        <v>19.607299999999999</v>
      </c>
      <c r="M336" s="26" t="s">
        <v>18</v>
      </c>
      <c r="N336" s="7">
        <f t="shared" si="66"/>
        <v>1533341</v>
      </c>
      <c r="O336" s="206"/>
      <c r="P336" s="59"/>
    </row>
    <row r="337" spans="1:16" x14ac:dyDescent="0.25">
      <c r="A337" s="19" t="s">
        <v>72</v>
      </c>
      <c r="C337" s="6">
        <v>16404117.366336634</v>
      </c>
      <c r="D337" s="6">
        <v>17197139.630165793</v>
      </c>
      <c r="E337" s="24"/>
      <c r="F337" s="99"/>
      <c r="G337" s="26"/>
      <c r="J337" s="24"/>
      <c r="K337" s="99"/>
      <c r="L337" s="99">
        <f t="shared" si="65"/>
        <v>3.8140999999999989</v>
      </c>
      <c r="M337" s="26" t="s">
        <v>18</v>
      </c>
      <c r="N337" s="7">
        <f t="shared" si="66"/>
        <v>655916</v>
      </c>
      <c r="O337" s="206"/>
      <c r="P337" s="59"/>
    </row>
    <row r="338" spans="1:16" x14ac:dyDescent="0.25">
      <c r="A338" s="19" t="s">
        <v>73</v>
      </c>
      <c r="C338" s="6">
        <v>7640094.0521151097</v>
      </c>
      <c r="D338" s="6">
        <v>8009438.1957695177</v>
      </c>
      <c r="E338" s="24"/>
      <c r="F338" s="99"/>
      <c r="G338" s="26"/>
      <c r="J338" s="24"/>
      <c r="K338" s="99"/>
      <c r="L338" s="99">
        <f t="shared" si="65"/>
        <v>6</v>
      </c>
      <c r="M338" s="26" t="s">
        <v>18</v>
      </c>
      <c r="N338" s="7">
        <f t="shared" si="66"/>
        <v>480566</v>
      </c>
      <c r="O338" s="206"/>
      <c r="P338" s="59"/>
    </row>
    <row r="339" spans="1:16" x14ac:dyDescent="0.25">
      <c r="A339" s="19" t="s">
        <v>74</v>
      </c>
      <c r="C339" s="6">
        <v>6117152.9478848893</v>
      </c>
      <c r="D339" s="6">
        <v>6412873.733745385</v>
      </c>
      <c r="E339" s="24"/>
      <c r="F339" s="99"/>
      <c r="G339" s="26"/>
      <c r="J339" s="24"/>
      <c r="K339" s="99"/>
      <c r="L339" s="99">
        <f t="shared" si="65"/>
        <v>-2.335799999999999</v>
      </c>
      <c r="M339" s="26" t="s">
        <v>18</v>
      </c>
      <c r="N339" s="7">
        <f t="shared" si="66"/>
        <v>-149792</v>
      </c>
      <c r="O339" s="206"/>
      <c r="P339" s="59"/>
    </row>
    <row r="340" spans="1:16" x14ac:dyDescent="0.25">
      <c r="A340" s="19" t="s">
        <v>75</v>
      </c>
      <c r="C340" s="6">
        <v>13252746.69534901</v>
      </c>
      <c r="D340" s="6">
        <v>13893422.627591934</v>
      </c>
      <c r="E340" s="24"/>
      <c r="F340" s="99"/>
      <c r="G340" s="26"/>
      <c r="J340" s="24"/>
      <c r="K340" s="99"/>
      <c r="L340" s="99">
        <f t="shared" si="65"/>
        <v>5.3097000000000003</v>
      </c>
      <c r="M340" s="26" t="s">
        <v>18</v>
      </c>
      <c r="N340" s="7">
        <f t="shared" si="66"/>
        <v>737699</v>
      </c>
      <c r="O340" s="206"/>
      <c r="P340" s="59"/>
    </row>
    <row r="341" spans="1:16" x14ac:dyDescent="0.25">
      <c r="A341" s="19" t="s">
        <v>76</v>
      </c>
      <c r="C341" s="6">
        <v>10611005.304650979</v>
      </c>
      <c r="D341" s="6">
        <v>11123971.852029243</v>
      </c>
      <c r="E341" s="24"/>
      <c r="F341" s="99"/>
      <c r="G341" s="26"/>
      <c r="J341" s="24"/>
      <c r="K341" s="99"/>
      <c r="L341" s="99">
        <f t="shared" si="65"/>
        <v>-2.0670999999999999</v>
      </c>
      <c r="M341" s="26" t="s">
        <v>18</v>
      </c>
      <c r="N341" s="7">
        <f t="shared" si="66"/>
        <v>-229944</v>
      </c>
      <c r="O341" s="206"/>
      <c r="P341" s="59"/>
    </row>
    <row r="342" spans="1:16" x14ac:dyDescent="0.25">
      <c r="A342" s="19" t="s">
        <v>77</v>
      </c>
      <c r="C342" s="6">
        <v>24029.583333333336</v>
      </c>
      <c r="D342" s="6">
        <v>25191.242577065448</v>
      </c>
      <c r="F342" s="20"/>
      <c r="G342" s="20"/>
      <c r="K342" s="20"/>
      <c r="L342" s="20">
        <f t="shared" si="65"/>
        <v>-0.61</v>
      </c>
      <c r="M342" s="20"/>
      <c r="N342" s="7">
        <f>ROUND($D342*L342,0)</f>
        <v>-15367</v>
      </c>
      <c r="O342" s="55"/>
      <c r="P342" s="55"/>
    </row>
    <row r="343" spans="1:16" x14ac:dyDescent="0.25">
      <c r="A343" s="32" t="s">
        <v>32</v>
      </c>
      <c r="C343" s="6">
        <v>400</v>
      </c>
      <c r="D343" s="6">
        <v>419.33715167038594</v>
      </c>
      <c r="F343" s="100"/>
      <c r="G343" s="26"/>
      <c r="K343" s="100"/>
      <c r="L343" s="100">
        <f t="shared" si="65"/>
        <v>7.125</v>
      </c>
      <c r="M343" s="26" t="s">
        <v>18</v>
      </c>
      <c r="N343" s="7">
        <f>ROUND($D343*L343/100,0)</f>
        <v>30</v>
      </c>
      <c r="O343" s="207"/>
      <c r="P343" s="59"/>
    </row>
    <row r="344" spans="1:16" x14ac:dyDescent="0.25">
      <c r="A344" s="19" t="s">
        <v>34</v>
      </c>
      <c r="F344" s="23"/>
      <c r="G344" s="24"/>
      <c r="K344" s="93" t="str">
        <f>$K$43</f>
        <v>TAA 1 (1/1/2021)</v>
      </c>
      <c r="L344" s="23">
        <f>$L$979</f>
        <v>-2.9100000000000001E-2</v>
      </c>
      <c r="M344" s="24"/>
      <c r="N344" s="7">
        <f>L344*SUM(N334:N337,N343)</f>
        <v>-104584.4397</v>
      </c>
      <c r="O344" s="65"/>
      <c r="P344" s="57"/>
    </row>
    <row r="345" spans="1:16" x14ac:dyDescent="0.25">
      <c r="A345" s="19"/>
      <c r="F345" s="23"/>
      <c r="G345" s="24"/>
      <c r="K345" s="93" t="str">
        <f>$K$44</f>
        <v>TAA 2 (1/1/2022)</v>
      </c>
      <c r="L345" s="23">
        <f>$L$980</f>
        <v>-1.46E-2</v>
      </c>
      <c r="M345" s="24"/>
      <c r="N345" s="7">
        <f>L345*SUM(N334:N337,N343)</f>
        <v>-52471.9182</v>
      </c>
      <c r="O345" s="65"/>
      <c r="P345" s="57"/>
    </row>
    <row r="346" spans="1:16" x14ac:dyDescent="0.25">
      <c r="A346" s="19" t="s">
        <v>78</v>
      </c>
      <c r="C346" s="6">
        <v>37621398.999999985</v>
      </c>
      <c r="D346" s="6">
        <v>39440125.746287748</v>
      </c>
      <c r="F346" s="20"/>
      <c r="G346" s="20"/>
      <c r="K346" s="20"/>
      <c r="L346" s="20"/>
      <c r="M346" s="20"/>
      <c r="N346" s="7">
        <f>SUM(N333:N343)</f>
        <v>4528870</v>
      </c>
      <c r="O346" s="55"/>
      <c r="P346" s="55"/>
    </row>
    <row r="347" spans="1:16" x14ac:dyDescent="0.25">
      <c r="A347" s="19"/>
      <c r="F347" s="20"/>
      <c r="G347" s="20"/>
      <c r="K347" s="20"/>
      <c r="L347" s="20"/>
      <c r="M347" s="20"/>
      <c r="O347" s="55"/>
      <c r="P347" s="55"/>
    </row>
    <row r="348" spans="1:16" x14ac:dyDescent="0.25">
      <c r="A348" s="19" t="s">
        <v>68</v>
      </c>
      <c r="C348" s="6">
        <v>2090.65</v>
      </c>
      <c r="D348" s="6">
        <v>2108.3140286129374</v>
      </c>
      <c r="F348" s="24">
        <v>54</v>
      </c>
      <c r="G348" s="24"/>
      <c r="H348" s="7">
        <f t="shared" ref="H348:I350" si="67">ROUND($F348*C348,0)</f>
        <v>112895</v>
      </c>
      <c r="I348" s="7">
        <f t="shared" si="67"/>
        <v>113849</v>
      </c>
      <c r="K348" s="24"/>
      <c r="L348" s="24">
        <f t="shared" ref="L348:L355" si="68">L240</f>
        <v>53</v>
      </c>
      <c r="M348" s="24"/>
      <c r="N348" s="7">
        <f t="shared" ref="N348:N353" si="69">ROUND($D348*L348,0)</f>
        <v>111741</v>
      </c>
      <c r="O348" s="57"/>
      <c r="P348" s="57"/>
    </row>
    <row r="349" spans="1:16" x14ac:dyDescent="0.25">
      <c r="A349" s="19" t="s">
        <v>79</v>
      </c>
      <c r="C349" s="6">
        <v>0</v>
      </c>
      <c r="D349" s="6">
        <v>0</v>
      </c>
      <c r="F349" s="24">
        <v>648</v>
      </c>
      <c r="G349" s="24"/>
      <c r="H349" s="7">
        <f t="shared" si="67"/>
        <v>0</v>
      </c>
      <c r="I349" s="7">
        <f t="shared" si="67"/>
        <v>0</v>
      </c>
      <c r="K349" s="24"/>
      <c r="L349" s="24">
        <f t="shared" si="68"/>
        <v>636</v>
      </c>
      <c r="M349" s="24"/>
      <c r="N349" s="7">
        <f t="shared" si="69"/>
        <v>0</v>
      </c>
      <c r="O349" s="57"/>
      <c r="P349" s="57"/>
    </row>
    <row r="350" spans="1:16" x14ac:dyDescent="0.25">
      <c r="A350" s="19" t="s">
        <v>80</v>
      </c>
      <c r="C350" s="6">
        <v>0</v>
      </c>
      <c r="D350" s="6">
        <v>0</v>
      </c>
      <c r="F350" s="24">
        <v>54</v>
      </c>
      <c r="G350" s="24"/>
      <c r="H350" s="7">
        <f t="shared" si="67"/>
        <v>0</v>
      </c>
      <c r="I350" s="7">
        <f t="shared" si="67"/>
        <v>0</v>
      </c>
      <c r="K350" s="24"/>
      <c r="L350" s="24">
        <f t="shared" si="68"/>
        <v>53</v>
      </c>
      <c r="M350" s="24"/>
      <c r="N350" s="7">
        <f t="shared" si="69"/>
        <v>0</v>
      </c>
      <c r="O350" s="57"/>
      <c r="P350" s="57"/>
    </row>
    <row r="351" spans="1:16" x14ac:dyDescent="0.25">
      <c r="A351" s="19" t="s">
        <v>81</v>
      </c>
      <c r="C351" s="6">
        <v>237102.33168316825</v>
      </c>
      <c r="D351" s="6">
        <v>248565</v>
      </c>
      <c r="F351" s="24">
        <v>4.04</v>
      </c>
      <c r="G351" s="24"/>
      <c r="H351" s="7">
        <f>ROUND($F351*C351,0)</f>
        <v>957893</v>
      </c>
      <c r="I351" s="7">
        <f>ROUND($F351*D351,0)</f>
        <v>1004203</v>
      </c>
      <c r="K351" s="24"/>
      <c r="L351" s="24">
        <f t="shared" si="68"/>
        <v>3.99</v>
      </c>
      <c r="M351" s="24"/>
      <c r="N351" s="7">
        <f t="shared" si="69"/>
        <v>991774</v>
      </c>
      <c r="O351" s="57"/>
      <c r="P351" s="57"/>
    </row>
    <row r="352" spans="1:16" x14ac:dyDescent="0.25">
      <c r="A352" s="19" t="s">
        <v>82</v>
      </c>
      <c r="C352" s="6">
        <v>85670.315594059415</v>
      </c>
      <c r="D352" s="6">
        <v>89812</v>
      </c>
      <c r="F352" s="24"/>
      <c r="G352" s="24"/>
      <c r="K352" s="24"/>
      <c r="L352" s="24">
        <f t="shared" si="68"/>
        <v>13.27</v>
      </c>
      <c r="M352" s="24"/>
      <c r="N352" s="7">
        <f t="shared" si="69"/>
        <v>1191805</v>
      </c>
      <c r="O352" s="57"/>
      <c r="P352" s="57"/>
    </row>
    <row r="353" spans="1:17" x14ac:dyDescent="0.25">
      <c r="A353" s="19" t="s">
        <v>83</v>
      </c>
      <c r="C353" s="6">
        <v>151432.01608910886</v>
      </c>
      <c r="D353" s="6">
        <v>158753</v>
      </c>
      <c r="F353" s="24"/>
      <c r="G353" s="24"/>
      <c r="K353" s="24"/>
      <c r="L353" s="24">
        <f t="shared" si="68"/>
        <v>11.74</v>
      </c>
      <c r="M353" s="24"/>
      <c r="N353" s="7">
        <f t="shared" si="69"/>
        <v>1863760</v>
      </c>
      <c r="O353" s="57"/>
      <c r="P353" s="57"/>
    </row>
    <row r="354" spans="1:17" x14ac:dyDescent="0.25">
      <c r="A354" s="19" t="s">
        <v>84</v>
      </c>
      <c r="C354" s="6">
        <v>13757247</v>
      </c>
      <c r="D354" s="6">
        <v>14422312.746287748</v>
      </c>
      <c r="F354" s="100"/>
      <c r="G354" s="26"/>
      <c r="K354" s="100"/>
      <c r="L354" s="100">
        <f t="shared" si="68"/>
        <v>3.8877999999999999</v>
      </c>
      <c r="M354" s="26" t="s">
        <v>18</v>
      </c>
      <c r="N354" s="7">
        <f>ROUND($D354*L354/100,0)</f>
        <v>560711</v>
      </c>
      <c r="O354" s="207"/>
      <c r="P354" s="59"/>
    </row>
    <row r="355" spans="1:17" x14ac:dyDescent="0.25">
      <c r="A355" s="19" t="s">
        <v>85</v>
      </c>
      <c r="C355" s="6">
        <v>23863752</v>
      </c>
      <c r="D355" s="6">
        <v>25017394</v>
      </c>
      <c r="F355" s="100"/>
      <c r="G355" s="26"/>
      <c r="K355" s="100"/>
      <c r="L355" s="100">
        <f t="shared" si="68"/>
        <v>3.4405000000000001</v>
      </c>
      <c r="M355" s="26" t="s">
        <v>18</v>
      </c>
      <c r="N355" s="7">
        <f>ROUND($D355*L355/100,0)</f>
        <v>860723</v>
      </c>
      <c r="O355" s="207"/>
      <c r="P355" s="59"/>
    </row>
    <row r="356" spans="1:17" x14ac:dyDescent="0.25">
      <c r="A356" s="19" t="s">
        <v>86</v>
      </c>
      <c r="C356" s="6">
        <v>86156.244347468222</v>
      </c>
      <c r="D356" s="6">
        <v>90321</v>
      </c>
      <c r="F356" s="24">
        <v>14.62</v>
      </c>
      <c r="G356" s="24"/>
      <c r="H356" s="7">
        <f t="shared" ref="H356:I358" si="70">ROUND($F356*C356,0)</f>
        <v>1259604</v>
      </c>
      <c r="I356" s="7">
        <f t="shared" si="70"/>
        <v>1320493</v>
      </c>
      <c r="K356" s="24"/>
      <c r="L356" s="24"/>
      <c r="M356" s="24"/>
      <c r="O356" s="57"/>
      <c r="P356" s="57"/>
    </row>
    <row r="357" spans="1:17" x14ac:dyDescent="0.25">
      <c r="A357" s="19" t="s">
        <v>87</v>
      </c>
      <c r="C357" s="6">
        <v>150946.08733570005</v>
      </c>
      <c r="D357" s="6">
        <v>158243</v>
      </c>
      <c r="F357" s="24">
        <v>10.91</v>
      </c>
      <c r="G357" s="24"/>
      <c r="H357" s="7">
        <f t="shared" si="70"/>
        <v>1646822</v>
      </c>
      <c r="I357" s="7">
        <f t="shared" si="70"/>
        <v>1726431</v>
      </c>
      <c r="K357" s="24"/>
      <c r="L357" s="24"/>
      <c r="M357" s="24"/>
      <c r="O357" s="57"/>
      <c r="P357" s="57"/>
    </row>
    <row r="358" spans="1:17" x14ac:dyDescent="0.25">
      <c r="A358" s="19" t="s">
        <v>77</v>
      </c>
      <c r="C358" s="6">
        <v>24029.583333333336</v>
      </c>
      <c r="D358" s="6">
        <v>25191.242577065448</v>
      </c>
      <c r="F358" s="24">
        <v>-0.96</v>
      </c>
      <c r="G358" s="24"/>
      <c r="H358" s="7">
        <f t="shared" si="70"/>
        <v>-23068</v>
      </c>
      <c r="I358" s="7">
        <f t="shared" si="70"/>
        <v>-24184</v>
      </c>
      <c r="K358" s="24"/>
      <c r="L358" s="24">
        <f>L250</f>
        <v>-0.96</v>
      </c>
      <c r="M358" s="24"/>
      <c r="N358" s="7">
        <f>ROUND($D358*L358,0)</f>
        <v>-24184</v>
      </c>
      <c r="O358" s="57"/>
      <c r="P358" s="57"/>
    </row>
    <row r="359" spans="1:17" x14ac:dyDescent="0.25">
      <c r="A359" s="19" t="s">
        <v>88</v>
      </c>
      <c r="C359" s="6">
        <v>13923707.70353744</v>
      </c>
      <c r="D359" s="6">
        <v>14596820</v>
      </c>
      <c r="F359" s="100">
        <v>3.8127</v>
      </c>
      <c r="G359" s="26" t="s">
        <v>18</v>
      </c>
      <c r="H359" s="7">
        <f t="shared" ref="H359:I361" si="71">ROUND($F359*C359/100,0)</f>
        <v>530869</v>
      </c>
      <c r="I359" s="7">
        <f t="shared" si="71"/>
        <v>556533</v>
      </c>
      <c r="K359" s="100"/>
      <c r="L359" s="100"/>
      <c r="M359" s="26"/>
      <c r="O359" s="207"/>
      <c r="P359" s="59"/>
    </row>
    <row r="360" spans="1:17" x14ac:dyDescent="0.25">
      <c r="A360" s="19" t="s">
        <v>89</v>
      </c>
      <c r="C360" s="6">
        <v>23697291.296462558</v>
      </c>
      <c r="D360" s="6">
        <v>24842886.746287748</v>
      </c>
      <c r="F360" s="100">
        <v>3.5143</v>
      </c>
      <c r="G360" s="26" t="s">
        <v>18</v>
      </c>
      <c r="H360" s="7">
        <f t="shared" si="71"/>
        <v>832794</v>
      </c>
      <c r="I360" s="7">
        <f t="shared" si="71"/>
        <v>873054</v>
      </c>
      <c r="K360" s="100"/>
      <c r="L360" s="100"/>
      <c r="M360" s="26"/>
      <c r="O360" s="207"/>
      <c r="P360" s="59"/>
    </row>
    <row r="361" spans="1:17" x14ac:dyDescent="0.25">
      <c r="A361" s="32" t="s">
        <v>32</v>
      </c>
      <c r="C361" s="6">
        <v>400</v>
      </c>
      <c r="D361" s="6">
        <v>419</v>
      </c>
      <c r="F361" s="100">
        <v>7.125</v>
      </c>
      <c r="G361" s="26" t="s">
        <v>18</v>
      </c>
      <c r="H361" s="7">
        <f t="shared" si="71"/>
        <v>29</v>
      </c>
      <c r="I361" s="7">
        <f t="shared" si="71"/>
        <v>30</v>
      </c>
      <c r="K361" s="100"/>
      <c r="L361" s="100">
        <f>L253</f>
        <v>7.125</v>
      </c>
      <c r="M361" s="26" t="s">
        <v>18</v>
      </c>
      <c r="N361" s="7">
        <f>ROUND($D361*L361/100,0)</f>
        <v>30</v>
      </c>
      <c r="O361" s="207"/>
      <c r="P361" s="59"/>
    </row>
    <row r="362" spans="1:17" x14ac:dyDescent="0.25">
      <c r="A362" s="19" t="s">
        <v>33</v>
      </c>
      <c r="C362" s="36">
        <v>0</v>
      </c>
      <c r="D362" s="36">
        <v>0</v>
      </c>
      <c r="H362" s="37">
        <v>0</v>
      </c>
      <c r="I362" s="37">
        <v>0</v>
      </c>
      <c r="N362" s="37"/>
      <c r="Q362" s="64"/>
    </row>
    <row r="363" spans="1:17" x14ac:dyDescent="0.25">
      <c r="A363" s="19" t="s">
        <v>34</v>
      </c>
      <c r="F363" s="23">
        <v>-3.61E-2</v>
      </c>
      <c r="G363" s="24"/>
      <c r="H363" s="7">
        <f>SUM(H356:H357,H359:H361)*$F363</f>
        <v>-154151.2598</v>
      </c>
      <c r="I363" s="7">
        <f>SUM(I356:I357,I359:I361)*$F363</f>
        <v>-161603.13010000001</v>
      </c>
      <c r="K363" s="93" t="str">
        <f>$K$43</f>
        <v>TAA 1 (1/1/2021)</v>
      </c>
      <c r="L363" s="23">
        <f>$L$687</f>
        <v>-2.6100000000000002E-2</v>
      </c>
      <c r="M363" s="24"/>
      <c r="N363" s="7">
        <f>L363*SUM(N352:N355,N361)</f>
        <v>-116850.4569</v>
      </c>
      <c r="O363" s="65"/>
      <c r="P363" s="57"/>
    </row>
    <row r="364" spans="1:17" x14ac:dyDescent="0.25">
      <c r="A364" s="19"/>
      <c r="F364" s="23"/>
      <c r="G364" s="24"/>
      <c r="K364" s="93" t="str">
        <f>$K$44</f>
        <v>TAA 2 (1/1/2022)</v>
      </c>
      <c r="L364" s="23">
        <f>$L$688</f>
        <v>-1.2999999999999999E-2</v>
      </c>
      <c r="M364" s="24"/>
      <c r="N364" s="7">
        <f>L364*SUM(N352:N355,N361)</f>
        <v>-58201.377</v>
      </c>
      <c r="O364" s="65"/>
      <c r="P364" s="57"/>
    </row>
    <row r="365" spans="1:17" ht="16.5" thickBot="1" x14ac:dyDescent="0.3">
      <c r="A365" s="32" t="s">
        <v>35</v>
      </c>
      <c r="C365" s="6">
        <v>0</v>
      </c>
      <c r="D365" s="6">
        <v>0</v>
      </c>
      <c r="F365" s="23"/>
      <c r="G365" s="24"/>
      <c r="K365" s="41"/>
      <c r="L365" s="41"/>
      <c r="N365" s="95"/>
      <c r="O365" s="68"/>
      <c r="Q365" s="208"/>
    </row>
    <row r="366" spans="1:17" ht="17.25" thickTop="1" thickBot="1" x14ac:dyDescent="0.3">
      <c r="A366" s="19" t="s">
        <v>36</v>
      </c>
      <c r="C366" s="101">
        <v>37621399</v>
      </c>
      <c r="D366" s="101">
        <v>39440125.746287748</v>
      </c>
      <c r="F366" s="41"/>
      <c r="H366" s="95">
        <f>SUM(H348:H363)</f>
        <v>5163686.7401999999</v>
      </c>
      <c r="I366" s="95">
        <f>SUM(I348:I363)</f>
        <v>5408805.8699000003</v>
      </c>
      <c r="K366" s="41"/>
      <c r="L366" s="41"/>
      <c r="N366" s="95">
        <f>SUM(N348:N362)</f>
        <v>5556360</v>
      </c>
      <c r="O366" s="68"/>
      <c r="Q366" s="208"/>
    </row>
    <row r="367" spans="1:17" ht="16.5" thickTop="1" x14ac:dyDescent="0.25"/>
    <row r="368" spans="1:17" x14ac:dyDescent="0.25">
      <c r="A368" s="15" t="s">
        <v>93</v>
      </c>
    </row>
    <row r="369" spans="1:16" x14ac:dyDescent="0.25">
      <c r="A369" s="19" t="s">
        <v>68</v>
      </c>
      <c r="C369" s="6">
        <v>461.81666666666666</v>
      </c>
      <c r="D369" s="6">
        <v>601.96638791828354</v>
      </c>
      <c r="F369" s="20"/>
      <c r="G369" s="20"/>
      <c r="K369" s="20"/>
      <c r="L369" s="20">
        <f t="shared" ref="L369:L379" si="72">L225</f>
        <v>53</v>
      </c>
      <c r="M369" s="20"/>
      <c r="N369" s="7">
        <f>ROUND($D369*L369,0)</f>
        <v>31904</v>
      </c>
      <c r="O369" s="55"/>
      <c r="P369" s="55"/>
    </row>
    <row r="370" spans="1:16" x14ac:dyDescent="0.25">
      <c r="A370" s="19" t="s">
        <v>69</v>
      </c>
      <c r="C370" s="6">
        <v>494309</v>
      </c>
      <c r="D370" s="6">
        <v>617625.15581650264</v>
      </c>
      <c r="E370" s="24"/>
      <c r="F370" s="99"/>
      <c r="G370" s="26"/>
      <c r="J370" s="24"/>
      <c r="K370" s="99"/>
      <c r="L370" s="99">
        <f t="shared" si="72"/>
        <v>22.156199999999998</v>
      </c>
      <c r="M370" s="26" t="s">
        <v>18</v>
      </c>
      <c r="N370" s="7">
        <f t="shared" ref="N370:N377" si="73">ROUND($D370*L370/100,0)</f>
        <v>136842</v>
      </c>
      <c r="O370" s="206"/>
      <c r="P370" s="59"/>
    </row>
    <row r="371" spans="1:16" x14ac:dyDescent="0.25">
      <c r="A371" s="19" t="s">
        <v>70</v>
      </c>
      <c r="C371" s="6">
        <v>1183199</v>
      </c>
      <c r="D371" s="6">
        <v>1470157.0589540326</v>
      </c>
      <c r="E371" s="24"/>
      <c r="F371" s="99"/>
      <c r="G371" s="26"/>
      <c r="J371" s="24"/>
      <c r="K371" s="99"/>
      <c r="L371" s="99">
        <f t="shared" si="72"/>
        <v>4.309899999999999</v>
      </c>
      <c r="M371" s="26" t="s">
        <v>18</v>
      </c>
      <c r="N371" s="7">
        <f t="shared" si="73"/>
        <v>63362</v>
      </c>
      <c r="O371" s="206"/>
      <c r="P371" s="59"/>
    </row>
    <row r="372" spans="1:16" x14ac:dyDescent="0.25">
      <c r="A372" s="19" t="s">
        <v>71</v>
      </c>
      <c r="C372" s="6">
        <v>856682.5</v>
      </c>
      <c r="D372" s="6">
        <v>1069622.9798240834</v>
      </c>
      <c r="E372" s="24"/>
      <c r="F372" s="99"/>
      <c r="G372" s="26"/>
      <c r="J372" s="24"/>
      <c r="K372" s="99"/>
      <c r="L372" s="99">
        <f t="shared" si="72"/>
        <v>19.607299999999999</v>
      </c>
      <c r="M372" s="26" t="s">
        <v>18</v>
      </c>
      <c r="N372" s="7">
        <f t="shared" si="73"/>
        <v>209724</v>
      </c>
      <c r="O372" s="206"/>
      <c r="P372" s="59"/>
    </row>
    <row r="373" spans="1:16" x14ac:dyDescent="0.25">
      <c r="A373" s="19" t="s">
        <v>72</v>
      </c>
      <c r="C373" s="6">
        <v>2262394.5</v>
      </c>
      <c r="D373" s="6">
        <v>2803065.8686222499</v>
      </c>
      <c r="E373" s="24"/>
      <c r="F373" s="99"/>
      <c r="G373" s="26"/>
      <c r="J373" s="24"/>
      <c r="K373" s="99"/>
      <c r="L373" s="99">
        <f t="shared" si="72"/>
        <v>3.8140999999999989</v>
      </c>
      <c r="M373" s="26" t="s">
        <v>18</v>
      </c>
      <c r="N373" s="7">
        <f t="shared" si="73"/>
        <v>106912</v>
      </c>
      <c r="O373" s="206"/>
      <c r="P373" s="59"/>
    </row>
    <row r="374" spans="1:16" x14ac:dyDescent="0.25">
      <c r="A374" s="19" t="s">
        <v>73</v>
      </c>
      <c r="C374" s="6">
        <v>931604.91289976228</v>
      </c>
      <c r="D374" s="6">
        <v>1159450.9047616925</v>
      </c>
      <c r="E374" s="24"/>
      <c r="F374" s="99"/>
      <c r="G374" s="26"/>
      <c r="J374" s="24"/>
      <c r="K374" s="99"/>
      <c r="L374" s="99">
        <f t="shared" si="72"/>
        <v>6</v>
      </c>
      <c r="M374" s="26" t="s">
        <v>18</v>
      </c>
      <c r="N374" s="7">
        <f t="shared" si="73"/>
        <v>69567</v>
      </c>
      <c r="O374" s="206"/>
      <c r="P374" s="59"/>
    </row>
    <row r="375" spans="1:16" x14ac:dyDescent="0.25">
      <c r="A375" s="19" t="s">
        <v>74</v>
      </c>
      <c r="C375" s="6">
        <v>745903.08710023749</v>
      </c>
      <c r="D375" s="6">
        <v>928331.31000884238</v>
      </c>
      <c r="E375" s="24"/>
      <c r="F375" s="99"/>
      <c r="G375" s="26"/>
      <c r="J375" s="24"/>
      <c r="K375" s="99"/>
      <c r="L375" s="99">
        <f t="shared" si="72"/>
        <v>-2.335799999999999</v>
      </c>
      <c r="M375" s="26" t="s">
        <v>18</v>
      </c>
      <c r="N375" s="7">
        <f t="shared" si="73"/>
        <v>-21684</v>
      </c>
      <c r="O375" s="206"/>
      <c r="P375" s="59"/>
    </row>
    <row r="376" spans="1:16" x14ac:dyDescent="0.25">
      <c r="A376" s="19" t="s">
        <v>75</v>
      </c>
      <c r="C376" s="6">
        <v>1732180.983287503</v>
      </c>
      <c r="D376" s="6">
        <v>2150699.7029788997</v>
      </c>
      <c r="E376" s="24"/>
      <c r="F376" s="99"/>
      <c r="G376" s="26"/>
      <c r="J376" s="24"/>
      <c r="K376" s="99"/>
      <c r="L376" s="99">
        <f t="shared" si="72"/>
        <v>5.3097000000000003</v>
      </c>
      <c r="M376" s="26" t="s">
        <v>18</v>
      </c>
      <c r="N376" s="7">
        <f t="shared" si="73"/>
        <v>114196</v>
      </c>
      <c r="O376" s="206"/>
      <c r="P376" s="59"/>
    </row>
    <row r="377" spans="1:16" x14ac:dyDescent="0.25">
      <c r="A377" s="19" t="s">
        <v>76</v>
      </c>
      <c r="C377" s="6">
        <v>1386896.0167124968</v>
      </c>
      <c r="D377" s="6">
        <v>1721989.1454674334</v>
      </c>
      <c r="E377" s="24"/>
      <c r="F377" s="99"/>
      <c r="G377" s="26"/>
      <c r="J377" s="24"/>
      <c r="K377" s="99"/>
      <c r="L377" s="99">
        <f t="shared" si="72"/>
        <v>-2.0670999999999999</v>
      </c>
      <c r="M377" s="26" t="s">
        <v>18</v>
      </c>
      <c r="N377" s="7">
        <f t="shared" si="73"/>
        <v>-35595</v>
      </c>
      <c r="O377" s="206"/>
      <c r="P377" s="59"/>
    </row>
    <row r="378" spans="1:16" x14ac:dyDescent="0.25">
      <c r="A378" s="19" t="s">
        <v>77</v>
      </c>
      <c r="C378" s="6">
        <v>0</v>
      </c>
      <c r="D378" s="6">
        <v>0</v>
      </c>
      <c r="F378" s="20"/>
      <c r="G378" s="20"/>
      <c r="K378" s="20"/>
      <c r="L378" s="20">
        <f t="shared" si="72"/>
        <v>-0.61</v>
      </c>
      <c r="M378" s="20"/>
      <c r="N378" s="7">
        <f>ROUND($D378*L378,0)</f>
        <v>0</v>
      </c>
      <c r="O378" s="55"/>
      <c r="P378" s="55"/>
    </row>
    <row r="379" spans="1:16" x14ac:dyDescent="0.25">
      <c r="A379" s="32" t="s">
        <v>32</v>
      </c>
      <c r="C379" s="6">
        <v>0</v>
      </c>
      <c r="D379" s="6">
        <v>0</v>
      </c>
      <c r="F379" s="100"/>
      <c r="G379" s="26"/>
      <c r="K379" s="100"/>
      <c r="L379" s="100">
        <f t="shared" si="72"/>
        <v>7.125</v>
      </c>
      <c r="M379" s="26" t="s">
        <v>18</v>
      </c>
      <c r="N379" s="7">
        <f>ROUND($D379*L379/100,0)</f>
        <v>0</v>
      </c>
      <c r="O379" s="207"/>
      <c r="P379" s="59"/>
    </row>
    <row r="380" spans="1:16" x14ac:dyDescent="0.25">
      <c r="A380" s="19" t="s">
        <v>34</v>
      </c>
      <c r="F380" s="23"/>
      <c r="G380" s="24"/>
      <c r="K380" s="93" t="str">
        <f>$K$43</f>
        <v>TAA 1 (1/1/2021)</v>
      </c>
      <c r="L380" s="23">
        <f>$L$979</f>
        <v>-2.9100000000000001E-2</v>
      </c>
      <c r="M380" s="24"/>
      <c r="N380" s="7">
        <f>L380*SUM(N370:N373,N379)</f>
        <v>-15040.044</v>
      </c>
      <c r="O380" s="65"/>
      <c r="P380" s="57"/>
    </row>
    <row r="381" spans="1:16" x14ac:dyDescent="0.25">
      <c r="A381" s="19"/>
      <c r="F381" s="23"/>
      <c r="G381" s="24"/>
      <c r="K381" s="93" t="str">
        <f>$K$44</f>
        <v>TAA 2 (1/1/2022)</v>
      </c>
      <c r="L381" s="23">
        <f>$L$980</f>
        <v>-1.46E-2</v>
      </c>
      <c r="M381" s="24"/>
      <c r="N381" s="7">
        <f>L381*SUM(N370:N373,N379)</f>
        <v>-7545.8640000000005</v>
      </c>
      <c r="O381" s="65"/>
      <c r="P381" s="57"/>
    </row>
    <row r="382" spans="1:16" x14ac:dyDescent="0.25">
      <c r="A382" s="19" t="s">
        <v>78</v>
      </c>
      <c r="C382" s="6">
        <v>4796585</v>
      </c>
      <c r="D382" s="6">
        <v>5960471.0632168679</v>
      </c>
      <c r="F382" s="20"/>
      <c r="G382" s="20"/>
      <c r="K382" s="20"/>
      <c r="L382" s="20"/>
      <c r="M382" s="20"/>
      <c r="N382" s="7">
        <f>SUM(N369:N379)</f>
        <v>675228</v>
      </c>
      <c r="O382" s="55"/>
      <c r="P382" s="55"/>
    </row>
    <row r="383" spans="1:16" x14ac:dyDescent="0.25">
      <c r="A383" s="19"/>
      <c r="F383" s="20"/>
      <c r="G383" s="20"/>
      <c r="K383" s="20"/>
      <c r="L383" s="20"/>
      <c r="M383" s="20"/>
      <c r="O383" s="55"/>
      <c r="P383" s="55"/>
    </row>
    <row r="384" spans="1:16" x14ac:dyDescent="0.25">
      <c r="A384" s="19" t="s">
        <v>68</v>
      </c>
      <c r="C384" s="6">
        <v>461.81666666666666</v>
      </c>
      <c r="D384" s="6">
        <v>601.96638791828354</v>
      </c>
      <c r="F384" s="20">
        <v>54</v>
      </c>
      <c r="G384" s="20"/>
      <c r="H384" s="7">
        <f t="shared" ref="H384:I386" si="74">ROUND($F384*C384,0)</f>
        <v>24938</v>
      </c>
      <c r="I384" s="7">
        <f t="shared" si="74"/>
        <v>32506</v>
      </c>
      <c r="K384" s="20"/>
      <c r="L384" s="20">
        <f t="shared" ref="L384:L391" si="75">L240</f>
        <v>53</v>
      </c>
      <c r="M384" s="20"/>
      <c r="N384" s="7">
        <f t="shared" ref="N384:N389" si="76">ROUND($D384*L384,0)</f>
        <v>31904</v>
      </c>
      <c r="O384" s="55"/>
      <c r="P384" s="55"/>
    </row>
    <row r="385" spans="1:17" x14ac:dyDescent="0.25">
      <c r="A385" s="19" t="s">
        <v>79</v>
      </c>
      <c r="C385" s="6">
        <v>0</v>
      </c>
      <c r="D385" s="6">
        <v>0</v>
      </c>
      <c r="F385" s="20">
        <v>648</v>
      </c>
      <c r="G385" s="20"/>
      <c r="H385" s="7">
        <f t="shared" si="74"/>
        <v>0</v>
      </c>
      <c r="I385" s="7">
        <f t="shared" si="74"/>
        <v>0</v>
      </c>
      <c r="K385" s="20"/>
      <c r="L385" s="20">
        <f t="shared" si="75"/>
        <v>636</v>
      </c>
      <c r="M385" s="20"/>
      <c r="N385" s="7">
        <f t="shared" si="76"/>
        <v>0</v>
      </c>
      <c r="O385" s="55"/>
      <c r="P385" s="55"/>
    </row>
    <row r="386" spans="1:17" x14ac:dyDescent="0.25">
      <c r="A386" s="19" t="s">
        <v>80</v>
      </c>
      <c r="C386" s="6">
        <v>0</v>
      </c>
      <c r="D386" s="6">
        <v>0</v>
      </c>
      <c r="F386" s="24">
        <v>54</v>
      </c>
      <c r="G386" s="24"/>
      <c r="H386" s="7">
        <f t="shared" si="74"/>
        <v>0</v>
      </c>
      <c r="I386" s="7">
        <f t="shared" si="74"/>
        <v>0</v>
      </c>
      <c r="K386" s="24"/>
      <c r="L386" s="24">
        <f t="shared" si="75"/>
        <v>53</v>
      </c>
      <c r="M386" s="24"/>
      <c r="N386" s="7">
        <f t="shared" si="76"/>
        <v>0</v>
      </c>
      <c r="O386" s="57"/>
      <c r="P386" s="57"/>
    </row>
    <row r="387" spans="1:17" x14ac:dyDescent="0.25">
      <c r="A387" s="19" t="s">
        <v>81</v>
      </c>
      <c r="C387" s="6">
        <v>32595.66707920792</v>
      </c>
      <c r="D387" s="6">
        <v>42952</v>
      </c>
      <c r="F387" s="20">
        <v>4.04</v>
      </c>
      <c r="G387" s="20"/>
      <c r="H387" s="7">
        <f>ROUND($F387*C387,0)</f>
        <v>131686</v>
      </c>
      <c r="I387" s="7">
        <f>ROUND($F387*D387,0)</f>
        <v>173526</v>
      </c>
      <c r="K387" s="20"/>
      <c r="L387" s="20">
        <f t="shared" si="75"/>
        <v>3.99</v>
      </c>
      <c r="M387" s="20"/>
      <c r="N387" s="7">
        <f t="shared" si="76"/>
        <v>171378</v>
      </c>
      <c r="O387" s="55"/>
      <c r="P387" s="55"/>
    </row>
    <row r="388" spans="1:17" x14ac:dyDescent="0.25">
      <c r="A388" s="19" t="s">
        <v>82</v>
      </c>
      <c r="C388" s="6">
        <v>12234</v>
      </c>
      <c r="D388" s="6">
        <v>16126</v>
      </c>
      <c r="F388" s="24"/>
      <c r="G388" s="24"/>
      <c r="K388" s="24"/>
      <c r="L388" s="24">
        <f t="shared" si="75"/>
        <v>13.27</v>
      </c>
      <c r="M388" s="24"/>
      <c r="N388" s="7">
        <f t="shared" si="76"/>
        <v>213992</v>
      </c>
      <c r="O388" s="57"/>
      <c r="P388" s="57"/>
    </row>
    <row r="389" spans="1:17" x14ac:dyDescent="0.25">
      <c r="A389" s="19" t="s">
        <v>83</v>
      </c>
      <c r="C389" s="6">
        <v>20361.66707920792</v>
      </c>
      <c r="D389" s="6">
        <v>26826</v>
      </c>
      <c r="F389" s="24"/>
      <c r="G389" s="24"/>
      <c r="K389" s="24"/>
      <c r="L389" s="24">
        <f t="shared" si="75"/>
        <v>11.74</v>
      </c>
      <c r="M389" s="24"/>
      <c r="N389" s="7">
        <f t="shared" si="76"/>
        <v>314937</v>
      </c>
      <c r="O389" s="57"/>
      <c r="P389" s="57"/>
    </row>
    <row r="390" spans="1:17" x14ac:dyDescent="0.25">
      <c r="A390" s="19" t="s">
        <v>84</v>
      </c>
      <c r="C390" s="6">
        <v>1677508</v>
      </c>
      <c r="D390" s="6">
        <v>2218023.3846987919</v>
      </c>
      <c r="F390" s="100"/>
      <c r="G390" s="26"/>
      <c r="K390" s="100"/>
      <c r="L390" s="100">
        <f t="shared" si="75"/>
        <v>3.8877999999999999</v>
      </c>
      <c r="M390" s="26" t="s">
        <v>18</v>
      </c>
      <c r="N390" s="7">
        <f>ROUND($D390*L390/100,0)</f>
        <v>86232</v>
      </c>
      <c r="O390" s="207"/>
      <c r="P390" s="59"/>
    </row>
    <row r="391" spans="1:17" x14ac:dyDescent="0.25">
      <c r="A391" s="19" t="s">
        <v>85</v>
      </c>
      <c r="C391" s="6">
        <v>3119077</v>
      </c>
      <c r="D391" s="6">
        <v>4105852</v>
      </c>
      <c r="F391" s="100"/>
      <c r="G391" s="26"/>
      <c r="K391" s="100"/>
      <c r="L391" s="100">
        <f t="shared" si="75"/>
        <v>3.4405000000000001</v>
      </c>
      <c r="M391" s="26" t="s">
        <v>18</v>
      </c>
      <c r="N391" s="7">
        <f>ROUND($D391*L391/100,0)</f>
        <v>141262</v>
      </c>
      <c r="O391" s="207"/>
      <c r="P391" s="59"/>
    </row>
    <row r="392" spans="1:17" x14ac:dyDescent="0.25">
      <c r="A392" s="19" t="s">
        <v>86</v>
      </c>
      <c r="C392" s="6">
        <v>12671.059772427265</v>
      </c>
      <c r="D392" s="6">
        <v>16699</v>
      </c>
      <c r="F392" s="20">
        <v>14.62</v>
      </c>
      <c r="G392" s="20"/>
      <c r="H392" s="7">
        <f t="shared" ref="H392:I394" si="77">ROUND($F392*C392,0)</f>
        <v>185251</v>
      </c>
      <c r="I392" s="7">
        <f t="shared" si="77"/>
        <v>244139</v>
      </c>
      <c r="K392" s="20"/>
      <c r="L392" s="20"/>
      <c r="M392" s="20"/>
      <c r="O392" s="55"/>
      <c r="P392" s="55"/>
    </row>
    <row r="393" spans="1:17" x14ac:dyDescent="0.25">
      <c r="A393" s="19" t="s">
        <v>87</v>
      </c>
      <c r="C393" s="6">
        <v>19924.607306780654</v>
      </c>
      <c r="D393" s="6">
        <v>26252</v>
      </c>
      <c r="F393" s="20">
        <v>10.91</v>
      </c>
      <c r="G393" s="20"/>
      <c r="H393" s="7">
        <f t="shared" si="77"/>
        <v>217377</v>
      </c>
      <c r="I393" s="7">
        <f t="shared" si="77"/>
        <v>286409</v>
      </c>
      <c r="K393" s="20"/>
      <c r="L393" s="20"/>
      <c r="M393" s="20"/>
      <c r="O393" s="55"/>
      <c r="P393" s="55"/>
    </row>
    <row r="394" spans="1:17" x14ac:dyDescent="0.25">
      <c r="A394" s="19" t="s">
        <v>77</v>
      </c>
      <c r="C394" s="6">
        <v>0</v>
      </c>
      <c r="D394" s="6">
        <v>0</v>
      </c>
      <c r="F394" s="20">
        <v>-0.96</v>
      </c>
      <c r="G394" s="20"/>
      <c r="H394" s="7">
        <f t="shared" si="77"/>
        <v>0</v>
      </c>
      <c r="I394" s="7">
        <f t="shared" si="77"/>
        <v>0</v>
      </c>
      <c r="K394" s="20"/>
      <c r="L394" s="20">
        <f>L250</f>
        <v>-0.96</v>
      </c>
      <c r="M394" s="20"/>
      <c r="N394" s="7">
        <f>ROUND($D394*L394,0)</f>
        <v>0</v>
      </c>
      <c r="O394" s="55"/>
      <c r="P394" s="55"/>
    </row>
    <row r="395" spans="1:17" x14ac:dyDescent="0.25">
      <c r="A395" s="19" t="s">
        <v>88</v>
      </c>
      <c r="C395" s="6">
        <v>1998470.3955894609</v>
      </c>
      <c r="D395" s="6">
        <v>2644149</v>
      </c>
      <c r="F395" s="100">
        <v>3.8127</v>
      </c>
      <c r="G395" s="26" t="s">
        <v>18</v>
      </c>
      <c r="H395" s="7">
        <f>ROUND($F395*C395/100,0)</f>
        <v>76196</v>
      </c>
      <c r="I395" s="7">
        <f>ROUND($F395*D395/100,0)</f>
        <v>100813</v>
      </c>
      <c r="K395" s="100"/>
      <c r="L395" s="100"/>
      <c r="M395" s="26"/>
      <c r="O395" s="207"/>
      <c r="P395" s="59"/>
    </row>
    <row r="396" spans="1:17" x14ac:dyDescent="0.25">
      <c r="A396" s="19" t="s">
        <v>89</v>
      </c>
      <c r="C396" s="6">
        <v>2798114.6044105394</v>
      </c>
      <c r="D396" s="6">
        <v>3679726.3846987919</v>
      </c>
      <c r="F396" s="100">
        <v>3.5143</v>
      </c>
      <c r="G396" s="26" t="s">
        <v>18</v>
      </c>
      <c r="H396" s="7">
        <f>ROUND($F396*C396/100,0)</f>
        <v>98334</v>
      </c>
      <c r="I396" s="7">
        <f>ROUND($F396*D396/100,0)</f>
        <v>129317</v>
      </c>
      <c r="K396" s="100"/>
      <c r="L396" s="100"/>
      <c r="M396" s="26"/>
      <c r="O396" s="207"/>
      <c r="P396" s="59"/>
    </row>
    <row r="397" spans="1:17" x14ac:dyDescent="0.25">
      <c r="A397" s="19" t="s">
        <v>33</v>
      </c>
      <c r="C397" s="36">
        <v>0</v>
      </c>
      <c r="D397" s="36">
        <v>0</v>
      </c>
      <c r="H397" s="37">
        <f>H431+H465+H499</f>
        <v>0</v>
      </c>
      <c r="I397" s="37">
        <f>I431+I465+I499</f>
        <v>0</v>
      </c>
      <c r="N397" s="37"/>
      <c r="Q397" s="64"/>
    </row>
    <row r="398" spans="1:17" x14ac:dyDescent="0.25">
      <c r="A398" s="19" t="s">
        <v>34</v>
      </c>
      <c r="F398" s="23">
        <v>-3.61E-2</v>
      </c>
      <c r="G398" s="24"/>
      <c r="H398" s="7">
        <f>SUM(H392:H393,H395:H396)*$F398</f>
        <v>-20835.4038</v>
      </c>
      <c r="I398" s="7">
        <f>SUM(I392:I393,I395:I396)*$F398</f>
        <v>-27460.4758</v>
      </c>
      <c r="K398" s="93" t="str">
        <f>$K$43</f>
        <v>TAA 1 (1/1/2021)</v>
      </c>
      <c r="L398" s="23">
        <f>$L$687</f>
        <v>-2.6100000000000002E-2</v>
      </c>
      <c r="M398" s="24"/>
      <c r="N398" s="7">
        <f>L398*SUM(N388:N391)</f>
        <v>-19742.640300000003</v>
      </c>
      <c r="O398" s="65"/>
      <c r="P398" s="57"/>
    </row>
    <row r="399" spans="1:17" x14ac:dyDescent="0.25">
      <c r="A399" s="19"/>
      <c r="F399" s="23"/>
      <c r="G399" s="24"/>
      <c r="K399" s="93" t="str">
        <f>$K$44</f>
        <v>TAA 2 (1/1/2022)</v>
      </c>
      <c r="L399" s="23">
        <f>$L$688</f>
        <v>-1.2999999999999999E-2</v>
      </c>
      <c r="M399" s="24"/>
      <c r="N399" s="7">
        <f>L399*SUM(N388:N391)</f>
        <v>-9833.4989999999998</v>
      </c>
      <c r="O399" s="65"/>
      <c r="P399" s="57"/>
    </row>
    <row r="400" spans="1:17" ht="16.5" thickBot="1" x14ac:dyDescent="0.3">
      <c r="A400" s="19" t="s">
        <v>36</v>
      </c>
      <c r="C400" s="101">
        <v>4796585</v>
      </c>
      <c r="D400" s="101">
        <v>6323875.3846987914</v>
      </c>
      <c r="F400" s="41"/>
      <c r="H400" s="95">
        <f>SUM(H384:H398)</f>
        <v>712946.59620000003</v>
      </c>
      <c r="I400" s="95">
        <f>SUM(I384:I398)</f>
        <v>939249.52419999999</v>
      </c>
      <c r="K400" s="41"/>
      <c r="L400" s="41"/>
      <c r="N400" s="95">
        <f>SUM(N384:N397)</f>
        <v>959705</v>
      </c>
      <c r="O400" s="68"/>
      <c r="Q400" s="208"/>
    </row>
    <row r="401" spans="1:16" ht="16.5" thickTop="1" x14ac:dyDescent="0.25"/>
    <row r="402" spans="1:16" x14ac:dyDescent="0.25">
      <c r="A402" s="15" t="s">
        <v>94</v>
      </c>
    </row>
    <row r="403" spans="1:16" x14ac:dyDescent="0.25">
      <c r="A403" s="19" t="s">
        <v>68</v>
      </c>
      <c r="C403" s="6">
        <v>37.433333333333337</v>
      </c>
      <c r="D403" s="6">
        <v>48.191644746146238</v>
      </c>
      <c r="F403" s="20"/>
      <c r="G403" s="20"/>
      <c r="K403" s="20"/>
      <c r="L403" s="20">
        <f t="shared" ref="L403:L413" si="78">L369</f>
        <v>53</v>
      </c>
      <c r="M403" s="20"/>
      <c r="N403" s="7">
        <f>ROUND($D403*L403,0)</f>
        <v>2554</v>
      </c>
      <c r="O403" s="55"/>
      <c r="P403" s="55"/>
    </row>
    <row r="404" spans="1:16" x14ac:dyDescent="0.25">
      <c r="A404" s="19" t="s">
        <v>69</v>
      </c>
      <c r="C404" s="6">
        <v>9275</v>
      </c>
      <c r="D404" s="6">
        <v>11186.801542080006</v>
      </c>
      <c r="E404" s="24"/>
      <c r="F404" s="99"/>
      <c r="G404" s="26"/>
      <c r="J404" s="24"/>
      <c r="K404" s="99"/>
      <c r="L404" s="99">
        <f t="shared" si="78"/>
        <v>22.156199999999998</v>
      </c>
      <c r="M404" s="26" t="s">
        <v>18</v>
      </c>
      <c r="N404" s="7">
        <f t="shared" ref="N404:N411" si="79">ROUND($D404*L404/100,0)</f>
        <v>2479</v>
      </c>
      <c r="O404" s="206"/>
      <c r="P404" s="59"/>
    </row>
    <row r="405" spans="1:16" x14ac:dyDescent="0.25">
      <c r="A405" s="19" t="s">
        <v>70</v>
      </c>
      <c r="C405" s="6">
        <v>25125</v>
      </c>
      <c r="D405" s="6">
        <v>30303.869406443147</v>
      </c>
      <c r="E405" s="24"/>
      <c r="F405" s="99"/>
      <c r="G405" s="26"/>
      <c r="J405" s="24"/>
      <c r="K405" s="99"/>
      <c r="L405" s="99">
        <f t="shared" si="78"/>
        <v>4.309899999999999</v>
      </c>
      <c r="M405" s="26" t="s">
        <v>18</v>
      </c>
      <c r="N405" s="7">
        <f t="shared" si="79"/>
        <v>1306</v>
      </c>
      <c r="O405" s="206"/>
      <c r="P405" s="59"/>
    </row>
    <row r="406" spans="1:16" x14ac:dyDescent="0.25">
      <c r="A406" s="19" t="s">
        <v>71</v>
      </c>
      <c r="C406" s="6">
        <v>35390</v>
      </c>
      <c r="D406" s="6">
        <v>42684.733862448673</v>
      </c>
      <c r="E406" s="24"/>
      <c r="F406" s="99"/>
      <c r="G406" s="26"/>
      <c r="J406" s="24"/>
      <c r="K406" s="99"/>
      <c r="L406" s="99">
        <f t="shared" si="78"/>
        <v>19.607299999999999</v>
      </c>
      <c r="M406" s="26" t="s">
        <v>18</v>
      </c>
      <c r="N406" s="7">
        <f t="shared" si="79"/>
        <v>8369</v>
      </c>
      <c r="O406" s="206"/>
      <c r="P406" s="59"/>
    </row>
    <row r="407" spans="1:16" x14ac:dyDescent="0.25">
      <c r="A407" s="19" t="s">
        <v>72</v>
      </c>
      <c r="C407" s="6">
        <v>145099.5</v>
      </c>
      <c r="D407" s="6">
        <v>175008.01189811731</v>
      </c>
      <c r="E407" s="24"/>
      <c r="F407" s="99"/>
      <c r="G407" s="26"/>
      <c r="J407" s="24"/>
      <c r="K407" s="99"/>
      <c r="L407" s="99">
        <f t="shared" si="78"/>
        <v>3.8140999999999989</v>
      </c>
      <c r="M407" s="26" t="s">
        <v>18</v>
      </c>
      <c r="N407" s="7">
        <f t="shared" si="79"/>
        <v>6675</v>
      </c>
      <c r="O407" s="206"/>
      <c r="P407" s="59"/>
    </row>
    <row r="408" spans="1:16" x14ac:dyDescent="0.25">
      <c r="A408" s="19" t="s">
        <v>73</v>
      </c>
      <c r="C408" s="6">
        <v>19104.057330130072</v>
      </c>
      <c r="D408" s="6">
        <v>23041.865013550829</v>
      </c>
      <c r="E408" s="24"/>
      <c r="F408" s="99"/>
      <c r="G408" s="26"/>
      <c r="J408" s="24"/>
      <c r="K408" s="99"/>
      <c r="L408" s="99">
        <f t="shared" si="78"/>
        <v>6</v>
      </c>
      <c r="M408" s="26" t="s">
        <v>18</v>
      </c>
      <c r="N408" s="7">
        <f t="shared" si="79"/>
        <v>1383</v>
      </c>
      <c r="O408" s="206"/>
      <c r="P408" s="59"/>
    </row>
    <row r="409" spans="1:16" x14ac:dyDescent="0.25">
      <c r="A409" s="19" t="s">
        <v>74</v>
      </c>
      <c r="C409" s="6">
        <v>15295.942669869928</v>
      </c>
      <c r="D409" s="6">
        <v>18448.805934972323</v>
      </c>
      <c r="E409" s="24"/>
      <c r="F409" s="99"/>
      <c r="G409" s="26"/>
      <c r="J409" s="24"/>
      <c r="K409" s="99"/>
      <c r="L409" s="99">
        <f t="shared" si="78"/>
        <v>-2.335799999999999</v>
      </c>
      <c r="M409" s="26" t="s">
        <v>18</v>
      </c>
      <c r="N409" s="7">
        <f t="shared" si="79"/>
        <v>-431</v>
      </c>
      <c r="O409" s="206"/>
      <c r="P409" s="59"/>
    </row>
    <row r="410" spans="1:16" x14ac:dyDescent="0.25">
      <c r="A410" s="19" t="s">
        <v>75</v>
      </c>
      <c r="C410" s="6">
        <v>100234.93475251488</v>
      </c>
      <c r="D410" s="6">
        <v>120895.77602800241</v>
      </c>
      <c r="E410" s="24"/>
      <c r="F410" s="99"/>
      <c r="G410" s="26"/>
      <c r="J410" s="24"/>
      <c r="K410" s="99"/>
      <c r="L410" s="99">
        <f t="shared" si="78"/>
        <v>5.3097000000000003</v>
      </c>
      <c r="M410" s="26" t="s">
        <v>18</v>
      </c>
      <c r="N410" s="7">
        <f t="shared" si="79"/>
        <v>6419</v>
      </c>
      <c r="O410" s="206"/>
      <c r="P410" s="59"/>
    </row>
    <row r="411" spans="1:16" x14ac:dyDescent="0.25">
      <c r="A411" s="19" t="s">
        <v>76</v>
      </c>
      <c r="C411" s="6">
        <v>80254.565247485123</v>
      </c>
      <c r="D411" s="6">
        <v>96796.969732563564</v>
      </c>
      <c r="E411" s="24"/>
      <c r="F411" s="99"/>
      <c r="G411" s="26"/>
      <c r="J411" s="24"/>
      <c r="K411" s="99"/>
      <c r="L411" s="99">
        <f t="shared" si="78"/>
        <v>-2.0670999999999999</v>
      </c>
      <c r="M411" s="26" t="s">
        <v>18</v>
      </c>
      <c r="N411" s="7">
        <f t="shared" si="79"/>
        <v>-2001</v>
      </c>
      <c r="O411" s="206"/>
      <c r="P411" s="59"/>
    </row>
    <row r="412" spans="1:16" x14ac:dyDescent="0.25">
      <c r="A412" s="19" t="s">
        <v>77</v>
      </c>
      <c r="C412" s="6">
        <v>0</v>
      </c>
      <c r="D412" s="6">
        <v>0</v>
      </c>
      <c r="F412" s="20"/>
      <c r="G412" s="20"/>
      <c r="K412" s="20"/>
      <c r="L412" s="20">
        <f t="shared" si="78"/>
        <v>-0.61</v>
      </c>
      <c r="M412" s="20"/>
      <c r="N412" s="7">
        <f>ROUND($D412*L412,0)</f>
        <v>0</v>
      </c>
      <c r="O412" s="55"/>
      <c r="P412" s="55"/>
    </row>
    <row r="413" spans="1:16" x14ac:dyDescent="0.25">
      <c r="A413" s="32" t="s">
        <v>32</v>
      </c>
      <c r="C413" s="6">
        <v>0</v>
      </c>
      <c r="D413" s="6">
        <v>0</v>
      </c>
      <c r="F413" s="100"/>
      <c r="G413" s="26"/>
      <c r="K413" s="100"/>
      <c r="L413" s="100">
        <f t="shared" si="78"/>
        <v>7.125</v>
      </c>
      <c r="M413" s="26" t="s">
        <v>18</v>
      </c>
      <c r="N413" s="7">
        <f>ROUND($D413*L413/100,0)</f>
        <v>0</v>
      </c>
      <c r="O413" s="207"/>
      <c r="P413" s="59"/>
    </row>
    <row r="414" spans="1:16" x14ac:dyDescent="0.25">
      <c r="A414" s="19" t="s">
        <v>34</v>
      </c>
      <c r="F414" s="23"/>
      <c r="G414" s="24"/>
      <c r="K414" s="93" t="str">
        <f>$K$43</f>
        <v>TAA 1 (1/1/2021)</v>
      </c>
      <c r="L414" s="23">
        <f>$L$979</f>
        <v>-2.9100000000000001E-2</v>
      </c>
      <c r="M414" s="24"/>
      <c r="N414" s="7">
        <f>L414*SUM(N404:N407,N413)</f>
        <v>-547.9239</v>
      </c>
      <c r="O414" s="65"/>
      <c r="P414" s="57"/>
    </row>
    <row r="415" spans="1:16" x14ac:dyDescent="0.25">
      <c r="A415" s="19"/>
      <c r="F415" s="23"/>
      <c r="G415" s="24"/>
      <c r="K415" s="93" t="str">
        <f>$K$44</f>
        <v>TAA 2 (1/1/2022)</v>
      </c>
      <c r="L415" s="23">
        <f>$L$980</f>
        <v>-1.46E-2</v>
      </c>
      <c r="M415" s="24"/>
      <c r="N415" s="7">
        <f>L415*SUM(N404:N407,N413)</f>
        <v>-274.90339999999998</v>
      </c>
      <c r="O415" s="65"/>
      <c r="P415" s="57"/>
    </row>
    <row r="416" spans="1:16" x14ac:dyDescent="0.25">
      <c r="A416" s="19" t="s">
        <v>78</v>
      </c>
      <c r="C416" s="6">
        <v>214889.5</v>
      </c>
      <c r="D416" s="6">
        <v>259183.41670908913</v>
      </c>
      <c r="F416" s="20"/>
      <c r="G416" s="20"/>
      <c r="K416" s="20"/>
      <c r="L416" s="20"/>
      <c r="M416" s="20"/>
      <c r="N416" s="7">
        <f>SUM(N403:N413)</f>
        <v>26753</v>
      </c>
      <c r="O416" s="55"/>
      <c r="P416" s="55"/>
    </row>
    <row r="417" spans="1:17" x14ac:dyDescent="0.25">
      <c r="A417" s="19"/>
      <c r="F417" s="20"/>
      <c r="G417" s="20"/>
      <c r="K417" s="20"/>
      <c r="L417" s="20"/>
      <c r="M417" s="20"/>
      <c r="O417" s="55"/>
      <c r="P417" s="55"/>
    </row>
    <row r="418" spans="1:17" x14ac:dyDescent="0.25">
      <c r="A418" s="19" t="s">
        <v>68</v>
      </c>
      <c r="C418" s="6">
        <v>37.433333333333337</v>
      </c>
      <c r="D418" s="6">
        <v>48.191644746146238</v>
      </c>
      <c r="F418" s="24">
        <v>54</v>
      </c>
      <c r="G418" s="24"/>
      <c r="H418" s="7">
        <f t="shared" ref="H418:I420" si="80">ROUND($F418*C418,0)</f>
        <v>2021</v>
      </c>
      <c r="I418" s="7">
        <f t="shared" si="80"/>
        <v>2602</v>
      </c>
      <c r="K418" s="24"/>
      <c r="L418" s="24">
        <f t="shared" ref="L418:L425" si="81">L384</f>
        <v>53</v>
      </c>
      <c r="M418" s="24"/>
      <c r="N418" s="7">
        <f t="shared" ref="N418:N423" si="82">ROUND($D418*L418,0)</f>
        <v>2554</v>
      </c>
      <c r="O418" s="57"/>
      <c r="P418" s="57"/>
    </row>
    <row r="419" spans="1:17" x14ac:dyDescent="0.25">
      <c r="A419" s="19" t="s">
        <v>79</v>
      </c>
      <c r="C419" s="6">
        <v>0</v>
      </c>
      <c r="D419" s="6">
        <v>0</v>
      </c>
      <c r="F419" s="24">
        <v>648</v>
      </c>
      <c r="G419" s="24"/>
      <c r="H419" s="7">
        <f t="shared" si="80"/>
        <v>0</v>
      </c>
      <c r="I419" s="7">
        <f t="shared" si="80"/>
        <v>0</v>
      </c>
      <c r="K419" s="24"/>
      <c r="L419" s="24">
        <f t="shared" si="81"/>
        <v>636</v>
      </c>
      <c r="M419" s="24"/>
      <c r="N419" s="7">
        <f t="shared" si="82"/>
        <v>0</v>
      </c>
      <c r="O419" s="57"/>
      <c r="P419" s="57"/>
    </row>
    <row r="420" spans="1:17" x14ac:dyDescent="0.25">
      <c r="A420" s="19" t="s">
        <v>80</v>
      </c>
      <c r="C420" s="6">
        <v>0</v>
      </c>
      <c r="D420" s="6">
        <v>0</v>
      </c>
      <c r="F420" s="24">
        <v>54</v>
      </c>
      <c r="G420" s="24"/>
      <c r="H420" s="7">
        <f t="shared" si="80"/>
        <v>0</v>
      </c>
      <c r="I420" s="7">
        <f t="shared" si="80"/>
        <v>0</v>
      </c>
      <c r="K420" s="24"/>
      <c r="L420" s="24">
        <f t="shared" si="81"/>
        <v>53</v>
      </c>
      <c r="M420" s="24"/>
      <c r="N420" s="7">
        <f t="shared" si="82"/>
        <v>0</v>
      </c>
      <c r="O420" s="57"/>
      <c r="P420" s="57"/>
    </row>
    <row r="421" spans="1:17" x14ac:dyDescent="0.25">
      <c r="A421" s="19" t="s">
        <v>81</v>
      </c>
      <c r="C421" s="6">
        <v>1329.6670792079208</v>
      </c>
      <c r="D421" s="6">
        <v>1604</v>
      </c>
      <c r="F421" s="24">
        <v>4.04</v>
      </c>
      <c r="G421" s="24"/>
      <c r="H421" s="7">
        <f>ROUND($F421*C421,0)</f>
        <v>5372</v>
      </c>
      <c r="I421" s="7">
        <f>ROUND($F421*D421,0)</f>
        <v>6480</v>
      </c>
      <c r="K421" s="24"/>
      <c r="L421" s="24">
        <f t="shared" si="81"/>
        <v>3.99</v>
      </c>
      <c r="M421" s="24"/>
      <c r="N421" s="7">
        <f t="shared" si="82"/>
        <v>6400</v>
      </c>
      <c r="O421" s="57"/>
      <c r="P421" s="57"/>
    </row>
    <row r="422" spans="1:17" x14ac:dyDescent="0.25">
      <c r="A422" s="19" t="s">
        <v>82</v>
      </c>
      <c r="C422" s="6">
        <v>371</v>
      </c>
      <c r="D422" s="6">
        <v>447</v>
      </c>
      <c r="F422" s="24"/>
      <c r="G422" s="24"/>
      <c r="K422" s="24"/>
      <c r="L422" s="24">
        <f t="shared" si="81"/>
        <v>13.27</v>
      </c>
      <c r="M422" s="24"/>
      <c r="N422" s="7">
        <f t="shared" si="82"/>
        <v>5932</v>
      </c>
      <c r="O422" s="57"/>
      <c r="P422" s="57"/>
    </row>
    <row r="423" spans="1:17" x14ac:dyDescent="0.25">
      <c r="A423" s="19" t="s">
        <v>83</v>
      </c>
      <c r="C423" s="6">
        <v>958.66707920792078</v>
      </c>
      <c r="D423" s="6">
        <v>1156</v>
      </c>
      <c r="F423" s="24"/>
      <c r="G423" s="24"/>
      <c r="K423" s="24"/>
      <c r="L423" s="24">
        <f t="shared" si="81"/>
        <v>11.74</v>
      </c>
      <c r="M423" s="24"/>
      <c r="N423" s="7">
        <f t="shared" si="82"/>
        <v>13571</v>
      </c>
      <c r="O423" s="57"/>
      <c r="P423" s="57"/>
    </row>
    <row r="424" spans="1:17" x14ac:dyDescent="0.25">
      <c r="A424" s="19" t="s">
        <v>84</v>
      </c>
      <c r="C424" s="6">
        <v>34400</v>
      </c>
      <c r="D424" s="6">
        <v>41490.416709089128</v>
      </c>
      <c r="F424" s="100"/>
      <c r="G424" s="26"/>
      <c r="K424" s="100"/>
      <c r="L424" s="100">
        <f t="shared" si="81"/>
        <v>3.8877999999999999</v>
      </c>
      <c r="M424" s="26" t="s">
        <v>18</v>
      </c>
      <c r="N424" s="7">
        <f>ROUND($D424*L424/100,0)</f>
        <v>1613</v>
      </c>
      <c r="O424" s="207"/>
      <c r="P424" s="59"/>
    </row>
    <row r="425" spans="1:17" x14ac:dyDescent="0.25">
      <c r="A425" s="19" t="s">
        <v>85</v>
      </c>
      <c r="C425" s="6">
        <v>180489.5</v>
      </c>
      <c r="D425" s="6">
        <v>217693</v>
      </c>
      <c r="F425" s="100"/>
      <c r="G425" s="26"/>
      <c r="K425" s="100"/>
      <c r="L425" s="100">
        <f t="shared" si="81"/>
        <v>3.4405000000000001</v>
      </c>
      <c r="M425" s="26" t="s">
        <v>18</v>
      </c>
      <c r="N425" s="7">
        <f>ROUND($D425*L425/100,0)</f>
        <v>7490</v>
      </c>
      <c r="O425" s="207"/>
      <c r="P425" s="59"/>
    </row>
    <row r="426" spans="1:17" x14ac:dyDescent="0.25">
      <c r="A426" s="19" t="s">
        <v>86</v>
      </c>
      <c r="C426" s="6">
        <v>493.69099513980711</v>
      </c>
      <c r="D426" s="6">
        <v>595</v>
      </c>
      <c r="F426" s="24">
        <v>14.62</v>
      </c>
      <c r="G426" s="24"/>
      <c r="H426" s="7">
        <f t="shared" ref="H426:I428" si="83">ROUND($F426*C426,0)</f>
        <v>7218</v>
      </c>
      <c r="I426" s="7">
        <f t="shared" si="83"/>
        <v>8699</v>
      </c>
      <c r="K426" s="24"/>
      <c r="L426" s="24"/>
      <c r="M426" s="24"/>
      <c r="O426" s="57"/>
      <c r="P426" s="57"/>
    </row>
    <row r="427" spans="1:17" x14ac:dyDescent="0.25">
      <c r="A427" s="19" t="s">
        <v>87</v>
      </c>
      <c r="C427" s="6">
        <v>835.97608406811366</v>
      </c>
      <c r="D427" s="6">
        <v>1008</v>
      </c>
      <c r="F427" s="24">
        <v>10.91</v>
      </c>
      <c r="G427" s="24"/>
      <c r="H427" s="7">
        <f t="shared" si="83"/>
        <v>9120</v>
      </c>
      <c r="I427" s="7">
        <f t="shared" si="83"/>
        <v>10997</v>
      </c>
      <c r="K427" s="24"/>
      <c r="L427" s="24"/>
      <c r="M427" s="24"/>
      <c r="O427" s="57"/>
      <c r="P427" s="57"/>
    </row>
    <row r="428" spans="1:17" x14ac:dyDescent="0.25">
      <c r="A428" s="19" t="s">
        <v>77</v>
      </c>
      <c r="C428" s="6">
        <v>0</v>
      </c>
      <c r="D428" s="6">
        <v>0</v>
      </c>
      <c r="F428" s="24">
        <v>-0.96</v>
      </c>
      <c r="G428" s="24"/>
      <c r="H428" s="7">
        <f t="shared" si="83"/>
        <v>0</v>
      </c>
      <c r="I428" s="7">
        <f t="shared" si="83"/>
        <v>0</v>
      </c>
      <c r="K428" s="24"/>
      <c r="L428" s="24">
        <f>L394</f>
        <v>-0.96</v>
      </c>
      <c r="M428" s="24"/>
      <c r="N428" s="7">
        <f>ROUND($D428*L428,0)</f>
        <v>0</v>
      </c>
      <c r="O428" s="57"/>
      <c r="P428" s="57"/>
    </row>
    <row r="429" spans="1:17" x14ac:dyDescent="0.25">
      <c r="A429" s="19" t="s">
        <v>88</v>
      </c>
      <c r="C429" s="6">
        <v>96272.600187557677</v>
      </c>
      <c r="D429" s="6">
        <v>116117</v>
      </c>
      <c r="F429" s="100">
        <v>3.8127</v>
      </c>
      <c r="G429" s="26" t="s">
        <v>18</v>
      </c>
      <c r="H429" s="7">
        <f>ROUND($F429*C429/100,0)</f>
        <v>3671</v>
      </c>
      <c r="I429" s="7">
        <f>ROUND($F429*D429/100,0)</f>
        <v>4427</v>
      </c>
      <c r="K429" s="100"/>
      <c r="L429" s="100"/>
      <c r="M429" s="26"/>
      <c r="O429" s="207"/>
      <c r="P429" s="59"/>
    </row>
    <row r="430" spans="1:17" x14ac:dyDescent="0.25">
      <c r="A430" s="19" t="s">
        <v>89</v>
      </c>
      <c r="C430" s="6">
        <v>118616.89981244232</v>
      </c>
      <c r="D430" s="6">
        <v>143066.41670908913</v>
      </c>
      <c r="F430" s="100">
        <v>3.5143</v>
      </c>
      <c r="G430" s="26" t="s">
        <v>18</v>
      </c>
      <c r="H430" s="7">
        <f>ROUND($F430*C430/100,0)</f>
        <v>4169</v>
      </c>
      <c r="I430" s="7">
        <f>ROUND($F430*D430/100,0)</f>
        <v>5028</v>
      </c>
      <c r="K430" s="100"/>
      <c r="L430" s="100"/>
      <c r="M430" s="26"/>
      <c r="O430" s="207"/>
      <c r="P430" s="59"/>
    </row>
    <row r="431" spans="1:17" x14ac:dyDescent="0.25">
      <c r="A431" s="19" t="s">
        <v>33</v>
      </c>
      <c r="C431" s="36">
        <v>0</v>
      </c>
      <c r="D431" s="36">
        <v>0</v>
      </c>
      <c r="H431" s="37">
        <v>0</v>
      </c>
      <c r="I431" s="37">
        <v>0</v>
      </c>
      <c r="N431" s="37"/>
      <c r="Q431" s="64"/>
    </row>
    <row r="432" spans="1:17" x14ac:dyDescent="0.25">
      <c r="A432" s="19" t="s">
        <v>34</v>
      </c>
      <c r="F432" s="23">
        <v>-3.61E-2</v>
      </c>
      <c r="G432" s="24"/>
      <c r="H432" s="7">
        <f>SUM(H426:H427,H429:H430)*$F432</f>
        <v>-872.82579999999996</v>
      </c>
      <c r="I432" s="7">
        <f>SUM(I426:I427,I429:I430)*$F432</f>
        <v>-1052.3511000000001</v>
      </c>
      <c r="K432" s="93" t="str">
        <f>$K$43</f>
        <v>TAA 1 (1/1/2021)</v>
      </c>
      <c r="L432" s="23">
        <f>$L$687</f>
        <v>-2.6100000000000002E-2</v>
      </c>
      <c r="M432" s="24"/>
      <c r="N432" s="7">
        <f>L432*SUM(N422:N425)</f>
        <v>-746.61660000000006</v>
      </c>
      <c r="O432" s="65"/>
      <c r="P432" s="57"/>
    </row>
    <row r="433" spans="1:17" x14ac:dyDescent="0.25">
      <c r="A433" s="19"/>
      <c r="F433" s="23"/>
      <c r="G433" s="24"/>
      <c r="K433" s="93" t="str">
        <f>$K$44</f>
        <v>TAA 2 (1/1/2022)</v>
      </c>
      <c r="L433" s="23">
        <f>$L$688</f>
        <v>-1.2999999999999999E-2</v>
      </c>
      <c r="M433" s="24"/>
      <c r="N433" s="7">
        <f>L433*SUM(N422:N425)</f>
        <v>-371.87799999999999</v>
      </c>
      <c r="O433" s="65"/>
      <c r="P433" s="57"/>
    </row>
    <row r="434" spans="1:17" ht="16.5" thickBot="1" x14ac:dyDescent="0.3">
      <c r="A434" s="19" t="s">
        <v>36</v>
      </c>
      <c r="C434" s="101">
        <v>214889.5</v>
      </c>
      <c r="D434" s="101">
        <v>259183.41670908913</v>
      </c>
      <c r="F434" s="41"/>
      <c r="H434" s="95">
        <f>SUM(H418:H432)</f>
        <v>30698.174200000001</v>
      </c>
      <c r="I434" s="95">
        <f>SUM(I418:I432)</f>
        <v>37180.6489</v>
      </c>
      <c r="K434" s="41"/>
      <c r="L434" s="41"/>
      <c r="N434" s="95">
        <f>SUM(N418:N431)</f>
        <v>37560</v>
      </c>
      <c r="O434" s="68"/>
      <c r="Q434" s="208"/>
    </row>
    <row r="435" spans="1:17" ht="16.5" thickTop="1" x14ac:dyDescent="0.25"/>
    <row r="436" spans="1:17" x14ac:dyDescent="0.25">
      <c r="A436" s="15" t="s">
        <v>95</v>
      </c>
    </row>
    <row r="437" spans="1:17" x14ac:dyDescent="0.25">
      <c r="A437" s="19" t="s">
        <v>68</v>
      </c>
      <c r="C437" s="6">
        <v>412.38333333333333</v>
      </c>
      <c r="D437" s="6">
        <v>520.77474317213728</v>
      </c>
      <c r="F437" s="20"/>
      <c r="G437" s="20"/>
      <c r="K437" s="20"/>
      <c r="L437" s="20">
        <f t="shared" ref="L437:L447" si="84">L369</f>
        <v>53</v>
      </c>
      <c r="M437" s="20"/>
      <c r="N437" s="7">
        <f>ROUND($D437*L437,0)</f>
        <v>27601</v>
      </c>
      <c r="O437" s="55"/>
      <c r="P437" s="55"/>
    </row>
    <row r="438" spans="1:17" x14ac:dyDescent="0.25">
      <c r="A438" s="19" t="s">
        <v>69</v>
      </c>
      <c r="C438" s="6">
        <v>471759</v>
      </c>
      <c r="D438" s="6">
        <v>568999.92546524224</v>
      </c>
      <c r="E438" s="24"/>
      <c r="F438" s="99"/>
      <c r="G438" s="26"/>
      <c r="J438" s="24"/>
      <c r="K438" s="99"/>
      <c r="L438" s="99">
        <f t="shared" si="84"/>
        <v>22.156199999999998</v>
      </c>
      <c r="M438" s="26" t="s">
        <v>18</v>
      </c>
      <c r="N438" s="7">
        <f t="shared" ref="N438:N445" si="85">ROUND($D438*L438/100,0)</f>
        <v>126069</v>
      </c>
      <c r="O438" s="206"/>
      <c r="P438" s="59"/>
    </row>
    <row r="439" spans="1:17" x14ac:dyDescent="0.25">
      <c r="A439" s="19" t="s">
        <v>70</v>
      </c>
      <c r="C439" s="6">
        <v>1131389</v>
      </c>
      <c r="D439" s="6">
        <v>1364595.6021447284</v>
      </c>
      <c r="E439" s="24"/>
      <c r="F439" s="99"/>
      <c r="G439" s="26"/>
      <c r="J439" s="24"/>
      <c r="K439" s="99"/>
      <c r="L439" s="99">
        <f t="shared" si="84"/>
        <v>4.309899999999999</v>
      </c>
      <c r="M439" s="26" t="s">
        <v>18</v>
      </c>
      <c r="N439" s="7">
        <f t="shared" si="85"/>
        <v>58813</v>
      </c>
      <c r="O439" s="206"/>
      <c r="P439" s="59"/>
    </row>
    <row r="440" spans="1:17" x14ac:dyDescent="0.25">
      <c r="A440" s="19" t="s">
        <v>71</v>
      </c>
      <c r="C440" s="6">
        <v>798767.5</v>
      </c>
      <c r="D440" s="6">
        <v>963412.77636262984</v>
      </c>
      <c r="E440" s="24"/>
      <c r="F440" s="99"/>
      <c r="G440" s="26"/>
      <c r="J440" s="24"/>
      <c r="K440" s="99"/>
      <c r="L440" s="99">
        <f t="shared" si="84"/>
        <v>19.607299999999999</v>
      </c>
      <c r="M440" s="26" t="s">
        <v>18</v>
      </c>
      <c r="N440" s="7">
        <f t="shared" si="85"/>
        <v>188899</v>
      </c>
      <c r="O440" s="206"/>
      <c r="P440" s="59"/>
    </row>
    <row r="441" spans="1:17" x14ac:dyDescent="0.25">
      <c r="A441" s="19" t="s">
        <v>72</v>
      </c>
      <c r="C441" s="6">
        <v>2071239.9999999998</v>
      </c>
      <c r="D441" s="6">
        <v>2498172.5957970666</v>
      </c>
      <c r="E441" s="24"/>
      <c r="F441" s="99"/>
      <c r="G441" s="26"/>
      <c r="J441" s="24"/>
      <c r="K441" s="99"/>
      <c r="L441" s="99">
        <f t="shared" si="84"/>
        <v>3.8140999999999989</v>
      </c>
      <c r="M441" s="26" t="s">
        <v>18</v>
      </c>
      <c r="N441" s="7">
        <f t="shared" si="85"/>
        <v>95283</v>
      </c>
      <c r="O441" s="206"/>
      <c r="P441" s="59"/>
    </row>
    <row r="442" spans="1:17" x14ac:dyDescent="0.25">
      <c r="A442" s="19" t="s">
        <v>73</v>
      </c>
      <c r="C442" s="6">
        <v>890309.04943846958</v>
      </c>
      <c r="D442" s="6">
        <v>1073823.2503704643</v>
      </c>
      <c r="E442" s="24"/>
      <c r="F442" s="99"/>
      <c r="G442" s="26"/>
      <c r="J442" s="24"/>
      <c r="K442" s="99"/>
      <c r="L442" s="99">
        <f t="shared" si="84"/>
        <v>6</v>
      </c>
      <c r="M442" s="26" t="s">
        <v>18</v>
      </c>
      <c r="N442" s="7">
        <f t="shared" si="85"/>
        <v>64429</v>
      </c>
      <c r="O442" s="206"/>
      <c r="P442" s="59"/>
    </row>
    <row r="443" spans="1:17" x14ac:dyDescent="0.25">
      <c r="A443" s="19" t="s">
        <v>74</v>
      </c>
      <c r="C443" s="6">
        <v>712838.95056153019</v>
      </c>
      <c r="D443" s="6">
        <v>859772.27723950613</v>
      </c>
      <c r="E443" s="24"/>
      <c r="F443" s="99"/>
      <c r="G443" s="26"/>
      <c r="J443" s="24"/>
      <c r="K443" s="99"/>
      <c r="L443" s="99">
        <f t="shared" si="84"/>
        <v>-2.335799999999999</v>
      </c>
      <c r="M443" s="26" t="s">
        <v>18</v>
      </c>
      <c r="N443" s="7">
        <f t="shared" si="85"/>
        <v>-20083</v>
      </c>
      <c r="O443" s="206"/>
      <c r="P443" s="59"/>
    </row>
    <row r="444" spans="1:17" x14ac:dyDescent="0.25">
      <c r="A444" s="19" t="s">
        <v>75</v>
      </c>
      <c r="C444" s="6">
        <v>1593860.1109855603</v>
      </c>
      <c r="D444" s="6">
        <v>1922393.1803162347</v>
      </c>
      <c r="E444" s="24"/>
      <c r="F444" s="99"/>
      <c r="G444" s="26"/>
      <c r="J444" s="24"/>
      <c r="K444" s="99"/>
      <c r="L444" s="99">
        <f t="shared" si="84"/>
        <v>5.3097000000000003</v>
      </c>
      <c r="M444" s="26" t="s">
        <v>18</v>
      </c>
      <c r="N444" s="7">
        <f t="shared" si="85"/>
        <v>102073</v>
      </c>
      <c r="O444" s="206"/>
      <c r="P444" s="59"/>
    </row>
    <row r="445" spans="1:17" x14ac:dyDescent="0.25">
      <c r="A445" s="19" t="s">
        <v>76</v>
      </c>
      <c r="C445" s="6">
        <v>1276147.3890144394</v>
      </c>
      <c r="D445" s="6">
        <v>1539192.1918434615</v>
      </c>
      <c r="E445" s="24"/>
      <c r="F445" s="99"/>
      <c r="G445" s="26"/>
      <c r="J445" s="24"/>
      <c r="K445" s="99"/>
      <c r="L445" s="99">
        <f t="shared" si="84"/>
        <v>-2.0670999999999999</v>
      </c>
      <c r="M445" s="26" t="s">
        <v>18</v>
      </c>
      <c r="N445" s="7">
        <f t="shared" si="85"/>
        <v>-31817</v>
      </c>
      <c r="O445" s="206"/>
      <c r="P445" s="59"/>
    </row>
    <row r="446" spans="1:17" x14ac:dyDescent="0.25">
      <c r="A446" s="19" t="s">
        <v>77</v>
      </c>
      <c r="C446" s="6">
        <v>0</v>
      </c>
      <c r="D446" s="6">
        <v>0</v>
      </c>
      <c r="F446" s="20"/>
      <c r="G446" s="20"/>
      <c r="K446" s="20"/>
      <c r="L446" s="20">
        <f t="shared" si="84"/>
        <v>-0.61</v>
      </c>
      <c r="M446" s="20"/>
      <c r="N446" s="7">
        <f>ROUND($D446*L446,0)</f>
        <v>0</v>
      </c>
      <c r="O446" s="55"/>
      <c r="P446" s="55"/>
    </row>
    <row r="447" spans="1:17" x14ac:dyDescent="0.25">
      <c r="A447" s="32" t="s">
        <v>32</v>
      </c>
      <c r="C447" s="6">
        <v>0</v>
      </c>
      <c r="D447" s="6">
        <v>0</v>
      </c>
      <c r="F447" s="100"/>
      <c r="G447" s="26"/>
      <c r="K447" s="100"/>
      <c r="L447" s="100">
        <f t="shared" si="84"/>
        <v>7.125</v>
      </c>
      <c r="M447" s="26" t="s">
        <v>18</v>
      </c>
      <c r="N447" s="7">
        <f>ROUND($D447*L447/100,0)</f>
        <v>0</v>
      </c>
      <c r="O447" s="207"/>
      <c r="P447" s="59"/>
    </row>
    <row r="448" spans="1:17" x14ac:dyDescent="0.25">
      <c r="A448" s="19" t="s">
        <v>34</v>
      </c>
      <c r="F448" s="23"/>
      <c r="G448" s="24"/>
      <c r="K448" s="93" t="str">
        <f>$K$43</f>
        <v>TAA 1 (1/1/2021)</v>
      </c>
      <c r="L448" s="23">
        <f>$L$979</f>
        <v>-2.9100000000000001E-2</v>
      </c>
      <c r="M448" s="24"/>
      <c r="N448" s="7">
        <f>L448*SUM(N438:N441,N447)</f>
        <v>-13649.7624</v>
      </c>
      <c r="O448" s="65"/>
      <c r="P448" s="57"/>
    </row>
    <row r="449" spans="1:16" x14ac:dyDescent="0.25">
      <c r="A449" s="19"/>
      <c r="F449" s="23"/>
      <c r="G449" s="24"/>
      <c r="K449" s="93" t="str">
        <f>$K$44</f>
        <v>TAA 2 (1/1/2022)</v>
      </c>
      <c r="L449" s="23">
        <f>$L$980</f>
        <v>-1.46E-2</v>
      </c>
      <c r="M449" s="24"/>
      <c r="N449" s="7">
        <f>L449*SUM(N438:N441,N447)</f>
        <v>-6848.3343999999997</v>
      </c>
      <c r="O449" s="65"/>
      <c r="P449" s="57"/>
    </row>
    <row r="450" spans="1:16" x14ac:dyDescent="0.25">
      <c r="A450" s="19" t="s">
        <v>78</v>
      </c>
      <c r="C450" s="6">
        <v>4473155.5</v>
      </c>
      <c r="D450" s="6">
        <v>5758585.2212515902</v>
      </c>
      <c r="F450" s="20"/>
      <c r="G450" s="20"/>
      <c r="K450" s="20"/>
      <c r="L450" s="20"/>
      <c r="M450" s="20"/>
      <c r="N450" s="7">
        <f>SUM(N437:N447)</f>
        <v>611267</v>
      </c>
      <c r="O450" s="55"/>
      <c r="P450" s="55"/>
    </row>
    <row r="451" spans="1:16" x14ac:dyDescent="0.25">
      <c r="A451" s="19"/>
      <c r="F451" s="20"/>
      <c r="G451" s="20"/>
      <c r="K451" s="20"/>
      <c r="L451" s="20"/>
      <c r="M451" s="20"/>
      <c r="O451" s="55"/>
      <c r="P451" s="55"/>
    </row>
    <row r="452" spans="1:16" x14ac:dyDescent="0.25">
      <c r="A452" s="19" t="s">
        <v>68</v>
      </c>
      <c r="C452" s="6">
        <v>412.38333333333333</v>
      </c>
      <c r="D452" s="6">
        <v>520.77474317213728</v>
      </c>
      <c r="F452" s="24">
        <v>54</v>
      </c>
      <c r="G452" s="24"/>
      <c r="H452" s="7">
        <f t="shared" ref="H452:I454" si="86">ROUND($F452*C452,0)</f>
        <v>22269</v>
      </c>
      <c r="I452" s="7">
        <f t="shared" si="86"/>
        <v>28122</v>
      </c>
      <c r="K452" s="24"/>
      <c r="L452" s="24">
        <f t="shared" ref="L452:L459" si="87">L384</f>
        <v>53</v>
      </c>
      <c r="M452" s="24"/>
      <c r="N452" s="7">
        <f t="shared" ref="N452:N457" si="88">ROUND($D452*L452,0)</f>
        <v>27601</v>
      </c>
      <c r="O452" s="57"/>
      <c r="P452" s="57"/>
    </row>
    <row r="453" spans="1:16" x14ac:dyDescent="0.25">
      <c r="A453" s="19" t="s">
        <v>79</v>
      </c>
      <c r="C453" s="6">
        <v>0</v>
      </c>
      <c r="D453" s="6">
        <v>0</v>
      </c>
      <c r="F453" s="24">
        <v>648</v>
      </c>
      <c r="G453" s="24"/>
      <c r="H453" s="7">
        <f t="shared" si="86"/>
        <v>0</v>
      </c>
      <c r="I453" s="7">
        <f t="shared" si="86"/>
        <v>0</v>
      </c>
      <c r="K453" s="24"/>
      <c r="L453" s="24">
        <f t="shared" si="87"/>
        <v>636</v>
      </c>
      <c r="M453" s="24"/>
      <c r="N453" s="7">
        <f t="shared" si="88"/>
        <v>0</v>
      </c>
      <c r="O453" s="57"/>
      <c r="P453" s="57"/>
    </row>
    <row r="454" spans="1:16" x14ac:dyDescent="0.25">
      <c r="A454" s="19" t="s">
        <v>80</v>
      </c>
      <c r="C454" s="6">
        <v>0</v>
      </c>
      <c r="D454" s="6">
        <v>0</v>
      </c>
      <c r="F454" s="24">
        <v>54</v>
      </c>
      <c r="G454" s="24"/>
      <c r="H454" s="7">
        <f t="shared" si="86"/>
        <v>0</v>
      </c>
      <c r="I454" s="7">
        <f t="shared" si="86"/>
        <v>0</v>
      </c>
      <c r="K454" s="24"/>
      <c r="L454" s="24">
        <f t="shared" si="87"/>
        <v>53</v>
      </c>
      <c r="M454" s="24"/>
      <c r="N454" s="7">
        <f t="shared" si="88"/>
        <v>0</v>
      </c>
      <c r="O454" s="57"/>
      <c r="P454" s="57"/>
    </row>
    <row r="455" spans="1:16" x14ac:dyDescent="0.25">
      <c r="A455" s="19" t="s">
        <v>81</v>
      </c>
      <c r="C455" s="6">
        <v>30550</v>
      </c>
      <c r="D455" s="6">
        <v>39329</v>
      </c>
      <c r="F455" s="24">
        <v>4.04</v>
      </c>
      <c r="G455" s="24"/>
      <c r="H455" s="7">
        <f>ROUND($F455*C455,0)</f>
        <v>123422</v>
      </c>
      <c r="I455" s="7">
        <f>ROUND($F455*D455,0)</f>
        <v>158889</v>
      </c>
      <c r="K455" s="24"/>
      <c r="L455" s="24">
        <f t="shared" si="87"/>
        <v>3.99</v>
      </c>
      <c r="M455" s="24"/>
      <c r="N455" s="7">
        <f t="shared" si="88"/>
        <v>156923</v>
      </c>
      <c r="O455" s="57"/>
      <c r="P455" s="57"/>
    </row>
    <row r="456" spans="1:16" x14ac:dyDescent="0.25">
      <c r="A456" s="19" t="s">
        <v>82</v>
      </c>
      <c r="C456" s="6">
        <v>11597.5</v>
      </c>
      <c r="D456" s="6">
        <v>14930</v>
      </c>
      <c r="F456" s="24"/>
      <c r="G456" s="24"/>
      <c r="K456" s="24"/>
      <c r="L456" s="24">
        <f t="shared" si="87"/>
        <v>13.27</v>
      </c>
      <c r="M456" s="24"/>
      <c r="N456" s="7">
        <f t="shared" si="88"/>
        <v>198121</v>
      </c>
      <c r="O456" s="57"/>
      <c r="P456" s="57"/>
    </row>
    <row r="457" spans="1:16" x14ac:dyDescent="0.25">
      <c r="A457" s="19" t="s">
        <v>83</v>
      </c>
      <c r="C457" s="6">
        <v>18952.5</v>
      </c>
      <c r="D457" s="6">
        <v>24399</v>
      </c>
      <c r="F457" s="24"/>
      <c r="G457" s="24"/>
      <c r="K457" s="24"/>
      <c r="L457" s="24">
        <f t="shared" si="87"/>
        <v>11.74</v>
      </c>
      <c r="M457" s="24"/>
      <c r="N457" s="7">
        <f t="shared" si="88"/>
        <v>286444</v>
      </c>
      <c r="O457" s="57"/>
      <c r="P457" s="57"/>
    </row>
    <row r="458" spans="1:16" x14ac:dyDescent="0.25">
      <c r="A458" s="19" t="s">
        <v>84</v>
      </c>
      <c r="C458" s="6">
        <v>1603148</v>
      </c>
      <c r="D458" s="6">
        <v>2063837.2212515902</v>
      </c>
      <c r="F458" s="100"/>
      <c r="G458" s="26"/>
      <c r="K458" s="100"/>
      <c r="L458" s="100">
        <f t="shared" si="87"/>
        <v>3.8877999999999999</v>
      </c>
      <c r="M458" s="26" t="s">
        <v>18</v>
      </c>
      <c r="N458" s="7">
        <f>ROUND($D458*L458/100,0)</f>
        <v>80238</v>
      </c>
      <c r="O458" s="207"/>
      <c r="P458" s="59"/>
    </row>
    <row r="459" spans="1:16" x14ac:dyDescent="0.25">
      <c r="A459" s="19" t="s">
        <v>85</v>
      </c>
      <c r="C459" s="6">
        <v>2870007.5</v>
      </c>
      <c r="D459" s="6">
        <v>3694748</v>
      </c>
      <c r="F459" s="100"/>
      <c r="G459" s="26"/>
      <c r="K459" s="100"/>
      <c r="L459" s="100">
        <f t="shared" si="87"/>
        <v>3.4405000000000001</v>
      </c>
      <c r="M459" s="26" t="s">
        <v>18</v>
      </c>
      <c r="N459" s="7">
        <f>ROUND($D459*L459/100,0)</f>
        <v>127118</v>
      </c>
      <c r="O459" s="207"/>
      <c r="P459" s="59"/>
    </row>
    <row r="460" spans="1:16" x14ac:dyDescent="0.25">
      <c r="A460" s="19" t="s">
        <v>86</v>
      </c>
      <c r="C460" s="6">
        <v>11898.50368279063</v>
      </c>
      <c r="D460" s="6">
        <v>15318</v>
      </c>
      <c r="F460" s="24">
        <v>14.62</v>
      </c>
      <c r="G460" s="24"/>
      <c r="H460" s="7">
        <f t="shared" ref="H460:I462" si="89">ROUND($F460*C460,0)</f>
        <v>173956</v>
      </c>
      <c r="I460" s="7">
        <f t="shared" si="89"/>
        <v>223949</v>
      </c>
      <c r="K460" s="24"/>
      <c r="L460" s="24"/>
      <c r="M460" s="24"/>
      <c r="O460" s="57"/>
      <c r="P460" s="57"/>
    </row>
    <row r="461" spans="1:16" x14ac:dyDescent="0.25">
      <c r="A461" s="19" t="s">
        <v>87</v>
      </c>
      <c r="C461" s="6">
        <v>18651.49631720937</v>
      </c>
      <c r="D461" s="6">
        <v>24011</v>
      </c>
      <c r="F461" s="24">
        <v>10.91</v>
      </c>
      <c r="G461" s="24"/>
      <c r="H461" s="7">
        <f t="shared" si="89"/>
        <v>203488</v>
      </c>
      <c r="I461" s="7">
        <f t="shared" si="89"/>
        <v>261960</v>
      </c>
      <c r="K461" s="24"/>
      <c r="L461" s="24"/>
      <c r="M461" s="24"/>
      <c r="O461" s="57"/>
      <c r="P461" s="57"/>
    </row>
    <row r="462" spans="1:16" x14ac:dyDescent="0.25">
      <c r="A462" s="19" t="s">
        <v>77</v>
      </c>
      <c r="C462" s="6">
        <v>0</v>
      </c>
      <c r="D462" s="6">
        <v>0</v>
      </c>
      <c r="F462" s="24">
        <v>-0.96</v>
      </c>
      <c r="G462" s="24"/>
      <c r="H462" s="7">
        <f t="shared" si="89"/>
        <v>0</v>
      </c>
      <c r="I462" s="7">
        <f t="shared" si="89"/>
        <v>0</v>
      </c>
      <c r="K462" s="24"/>
      <c r="L462" s="24">
        <f>L394</f>
        <v>-0.96</v>
      </c>
      <c r="M462" s="24"/>
      <c r="N462" s="7">
        <f>ROUND($D462*L462,0)</f>
        <v>0</v>
      </c>
      <c r="O462" s="57"/>
      <c r="P462" s="57"/>
    </row>
    <row r="463" spans="1:16" x14ac:dyDescent="0.25">
      <c r="A463" s="19" t="s">
        <v>88</v>
      </c>
      <c r="C463" s="6">
        <v>1850523.9064960799</v>
      </c>
      <c r="D463" s="6">
        <v>2382300</v>
      </c>
      <c r="F463" s="100">
        <v>3.8127</v>
      </c>
      <c r="G463" s="26" t="s">
        <v>18</v>
      </c>
      <c r="H463" s="7">
        <f>ROUND($F463*C463/100,0)</f>
        <v>70555</v>
      </c>
      <c r="I463" s="7">
        <f>ROUND($F463*D463/100,0)</f>
        <v>90830</v>
      </c>
      <c r="K463" s="100"/>
      <c r="L463" s="100"/>
      <c r="M463" s="26"/>
      <c r="O463" s="207"/>
      <c r="P463" s="59"/>
    </row>
    <row r="464" spans="1:16" x14ac:dyDescent="0.25">
      <c r="A464" s="19" t="s">
        <v>89</v>
      </c>
      <c r="C464" s="6">
        <v>2622631.5935039204</v>
      </c>
      <c r="D464" s="6">
        <v>3376285.2212515902</v>
      </c>
      <c r="F464" s="100">
        <v>3.5143</v>
      </c>
      <c r="G464" s="26" t="s">
        <v>18</v>
      </c>
      <c r="H464" s="7">
        <f>ROUND($F464*C464/100,0)</f>
        <v>92167</v>
      </c>
      <c r="I464" s="7">
        <f>ROUND($F464*D464/100,0)</f>
        <v>118653</v>
      </c>
      <c r="K464" s="100"/>
      <c r="L464" s="100"/>
      <c r="M464" s="26"/>
      <c r="O464" s="207"/>
      <c r="P464" s="59"/>
    </row>
    <row r="465" spans="1:17" x14ac:dyDescent="0.25">
      <c r="A465" s="19" t="s">
        <v>33</v>
      </c>
      <c r="C465" s="36">
        <v>0</v>
      </c>
      <c r="D465" s="36">
        <v>0</v>
      </c>
      <c r="H465" s="37">
        <v>0</v>
      </c>
      <c r="I465" s="37">
        <v>0</v>
      </c>
      <c r="N465" s="37"/>
      <c r="Q465" s="64"/>
    </row>
    <row r="466" spans="1:17" x14ac:dyDescent="0.25">
      <c r="A466" s="19" t="s">
        <v>34</v>
      </c>
      <c r="F466" s="23">
        <v>-3.61E-2</v>
      </c>
      <c r="G466" s="24"/>
      <c r="H466" s="7">
        <f>SUM(H460:H461,H463:H464)*$F466</f>
        <v>-19499.992600000001</v>
      </c>
      <c r="I466" s="7">
        <f>SUM(I460:I461,I463:I464)*$F466</f>
        <v>-25103.6512</v>
      </c>
      <c r="K466" s="93" t="str">
        <f>$K$43</f>
        <v>TAA 1 (1/1/2021)</v>
      </c>
      <c r="L466" s="23">
        <f>$L$687</f>
        <v>-2.6100000000000002E-2</v>
      </c>
      <c r="M466" s="24"/>
      <c r="N466" s="7">
        <f>L466*SUM(N456:N459)</f>
        <v>-18059.1381</v>
      </c>
      <c r="O466" s="65"/>
      <c r="P466" s="57"/>
    </row>
    <row r="467" spans="1:17" x14ac:dyDescent="0.25">
      <c r="A467" s="19"/>
      <c r="F467" s="23"/>
      <c r="G467" s="24"/>
      <c r="K467" s="93" t="str">
        <f>$K$44</f>
        <v>TAA 2 (1/1/2022)</v>
      </c>
      <c r="L467" s="23">
        <f>$L$688</f>
        <v>-1.2999999999999999E-2</v>
      </c>
      <c r="M467" s="24"/>
      <c r="N467" s="7">
        <f>L467*SUM(N456:N459)</f>
        <v>-8994.973</v>
      </c>
      <c r="O467" s="65"/>
      <c r="P467" s="57"/>
    </row>
    <row r="468" spans="1:17" ht="16.5" thickBot="1" x14ac:dyDescent="0.3">
      <c r="A468" s="19" t="s">
        <v>36</v>
      </c>
      <c r="C468" s="101">
        <v>4473155.5</v>
      </c>
      <c r="D468" s="101">
        <v>5758585.2212515902</v>
      </c>
      <c r="F468" s="41"/>
      <c r="H468" s="95">
        <f>SUM(H452:H466)</f>
        <v>666357.0074</v>
      </c>
      <c r="I468" s="95">
        <f>SUM(I452:I466)</f>
        <v>857299.34880000004</v>
      </c>
      <c r="K468" s="41"/>
      <c r="L468" s="41"/>
      <c r="N468" s="95">
        <f>SUM(N452:N465)</f>
        <v>876445</v>
      </c>
      <c r="O468" s="68"/>
      <c r="Q468" s="208"/>
    </row>
    <row r="469" spans="1:17" ht="16.5" thickTop="1" x14ac:dyDescent="0.25"/>
    <row r="470" spans="1:17" x14ac:dyDescent="0.25">
      <c r="A470" s="15" t="s">
        <v>96</v>
      </c>
    </row>
    <row r="471" spans="1:17" x14ac:dyDescent="0.25">
      <c r="A471" s="19" t="s">
        <v>68</v>
      </c>
      <c r="C471" s="6">
        <v>12</v>
      </c>
      <c r="D471" s="6">
        <v>33</v>
      </c>
      <c r="F471" s="20"/>
      <c r="G471" s="20"/>
      <c r="K471" s="20"/>
      <c r="L471" s="20">
        <f t="shared" ref="L471:L481" si="90">L369</f>
        <v>53</v>
      </c>
      <c r="M471" s="20"/>
      <c r="N471" s="7">
        <f>ROUND($D471*L471,0)</f>
        <v>1749</v>
      </c>
      <c r="O471" s="55"/>
      <c r="P471" s="55"/>
    </row>
    <row r="472" spans="1:17" x14ac:dyDescent="0.25">
      <c r="A472" s="19" t="s">
        <v>69</v>
      </c>
      <c r="C472" s="6">
        <v>13275</v>
      </c>
      <c r="D472" s="6">
        <v>37438.428809180441</v>
      </c>
      <c r="E472" s="24"/>
      <c r="F472" s="99"/>
      <c r="G472" s="26"/>
      <c r="J472" s="24"/>
      <c r="K472" s="99"/>
      <c r="L472" s="99">
        <f t="shared" si="90"/>
        <v>22.156199999999998</v>
      </c>
      <c r="M472" s="26" t="s">
        <v>18</v>
      </c>
      <c r="N472" s="7">
        <f t="shared" ref="N472:N479" si="91">ROUND($D472*L472/100,0)</f>
        <v>8295</v>
      </c>
      <c r="O472" s="206"/>
      <c r="P472" s="59"/>
    </row>
    <row r="473" spans="1:17" x14ac:dyDescent="0.25">
      <c r="A473" s="19" t="s">
        <v>70</v>
      </c>
      <c r="C473" s="6">
        <v>26685</v>
      </c>
      <c r="D473" s="6">
        <v>75257.587402861027</v>
      </c>
      <c r="E473" s="24"/>
      <c r="F473" s="99"/>
      <c r="G473" s="26"/>
      <c r="J473" s="24"/>
      <c r="K473" s="99"/>
      <c r="L473" s="99">
        <f t="shared" si="90"/>
        <v>4.309899999999999</v>
      </c>
      <c r="M473" s="26" t="s">
        <v>18</v>
      </c>
      <c r="N473" s="7">
        <f t="shared" si="91"/>
        <v>3244</v>
      </c>
      <c r="O473" s="206"/>
      <c r="P473" s="59"/>
    </row>
    <row r="474" spans="1:17" x14ac:dyDescent="0.25">
      <c r="A474" s="19" t="s">
        <v>71</v>
      </c>
      <c r="C474" s="6">
        <v>22525</v>
      </c>
      <c r="D474" s="6">
        <v>63525.469599004857</v>
      </c>
      <c r="E474" s="24"/>
      <c r="F474" s="99"/>
      <c r="G474" s="26"/>
      <c r="J474" s="24"/>
      <c r="K474" s="99"/>
      <c r="L474" s="99">
        <f t="shared" si="90"/>
        <v>19.607299999999999</v>
      </c>
      <c r="M474" s="26" t="s">
        <v>18</v>
      </c>
      <c r="N474" s="7">
        <f t="shared" si="91"/>
        <v>12456</v>
      </c>
      <c r="O474" s="206"/>
      <c r="P474" s="59"/>
    </row>
    <row r="475" spans="1:17" x14ac:dyDescent="0.25">
      <c r="A475" s="19" t="s">
        <v>72</v>
      </c>
      <c r="C475" s="6">
        <v>46055</v>
      </c>
      <c r="D475" s="6">
        <v>129885.26092706631</v>
      </c>
      <c r="E475" s="24"/>
      <c r="F475" s="99"/>
      <c r="G475" s="26"/>
      <c r="J475" s="24"/>
      <c r="K475" s="99"/>
      <c r="L475" s="99">
        <f t="shared" si="90"/>
        <v>3.8140999999999989</v>
      </c>
      <c r="M475" s="26" t="s">
        <v>18</v>
      </c>
      <c r="N475" s="7">
        <f t="shared" si="91"/>
        <v>4954</v>
      </c>
      <c r="O475" s="206"/>
      <c r="P475" s="59"/>
    </row>
    <row r="476" spans="1:17" x14ac:dyDescent="0.25">
      <c r="A476" s="19" t="s">
        <v>73</v>
      </c>
      <c r="C476" s="6">
        <v>22191.806131162721</v>
      </c>
      <c r="D476" s="6">
        <v>62585.789377677567</v>
      </c>
      <c r="E476" s="24"/>
      <c r="F476" s="99"/>
      <c r="G476" s="26"/>
      <c r="J476" s="24"/>
      <c r="K476" s="99"/>
      <c r="L476" s="99">
        <f t="shared" si="90"/>
        <v>6</v>
      </c>
      <c r="M476" s="26" t="s">
        <v>18</v>
      </c>
      <c r="N476" s="7">
        <f t="shared" si="91"/>
        <v>3755</v>
      </c>
      <c r="O476" s="206"/>
      <c r="P476" s="59"/>
    </row>
    <row r="477" spans="1:17" x14ac:dyDescent="0.25">
      <c r="A477" s="19" t="s">
        <v>74</v>
      </c>
      <c r="C477" s="6">
        <v>17768.193868837279</v>
      </c>
      <c r="D477" s="6">
        <v>50110.226834363915</v>
      </c>
      <c r="E477" s="24"/>
      <c r="F477" s="99"/>
      <c r="G477" s="26"/>
      <c r="J477" s="24"/>
      <c r="K477" s="99"/>
      <c r="L477" s="99">
        <f t="shared" si="90"/>
        <v>-2.335799999999999</v>
      </c>
      <c r="M477" s="26" t="s">
        <v>18</v>
      </c>
      <c r="N477" s="7">
        <f t="shared" si="91"/>
        <v>-1170</v>
      </c>
      <c r="O477" s="206"/>
      <c r="P477" s="59"/>
    </row>
    <row r="478" spans="1:17" x14ac:dyDescent="0.25">
      <c r="A478" s="19" t="s">
        <v>75</v>
      </c>
      <c r="C478" s="6">
        <v>38085.937549427908</v>
      </c>
      <c r="D478" s="6">
        <v>107410.74663466282</v>
      </c>
      <c r="E478" s="24"/>
      <c r="F478" s="99"/>
      <c r="G478" s="26"/>
      <c r="J478" s="24"/>
      <c r="K478" s="99"/>
      <c r="L478" s="99">
        <f t="shared" si="90"/>
        <v>5.3097000000000003</v>
      </c>
      <c r="M478" s="26" t="s">
        <v>18</v>
      </c>
      <c r="N478" s="7">
        <f t="shared" si="91"/>
        <v>5703</v>
      </c>
      <c r="O478" s="206"/>
      <c r="P478" s="59"/>
    </row>
    <row r="479" spans="1:17" x14ac:dyDescent="0.25">
      <c r="A479" s="19" t="s">
        <v>76</v>
      </c>
      <c r="C479" s="6">
        <v>30494.062450572088</v>
      </c>
      <c r="D479" s="6">
        <v>85999.983891408338</v>
      </c>
      <c r="E479" s="24"/>
      <c r="F479" s="99"/>
      <c r="G479" s="26"/>
      <c r="J479" s="24"/>
      <c r="K479" s="99"/>
      <c r="L479" s="99">
        <f t="shared" si="90"/>
        <v>-2.0670999999999999</v>
      </c>
      <c r="M479" s="26" t="s">
        <v>18</v>
      </c>
      <c r="N479" s="7">
        <f t="shared" si="91"/>
        <v>-1778</v>
      </c>
      <c r="O479" s="206"/>
      <c r="P479" s="59"/>
    </row>
    <row r="480" spans="1:17" x14ac:dyDescent="0.25">
      <c r="A480" s="19" t="s">
        <v>77</v>
      </c>
      <c r="C480" s="6">
        <v>0</v>
      </c>
      <c r="D480" s="6">
        <v>0</v>
      </c>
      <c r="F480" s="20"/>
      <c r="G480" s="20"/>
      <c r="K480" s="20"/>
      <c r="L480" s="20">
        <f t="shared" si="90"/>
        <v>-0.61</v>
      </c>
      <c r="M480" s="20"/>
      <c r="N480" s="7">
        <f>ROUND($D480*L480,0)</f>
        <v>0</v>
      </c>
      <c r="O480" s="55"/>
      <c r="P480" s="55"/>
    </row>
    <row r="481" spans="1:16" x14ac:dyDescent="0.25">
      <c r="A481" s="32" t="s">
        <v>32</v>
      </c>
      <c r="C481" s="6">
        <v>0</v>
      </c>
      <c r="D481" s="6">
        <v>0</v>
      </c>
      <c r="F481" s="100"/>
      <c r="G481" s="26"/>
      <c r="K481" s="100"/>
      <c r="L481" s="100">
        <f t="shared" si="90"/>
        <v>7.125</v>
      </c>
      <c r="M481" s="26" t="s">
        <v>18</v>
      </c>
      <c r="N481" s="7">
        <f>ROUND($D481*L481/100,0)</f>
        <v>0</v>
      </c>
      <c r="O481" s="207"/>
      <c r="P481" s="59"/>
    </row>
    <row r="482" spans="1:16" x14ac:dyDescent="0.25">
      <c r="A482" s="19" t="s">
        <v>34</v>
      </c>
      <c r="F482" s="23"/>
      <c r="G482" s="24"/>
      <c r="K482" s="93" t="str">
        <f>$K$43</f>
        <v>TAA 1 (1/1/2021)</v>
      </c>
      <c r="L482" s="23">
        <f>$L$979</f>
        <v>-2.9100000000000001E-2</v>
      </c>
      <c r="M482" s="24"/>
      <c r="N482" s="7">
        <f>L482*SUM(N472:N475,N481)</f>
        <v>-842.41590000000008</v>
      </c>
      <c r="O482" s="65"/>
      <c r="P482" s="57"/>
    </row>
    <row r="483" spans="1:16" x14ac:dyDescent="0.25">
      <c r="A483" s="19"/>
      <c r="F483" s="23"/>
      <c r="G483" s="24"/>
      <c r="K483" s="93" t="str">
        <f>$K$44</f>
        <v>TAA 2 (1/1/2022)</v>
      </c>
      <c r="L483" s="23">
        <f>$L$980</f>
        <v>-1.46E-2</v>
      </c>
      <c r="M483" s="24"/>
      <c r="N483" s="7">
        <f>L483*SUM(N472:N475,N481)</f>
        <v>-422.65539999999999</v>
      </c>
      <c r="O483" s="65"/>
      <c r="P483" s="57"/>
    </row>
    <row r="484" spans="1:16" x14ac:dyDescent="0.25">
      <c r="A484" s="19" t="s">
        <v>78</v>
      </c>
      <c r="C484" s="6">
        <v>108540</v>
      </c>
      <c r="D484" s="6">
        <v>306106.74673811265</v>
      </c>
      <c r="F484" s="20"/>
      <c r="G484" s="20"/>
      <c r="K484" s="20"/>
      <c r="L484" s="20"/>
      <c r="M484" s="20"/>
      <c r="N484" s="7">
        <f>SUM(N471:N481)</f>
        <v>37208</v>
      </c>
      <c r="O484" s="55"/>
      <c r="P484" s="55"/>
    </row>
    <row r="485" spans="1:16" x14ac:dyDescent="0.25">
      <c r="A485" s="19"/>
      <c r="F485" s="20"/>
      <c r="G485" s="20"/>
      <c r="K485" s="20"/>
      <c r="L485" s="20"/>
      <c r="M485" s="20"/>
      <c r="O485" s="55"/>
      <c r="P485" s="55"/>
    </row>
    <row r="486" spans="1:16" x14ac:dyDescent="0.25">
      <c r="A486" s="19" t="s">
        <v>68</v>
      </c>
      <c r="C486" s="6">
        <v>12</v>
      </c>
      <c r="D486" s="6">
        <v>33</v>
      </c>
      <c r="F486" s="24">
        <v>54</v>
      </c>
      <c r="G486" s="24"/>
      <c r="H486" s="7">
        <f t="shared" ref="H486:I488" si="92">ROUND($F486*C486,0)</f>
        <v>648</v>
      </c>
      <c r="I486" s="7">
        <f t="shared" si="92"/>
        <v>1782</v>
      </c>
      <c r="K486" s="24"/>
      <c r="L486" s="24">
        <f t="shared" ref="L486:L493" si="93">L384</f>
        <v>53</v>
      </c>
      <c r="M486" s="24"/>
      <c r="N486" s="7">
        <f t="shared" ref="N486:N491" si="94">ROUND($D486*L486,0)</f>
        <v>1749</v>
      </c>
      <c r="O486" s="57"/>
      <c r="P486" s="57"/>
    </row>
    <row r="487" spans="1:16" x14ac:dyDescent="0.25">
      <c r="A487" s="19" t="s">
        <v>79</v>
      </c>
      <c r="C487" s="6">
        <v>0</v>
      </c>
      <c r="D487" s="6">
        <v>0</v>
      </c>
      <c r="F487" s="24">
        <v>648</v>
      </c>
      <c r="G487" s="24"/>
      <c r="H487" s="7">
        <f t="shared" si="92"/>
        <v>0</v>
      </c>
      <c r="I487" s="7">
        <f t="shared" si="92"/>
        <v>0</v>
      </c>
      <c r="K487" s="24"/>
      <c r="L487" s="24">
        <f t="shared" si="93"/>
        <v>636</v>
      </c>
      <c r="M487" s="24"/>
      <c r="N487" s="7">
        <f t="shared" si="94"/>
        <v>0</v>
      </c>
      <c r="O487" s="57"/>
      <c r="P487" s="57"/>
    </row>
    <row r="488" spans="1:16" x14ac:dyDescent="0.25">
      <c r="A488" s="19" t="s">
        <v>80</v>
      </c>
      <c r="C488" s="6">
        <v>0</v>
      </c>
      <c r="D488" s="6">
        <v>0</v>
      </c>
      <c r="F488" s="24">
        <v>54</v>
      </c>
      <c r="G488" s="24"/>
      <c r="H488" s="7">
        <f t="shared" si="92"/>
        <v>0</v>
      </c>
      <c r="I488" s="7">
        <f t="shared" si="92"/>
        <v>0</v>
      </c>
      <c r="K488" s="24"/>
      <c r="L488" s="24">
        <f t="shared" si="93"/>
        <v>53</v>
      </c>
      <c r="M488" s="24"/>
      <c r="N488" s="7">
        <f t="shared" si="94"/>
        <v>0</v>
      </c>
      <c r="O488" s="57"/>
      <c r="P488" s="57"/>
    </row>
    <row r="489" spans="1:16" x14ac:dyDescent="0.25">
      <c r="A489" s="19" t="s">
        <v>81</v>
      </c>
      <c r="C489" s="6">
        <v>716</v>
      </c>
      <c r="D489" s="6">
        <v>2019</v>
      </c>
      <c r="F489" s="24">
        <v>4.04</v>
      </c>
      <c r="G489" s="24"/>
      <c r="H489" s="7">
        <f>ROUND($F489*C489,0)</f>
        <v>2893</v>
      </c>
      <c r="I489" s="7">
        <f>ROUND($F489*D489,0)</f>
        <v>8157</v>
      </c>
      <c r="K489" s="24"/>
      <c r="L489" s="24">
        <f t="shared" si="93"/>
        <v>3.99</v>
      </c>
      <c r="M489" s="24"/>
      <c r="N489" s="7">
        <f t="shared" si="94"/>
        <v>8056</v>
      </c>
      <c r="O489" s="57"/>
      <c r="P489" s="57"/>
    </row>
    <row r="490" spans="1:16" x14ac:dyDescent="0.25">
      <c r="A490" s="19" t="s">
        <v>82</v>
      </c>
      <c r="C490" s="6">
        <v>265.5</v>
      </c>
      <c r="D490" s="6">
        <v>749</v>
      </c>
      <c r="F490" s="24"/>
      <c r="G490" s="24"/>
      <c r="K490" s="24"/>
      <c r="L490" s="24">
        <f t="shared" si="93"/>
        <v>13.27</v>
      </c>
      <c r="M490" s="24"/>
      <c r="N490" s="7">
        <f t="shared" si="94"/>
        <v>9939</v>
      </c>
      <c r="O490" s="57"/>
      <c r="P490" s="57"/>
    </row>
    <row r="491" spans="1:16" x14ac:dyDescent="0.25">
      <c r="A491" s="19" t="s">
        <v>83</v>
      </c>
      <c r="C491" s="6">
        <v>450.5</v>
      </c>
      <c r="D491" s="6">
        <v>1271</v>
      </c>
      <c r="F491" s="24"/>
      <c r="G491" s="24"/>
      <c r="K491" s="24"/>
      <c r="L491" s="24">
        <f t="shared" si="93"/>
        <v>11.74</v>
      </c>
      <c r="M491" s="24"/>
      <c r="N491" s="7">
        <f t="shared" si="94"/>
        <v>14922</v>
      </c>
      <c r="O491" s="57"/>
      <c r="P491" s="57"/>
    </row>
    <row r="492" spans="1:16" x14ac:dyDescent="0.25">
      <c r="A492" s="19" t="s">
        <v>84</v>
      </c>
      <c r="C492" s="6">
        <v>39960</v>
      </c>
      <c r="D492" s="6">
        <v>112695.74673811265</v>
      </c>
      <c r="F492" s="100"/>
      <c r="G492" s="26"/>
      <c r="K492" s="100"/>
      <c r="L492" s="100">
        <f t="shared" si="93"/>
        <v>3.8877999999999999</v>
      </c>
      <c r="M492" s="26" t="s">
        <v>18</v>
      </c>
      <c r="N492" s="7">
        <f>ROUND($D492*L492/100,0)</f>
        <v>4381</v>
      </c>
      <c r="O492" s="207"/>
      <c r="P492" s="59"/>
    </row>
    <row r="493" spans="1:16" x14ac:dyDescent="0.25">
      <c r="A493" s="19" t="s">
        <v>85</v>
      </c>
      <c r="C493" s="6">
        <v>68580</v>
      </c>
      <c r="D493" s="6">
        <v>193411</v>
      </c>
      <c r="F493" s="100"/>
      <c r="G493" s="26"/>
      <c r="K493" s="100"/>
      <c r="L493" s="100">
        <f t="shared" si="93"/>
        <v>3.4405000000000001</v>
      </c>
      <c r="M493" s="26" t="s">
        <v>18</v>
      </c>
      <c r="N493" s="7">
        <f>ROUND($D493*L493/100,0)</f>
        <v>6654</v>
      </c>
      <c r="O493" s="207"/>
      <c r="P493" s="59"/>
    </row>
    <row r="494" spans="1:16" x14ac:dyDescent="0.25">
      <c r="A494" s="19" t="s">
        <v>86</v>
      </c>
      <c r="C494" s="6">
        <v>278.86509449682785</v>
      </c>
      <c r="D494" s="6">
        <v>786</v>
      </c>
      <c r="F494" s="24">
        <v>14.62</v>
      </c>
      <c r="G494" s="24"/>
      <c r="H494" s="7">
        <f t="shared" ref="H494:I496" si="95">ROUND($F494*C494,0)</f>
        <v>4077</v>
      </c>
      <c r="I494" s="7">
        <f t="shared" si="95"/>
        <v>11491</v>
      </c>
      <c r="K494" s="24"/>
      <c r="L494" s="24"/>
      <c r="M494" s="24"/>
      <c r="O494" s="57"/>
      <c r="P494" s="57"/>
    </row>
    <row r="495" spans="1:16" x14ac:dyDescent="0.25">
      <c r="A495" s="19" t="s">
        <v>87</v>
      </c>
      <c r="C495" s="6">
        <v>437.13490550317215</v>
      </c>
      <c r="D495" s="6">
        <v>1233</v>
      </c>
      <c r="F495" s="24">
        <v>10.91</v>
      </c>
      <c r="G495" s="24"/>
      <c r="H495" s="7">
        <f t="shared" si="95"/>
        <v>4769</v>
      </c>
      <c r="I495" s="7">
        <f t="shared" si="95"/>
        <v>13452</v>
      </c>
      <c r="K495" s="24"/>
      <c r="L495" s="24"/>
      <c r="M495" s="24"/>
      <c r="O495" s="57"/>
      <c r="P495" s="57"/>
    </row>
    <row r="496" spans="1:16" x14ac:dyDescent="0.25">
      <c r="A496" s="19" t="s">
        <v>77</v>
      </c>
      <c r="C496" s="6">
        <v>0</v>
      </c>
      <c r="D496" s="6">
        <v>0</v>
      </c>
      <c r="F496" s="24">
        <v>-0.96</v>
      </c>
      <c r="G496" s="24"/>
      <c r="H496" s="7">
        <f t="shared" si="95"/>
        <v>0</v>
      </c>
      <c r="I496" s="7">
        <f t="shared" si="95"/>
        <v>0</v>
      </c>
      <c r="K496" s="24"/>
      <c r="L496" s="24">
        <f>L394</f>
        <v>-0.96</v>
      </c>
      <c r="M496" s="24"/>
      <c r="N496" s="7">
        <f>ROUND($D496*L496,0)</f>
        <v>0</v>
      </c>
      <c r="O496" s="57"/>
      <c r="P496" s="57"/>
    </row>
    <row r="497" spans="1:17" x14ac:dyDescent="0.25">
      <c r="A497" s="19" t="s">
        <v>88</v>
      </c>
      <c r="C497" s="6">
        <v>51673.888905823311</v>
      </c>
      <c r="D497" s="6">
        <v>145732</v>
      </c>
      <c r="F497" s="100">
        <v>3.8127</v>
      </c>
      <c r="G497" s="26" t="s">
        <v>18</v>
      </c>
      <c r="H497" s="7">
        <f>ROUND($F497*C497/100,0)</f>
        <v>1970</v>
      </c>
      <c r="I497" s="7">
        <f>ROUND($F497*D497/100,0)</f>
        <v>5556</v>
      </c>
      <c r="K497" s="100"/>
      <c r="L497" s="100"/>
      <c r="M497" s="26"/>
      <c r="O497" s="207"/>
      <c r="P497" s="59"/>
    </row>
    <row r="498" spans="1:17" x14ac:dyDescent="0.25">
      <c r="A498" s="19" t="s">
        <v>89</v>
      </c>
      <c r="C498" s="6">
        <v>56866.111094176689</v>
      </c>
      <c r="D498" s="6">
        <v>160374.74673811265</v>
      </c>
      <c r="F498" s="100">
        <v>3.5143</v>
      </c>
      <c r="G498" s="26" t="s">
        <v>18</v>
      </c>
      <c r="H498" s="7">
        <f>ROUND($F498*C498/100,0)</f>
        <v>1998</v>
      </c>
      <c r="I498" s="7">
        <f>ROUND($F498*D498/100,0)</f>
        <v>5636</v>
      </c>
      <c r="K498" s="100"/>
      <c r="L498" s="100"/>
      <c r="M498" s="26"/>
      <c r="O498" s="207"/>
      <c r="P498" s="59"/>
    </row>
    <row r="499" spans="1:17" x14ac:dyDescent="0.25">
      <c r="A499" s="19" t="s">
        <v>33</v>
      </c>
      <c r="C499" s="36">
        <v>0</v>
      </c>
      <c r="D499" s="36">
        <v>0</v>
      </c>
      <c r="H499" s="37">
        <v>0</v>
      </c>
      <c r="I499" s="37">
        <v>0</v>
      </c>
      <c r="N499" s="37"/>
      <c r="Q499" s="64"/>
    </row>
    <row r="500" spans="1:17" x14ac:dyDescent="0.25">
      <c r="A500" s="19" t="s">
        <v>34</v>
      </c>
      <c r="F500" s="23">
        <v>-3.61E-2</v>
      </c>
      <c r="G500" s="24"/>
      <c r="H500" s="7">
        <f>SUM(H494:H495,H497:H498)*$F500</f>
        <v>-462.58539999999999</v>
      </c>
      <c r="I500" s="7">
        <f>SUM(I494:I495,I497:I498)*$F500</f>
        <v>-1304.4735000000001</v>
      </c>
      <c r="K500" s="93" t="str">
        <f>$K$43</f>
        <v>TAA 1 (1/1/2021)</v>
      </c>
      <c r="L500" s="23">
        <f>$L$687</f>
        <v>-2.6100000000000002E-2</v>
      </c>
      <c r="M500" s="24"/>
      <c r="N500" s="7">
        <f>L500*SUM(N490:N493)</f>
        <v>-936.88560000000007</v>
      </c>
      <c r="O500" s="65"/>
      <c r="P500" s="57"/>
    </row>
    <row r="501" spans="1:17" x14ac:dyDescent="0.25">
      <c r="A501" s="19"/>
      <c r="F501" s="23"/>
      <c r="G501" s="24"/>
      <c r="K501" s="93" t="str">
        <f>$K$44</f>
        <v>TAA 2 (1/1/2022)</v>
      </c>
      <c r="L501" s="23">
        <f>$L$688</f>
        <v>-1.2999999999999999E-2</v>
      </c>
      <c r="M501" s="24"/>
      <c r="N501" s="7">
        <f>L501*SUM(N490:N493)</f>
        <v>-466.64799999999997</v>
      </c>
      <c r="O501" s="65"/>
      <c r="P501" s="57"/>
    </row>
    <row r="502" spans="1:17" ht="16.5" thickBot="1" x14ac:dyDescent="0.3">
      <c r="A502" s="19" t="s">
        <v>36</v>
      </c>
      <c r="C502" s="101">
        <v>108540</v>
      </c>
      <c r="D502" s="101">
        <v>306106.74673811265</v>
      </c>
      <c r="F502" s="41"/>
      <c r="H502" s="95">
        <f>SUM(H486:H500)</f>
        <v>15892.4146</v>
      </c>
      <c r="I502" s="95">
        <f>SUM(I486:I500)</f>
        <v>44769.5265</v>
      </c>
      <c r="K502" s="41"/>
      <c r="L502" s="41"/>
      <c r="N502" s="95">
        <f>SUM(N486:N499)</f>
        <v>45701</v>
      </c>
      <c r="O502" s="68"/>
      <c r="Q502" s="208"/>
    </row>
    <row r="503" spans="1:17" ht="16.5" thickTop="1" x14ac:dyDescent="0.25"/>
    <row r="504" spans="1:17" x14ac:dyDescent="0.25">
      <c r="A504" s="15" t="s">
        <v>97</v>
      </c>
    </row>
    <row r="505" spans="1:17" x14ac:dyDescent="0.25">
      <c r="A505" s="19" t="s">
        <v>68</v>
      </c>
      <c r="C505" s="6">
        <v>55.716666666666669</v>
      </c>
      <c r="D505" s="6">
        <v>157.84953632148375</v>
      </c>
      <c r="F505" s="20"/>
      <c r="G505" s="20"/>
      <c r="K505" s="20"/>
      <c r="L505" s="20">
        <f t="shared" ref="L505:L515" si="96">L369</f>
        <v>53</v>
      </c>
      <c r="M505" s="20"/>
      <c r="N505" s="7">
        <f>ROUND($D505*L505,0)</f>
        <v>8366</v>
      </c>
      <c r="O505" s="55"/>
      <c r="P505" s="55"/>
    </row>
    <row r="506" spans="1:17" x14ac:dyDescent="0.25">
      <c r="A506" s="19" t="s">
        <v>69</v>
      </c>
      <c r="C506" s="6">
        <v>111994.63366336633</v>
      </c>
      <c r="D506" s="6">
        <v>446919.92134186177</v>
      </c>
      <c r="E506" s="24"/>
      <c r="F506" s="99"/>
      <c r="G506" s="26"/>
      <c r="J506" s="24"/>
      <c r="K506" s="99"/>
      <c r="L506" s="99">
        <f t="shared" si="96"/>
        <v>22.156199999999998</v>
      </c>
      <c r="M506" s="26" t="s">
        <v>18</v>
      </c>
      <c r="N506" s="7">
        <f t="shared" ref="N506:N513" si="97">ROUND($D506*L506/100,0)</f>
        <v>99020</v>
      </c>
      <c r="O506" s="206"/>
      <c r="P506" s="59"/>
    </row>
    <row r="507" spans="1:17" x14ac:dyDescent="0.25">
      <c r="A507" s="19" t="s">
        <v>70</v>
      </c>
      <c r="C507" s="6">
        <v>266833.36633663368</v>
      </c>
      <c r="D507" s="6">
        <v>1064811.2609841989</v>
      </c>
      <c r="E507" s="24"/>
      <c r="F507" s="99"/>
      <c r="G507" s="26"/>
      <c r="J507" s="24"/>
      <c r="K507" s="99"/>
      <c r="L507" s="99">
        <f t="shared" si="96"/>
        <v>4.309899999999999</v>
      </c>
      <c r="M507" s="26" t="s">
        <v>18</v>
      </c>
      <c r="N507" s="7">
        <f t="shared" si="97"/>
        <v>45892</v>
      </c>
      <c r="O507" s="206"/>
      <c r="P507" s="59"/>
    </row>
    <row r="508" spans="1:17" x14ac:dyDescent="0.25">
      <c r="A508" s="19" t="s">
        <v>71</v>
      </c>
      <c r="C508" s="6">
        <v>151504.07425742573</v>
      </c>
      <c r="D508" s="6">
        <v>604584.22636234248</v>
      </c>
      <c r="E508" s="24"/>
      <c r="F508" s="99"/>
      <c r="G508" s="26"/>
      <c r="J508" s="24"/>
      <c r="K508" s="99"/>
      <c r="L508" s="99">
        <f t="shared" si="96"/>
        <v>19.607299999999999</v>
      </c>
      <c r="M508" s="26" t="s">
        <v>18</v>
      </c>
      <c r="N508" s="7">
        <f t="shared" si="97"/>
        <v>118543</v>
      </c>
      <c r="O508" s="206"/>
      <c r="P508" s="59"/>
    </row>
    <row r="509" spans="1:17" x14ac:dyDescent="0.25">
      <c r="A509" s="19" t="s">
        <v>72</v>
      </c>
      <c r="C509" s="6">
        <v>460068.42574257427</v>
      </c>
      <c r="D509" s="6">
        <v>1835924.9717515896</v>
      </c>
      <c r="E509" s="24"/>
      <c r="F509" s="99"/>
      <c r="G509" s="26"/>
      <c r="J509" s="24"/>
      <c r="K509" s="99"/>
      <c r="L509" s="99">
        <f t="shared" si="96"/>
        <v>3.8140999999999989</v>
      </c>
      <c r="M509" s="26" t="s">
        <v>18</v>
      </c>
      <c r="N509" s="7">
        <f t="shared" si="97"/>
        <v>70024</v>
      </c>
      <c r="O509" s="206"/>
      <c r="P509" s="59"/>
    </row>
    <row r="510" spans="1:17" x14ac:dyDescent="0.25">
      <c r="A510" s="19" t="s">
        <v>73</v>
      </c>
      <c r="C510" s="6">
        <v>210382.32064704984</v>
      </c>
      <c r="D510" s="6">
        <v>839540.67368902243</v>
      </c>
      <c r="E510" s="24"/>
      <c r="F510" s="99"/>
      <c r="G510" s="26"/>
      <c r="J510" s="24"/>
      <c r="K510" s="99"/>
      <c r="L510" s="99">
        <f t="shared" si="96"/>
        <v>6</v>
      </c>
      <c r="M510" s="26" t="s">
        <v>18</v>
      </c>
      <c r="N510" s="7">
        <f t="shared" si="97"/>
        <v>50372</v>
      </c>
      <c r="O510" s="206"/>
      <c r="P510" s="59"/>
    </row>
    <row r="511" spans="1:17" x14ac:dyDescent="0.25">
      <c r="A511" s="19" t="s">
        <v>74</v>
      </c>
      <c r="C511" s="6">
        <v>168445.67935295016</v>
      </c>
      <c r="D511" s="6">
        <v>672190.50863703794</v>
      </c>
      <c r="E511" s="24"/>
      <c r="F511" s="99"/>
      <c r="G511" s="26"/>
      <c r="J511" s="24"/>
      <c r="K511" s="99"/>
      <c r="L511" s="99">
        <f t="shared" si="96"/>
        <v>-2.335799999999999</v>
      </c>
      <c r="M511" s="26" t="s">
        <v>18</v>
      </c>
      <c r="N511" s="7">
        <f t="shared" si="97"/>
        <v>-15701</v>
      </c>
      <c r="O511" s="206"/>
      <c r="P511" s="59"/>
    </row>
    <row r="512" spans="1:17" x14ac:dyDescent="0.25">
      <c r="A512" s="19" t="s">
        <v>75</v>
      </c>
      <c r="C512" s="6">
        <v>339637.09597473755</v>
      </c>
      <c r="D512" s="6">
        <v>1355338.0126592533</v>
      </c>
      <c r="E512" s="24"/>
      <c r="F512" s="99"/>
      <c r="G512" s="26"/>
      <c r="J512" s="24"/>
      <c r="K512" s="99"/>
      <c r="L512" s="99">
        <f t="shared" si="96"/>
        <v>5.3097000000000003</v>
      </c>
      <c r="M512" s="26" t="s">
        <v>18</v>
      </c>
      <c r="N512" s="7">
        <f t="shared" si="97"/>
        <v>71964</v>
      </c>
      <c r="O512" s="206"/>
      <c r="P512" s="59"/>
    </row>
    <row r="513" spans="1:16" x14ac:dyDescent="0.25">
      <c r="A513" s="19" t="s">
        <v>76</v>
      </c>
      <c r="C513" s="6">
        <v>271935.40402526245</v>
      </c>
      <c r="D513" s="6">
        <v>1085171.1854546787</v>
      </c>
      <c r="E513" s="24"/>
      <c r="F513" s="99"/>
      <c r="G513" s="26"/>
      <c r="J513" s="24"/>
      <c r="K513" s="99"/>
      <c r="L513" s="99">
        <f t="shared" si="96"/>
        <v>-2.0670999999999999</v>
      </c>
      <c r="M513" s="26" t="s">
        <v>18</v>
      </c>
      <c r="N513" s="7">
        <f t="shared" si="97"/>
        <v>-22432</v>
      </c>
      <c r="O513" s="206"/>
      <c r="P513" s="59"/>
    </row>
    <row r="514" spans="1:16" x14ac:dyDescent="0.25">
      <c r="A514" s="19" t="s">
        <v>77</v>
      </c>
      <c r="C514" s="6">
        <v>0</v>
      </c>
      <c r="D514" s="6">
        <v>0</v>
      </c>
      <c r="F514" s="20"/>
      <c r="G514" s="20"/>
      <c r="K514" s="20"/>
      <c r="L514" s="20">
        <f t="shared" si="96"/>
        <v>-0.61</v>
      </c>
      <c r="M514" s="20"/>
      <c r="N514" s="7">
        <f>ROUND($D514*L514,0)</f>
        <v>0</v>
      </c>
      <c r="O514" s="55"/>
      <c r="P514" s="55"/>
    </row>
    <row r="515" spans="1:16" x14ac:dyDescent="0.25">
      <c r="A515" s="32" t="s">
        <v>32</v>
      </c>
      <c r="C515" s="6">
        <v>0</v>
      </c>
      <c r="D515" s="6">
        <v>0</v>
      </c>
      <c r="F515" s="100"/>
      <c r="G515" s="26"/>
      <c r="K515" s="100"/>
      <c r="L515" s="100">
        <f t="shared" si="96"/>
        <v>7.125</v>
      </c>
      <c r="M515" s="26" t="s">
        <v>18</v>
      </c>
      <c r="N515" s="7">
        <f>ROUND($D515*L515/100,0)</f>
        <v>0</v>
      </c>
      <c r="O515" s="207"/>
      <c r="P515" s="59"/>
    </row>
    <row r="516" spans="1:16" x14ac:dyDescent="0.25">
      <c r="A516" s="19" t="s">
        <v>34</v>
      </c>
      <c r="F516" s="23"/>
      <c r="G516" s="24"/>
      <c r="K516" s="93" t="str">
        <f>$K$43</f>
        <v>TAA 1 (1/1/2021)</v>
      </c>
      <c r="L516" s="23">
        <f>$L$979</f>
        <v>-2.9100000000000001E-2</v>
      </c>
      <c r="M516" s="24"/>
      <c r="N516" s="7">
        <f>L516*SUM(N506:N509,N515)</f>
        <v>-9704.2389000000003</v>
      </c>
      <c r="O516" s="65"/>
      <c r="P516" s="57"/>
    </row>
    <row r="517" spans="1:16" x14ac:dyDescent="0.25">
      <c r="A517" s="19"/>
      <c r="F517" s="23"/>
      <c r="G517" s="24"/>
      <c r="K517" s="93" t="str">
        <f>$K$44</f>
        <v>TAA 2 (1/1/2022)</v>
      </c>
      <c r="L517" s="23">
        <f>$L$980</f>
        <v>-1.46E-2</v>
      </c>
      <c r="M517" s="24"/>
      <c r="N517" s="7">
        <f>L517*SUM(N506:N509,N515)</f>
        <v>-4868.7934000000005</v>
      </c>
      <c r="O517" s="65"/>
      <c r="P517" s="57"/>
    </row>
    <row r="518" spans="1:16" x14ac:dyDescent="0.25">
      <c r="A518" s="19" t="s">
        <v>78</v>
      </c>
      <c r="C518" s="6">
        <v>990400.5</v>
      </c>
      <c r="D518" s="6">
        <v>3952240.3804399925</v>
      </c>
      <c r="F518" s="20"/>
      <c r="G518" s="20"/>
      <c r="K518" s="20"/>
      <c r="L518" s="20"/>
      <c r="M518" s="20"/>
      <c r="N518" s="7">
        <f>SUM(N505:N515)</f>
        <v>426048</v>
      </c>
      <c r="O518" s="55"/>
      <c r="P518" s="55"/>
    </row>
    <row r="519" spans="1:16" x14ac:dyDescent="0.25">
      <c r="A519" s="19"/>
      <c r="F519" s="20"/>
      <c r="G519" s="20"/>
      <c r="K519" s="20"/>
      <c r="L519" s="20"/>
      <c r="M519" s="20"/>
      <c r="O519" s="55"/>
      <c r="P519" s="55"/>
    </row>
    <row r="520" spans="1:16" x14ac:dyDescent="0.25">
      <c r="A520" s="19" t="s">
        <v>68</v>
      </c>
      <c r="C520" s="6">
        <v>55.716666666666669</v>
      </c>
      <c r="D520" s="6">
        <v>157.84953632148375</v>
      </c>
      <c r="F520" s="24">
        <v>54</v>
      </c>
      <c r="G520" s="24"/>
      <c r="H520" s="7">
        <f t="shared" ref="H520:I522" si="98">ROUND($F520*C520,0)</f>
        <v>3009</v>
      </c>
      <c r="I520" s="7">
        <f t="shared" si="98"/>
        <v>8524</v>
      </c>
      <c r="K520" s="24"/>
      <c r="L520" s="24">
        <f t="shared" ref="L520:L527" si="99">L384</f>
        <v>53</v>
      </c>
      <c r="M520" s="24"/>
      <c r="N520" s="7">
        <f t="shared" ref="N520:N525" si="100">ROUND($D520*L520,0)</f>
        <v>8366</v>
      </c>
      <c r="O520" s="57"/>
      <c r="P520" s="57"/>
    </row>
    <row r="521" spans="1:16" x14ac:dyDescent="0.25">
      <c r="A521" s="19" t="s">
        <v>79</v>
      </c>
      <c r="C521" s="6">
        <v>0</v>
      </c>
      <c r="D521" s="6">
        <v>0</v>
      </c>
      <c r="F521" s="24">
        <v>648</v>
      </c>
      <c r="G521" s="24"/>
      <c r="H521" s="7">
        <f t="shared" si="98"/>
        <v>0</v>
      </c>
      <c r="I521" s="7">
        <f t="shared" si="98"/>
        <v>0</v>
      </c>
      <c r="K521" s="24"/>
      <c r="L521" s="24">
        <f t="shared" si="99"/>
        <v>636</v>
      </c>
      <c r="M521" s="24"/>
      <c r="N521" s="7">
        <f t="shared" si="100"/>
        <v>0</v>
      </c>
      <c r="O521" s="57"/>
      <c r="P521" s="57"/>
    </row>
    <row r="522" spans="1:16" x14ac:dyDescent="0.25">
      <c r="A522" s="19" t="s">
        <v>12</v>
      </c>
      <c r="C522" s="6">
        <v>0</v>
      </c>
      <c r="D522" s="6">
        <v>0</v>
      </c>
      <c r="F522" s="24">
        <v>54</v>
      </c>
      <c r="G522" s="24"/>
      <c r="H522" s="7">
        <f t="shared" si="98"/>
        <v>0</v>
      </c>
      <c r="I522" s="7">
        <f t="shared" si="98"/>
        <v>0</v>
      </c>
      <c r="K522" s="24"/>
      <c r="L522" s="24">
        <f t="shared" si="99"/>
        <v>53</v>
      </c>
      <c r="M522" s="24"/>
      <c r="N522" s="7">
        <f t="shared" si="100"/>
        <v>0</v>
      </c>
      <c r="O522" s="57"/>
      <c r="P522" s="57"/>
    </row>
    <row r="523" spans="1:16" x14ac:dyDescent="0.25">
      <c r="A523" s="19" t="s">
        <v>81</v>
      </c>
      <c r="C523" s="6">
        <v>5287.6844059405939</v>
      </c>
      <c r="D523" s="6">
        <v>21101</v>
      </c>
      <c r="F523" s="24">
        <v>4.04</v>
      </c>
      <c r="G523" s="24"/>
      <c r="H523" s="7">
        <f>ROUND($F523*C523,0)</f>
        <v>21362</v>
      </c>
      <c r="I523" s="7">
        <f>ROUND($F523*D523,0)</f>
        <v>85248</v>
      </c>
      <c r="K523" s="24"/>
      <c r="L523" s="24">
        <f t="shared" si="99"/>
        <v>3.99</v>
      </c>
      <c r="M523" s="24"/>
      <c r="N523" s="7">
        <f t="shared" si="100"/>
        <v>84193</v>
      </c>
      <c r="O523" s="57"/>
      <c r="P523" s="57"/>
    </row>
    <row r="524" spans="1:16" x14ac:dyDescent="0.25">
      <c r="A524" s="19" t="s">
        <v>82</v>
      </c>
      <c r="C524" s="6">
        <v>2252.7326732673264</v>
      </c>
      <c r="D524" s="6">
        <v>8990</v>
      </c>
      <c r="F524" s="24"/>
      <c r="G524" s="24"/>
      <c r="K524" s="24"/>
      <c r="L524" s="24">
        <f t="shared" si="99"/>
        <v>13.27</v>
      </c>
      <c r="M524" s="24"/>
      <c r="N524" s="7">
        <f t="shared" si="100"/>
        <v>119297</v>
      </c>
      <c r="O524" s="57"/>
      <c r="P524" s="57"/>
    </row>
    <row r="525" spans="1:16" x14ac:dyDescent="0.25">
      <c r="A525" s="19" t="s">
        <v>83</v>
      </c>
      <c r="C525" s="6">
        <v>3034.9517326732675</v>
      </c>
      <c r="D525" s="6">
        <v>12111</v>
      </c>
      <c r="F525" s="24"/>
      <c r="G525" s="24"/>
      <c r="K525" s="24"/>
      <c r="L525" s="24">
        <f t="shared" si="99"/>
        <v>11.74</v>
      </c>
      <c r="M525" s="24"/>
      <c r="N525" s="7">
        <f t="shared" si="100"/>
        <v>142183</v>
      </c>
      <c r="O525" s="57"/>
      <c r="P525" s="57"/>
    </row>
    <row r="526" spans="1:16" x14ac:dyDescent="0.25">
      <c r="A526" s="19" t="s">
        <v>84</v>
      </c>
      <c r="C526" s="6">
        <v>378828</v>
      </c>
      <c r="D526" s="6">
        <v>1511731.3804399925</v>
      </c>
      <c r="F526" s="100"/>
      <c r="G526" s="26"/>
      <c r="K526" s="100"/>
      <c r="L526" s="100">
        <f t="shared" si="99"/>
        <v>3.8877999999999999</v>
      </c>
      <c r="M526" s="26" t="s">
        <v>18</v>
      </c>
      <c r="N526" s="7">
        <f>ROUND($D526*L526/100,0)</f>
        <v>58773</v>
      </c>
      <c r="O526" s="207"/>
      <c r="P526" s="59"/>
    </row>
    <row r="527" spans="1:16" x14ac:dyDescent="0.25">
      <c r="A527" s="19" t="s">
        <v>85</v>
      </c>
      <c r="C527" s="6">
        <v>611572.5</v>
      </c>
      <c r="D527" s="6">
        <v>2440509</v>
      </c>
      <c r="F527" s="100"/>
      <c r="G527" s="26"/>
      <c r="K527" s="100"/>
      <c r="L527" s="100">
        <f t="shared" si="99"/>
        <v>3.4405000000000001</v>
      </c>
      <c r="M527" s="26" t="s">
        <v>18</v>
      </c>
      <c r="N527" s="7">
        <f>ROUND($D527*L527/100,0)</f>
        <v>83966</v>
      </c>
      <c r="O527" s="207"/>
      <c r="P527" s="59"/>
    </row>
    <row r="528" spans="1:16" x14ac:dyDescent="0.25">
      <c r="A528" s="19" t="s">
        <v>86</v>
      </c>
      <c r="C528" s="6">
        <v>2627.3123887994552</v>
      </c>
      <c r="D528" s="6">
        <v>10484</v>
      </c>
      <c r="F528" s="24">
        <v>14.62</v>
      </c>
      <c r="G528" s="24"/>
      <c r="H528" s="7">
        <f t="shared" ref="H528:I530" si="101">ROUND($F528*C528,0)</f>
        <v>38411</v>
      </c>
      <c r="I528" s="7">
        <f t="shared" si="101"/>
        <v>153276</v>
      </c>
      <c r="K528" s="24"/>
      <c r="L528" s="24"/>
      <c r="M528" s="24"/>
      <c r="O528" s="57"/>
      <c r="P528" s="57"/>
    </row>
    <row r="529" spans="1:17" x14ac:dyDescent="0.25">
      <c r="A529" s="19" t="s">
        <v>87</v>
      </c>
      <c r="C529" s="6">
        <v>2660.3720171411387</v>
      </c>
      <c r="D529" s="6">
        <v>10616</v>
      </c>
      <c r="F529" s="24">
        <v>10.91</v>
      </c>
      <c r="G529" s="24"/>
      <c r="H529" s="7">
        <f t="shared" si="101"/>
        <v>29025</v>
      </c>
      <c r="I529" s="7">
        <f t="shared" si="101"/>
        <v>115821</v>
      </c>
      <c r="K529" s="24"/>
      <c r="L529" s="24"/>
      <c r="M529" s="24"/>
      <c r="O529" s="57"/>
      <c r="P529" s="57"/>
    </row>
    <row r="530" spans="1:17" x14ac:dyDescent="0.25">
      <c r="A530" s="19" t="s">
        <v>77</v>
      </c>
      <c r="C530" s="6">
        <v>0</v>
      </c>
      <c r="D530" s="6">
        <v>0</v>
      </c>
      <c r="F530" s="24">
        <v>-0.96</v>
      </c>
      <c r="G530" s="24"/>
      <c r="H530" s="7">
        <f t="shared" si="101"/>
        <v>0</v>
      </c>
      <c r="I530" s="7">
        <f t="shared" si="101"/>
        <v>0</v>
      </c>
      <c r="K530" s="24"/>
      <c r="L530" s="24">
        <f>L394</f>
        <v>-0.96</v>
      </c>
      <c r="M530" s="24"/>
      <c r="N530" s="7">
        <f>ROUND($D530*L530,0)</f>
        <v>0</v>
      </c>
      <c r="O530" s="57"/>
      <c r="P530" s="57"/>
    </row>
    <row r="531" spans="1:17" x14ac:dyDescent="0.25">
      <c r="A531" s="19" t="s">
        <v>88</v>
      </c>
      <c r="C531" s="6">
        <v>466945.20143776794</v>
      </c>
      <c r="D531" s="6">
        <v>1863367</v>
      </c>
      <c r="F531" s="100">
        <v>3.8127</v>
      </c>
      <c r="G531" s="26" t="s">
        <v>18</v>
      </c>
      <c r="H531" s="7">
        <f>ROUND($F531*C531/100,0)</f>
        <v>17803</v>
      </c>
      <c r="I531" s="7">
        <f>ROUND($F531*D531/100,0)</f>
        <v>71045</v>
      </c>
      <c r="K531" s="100"/>
      <c r="L531" s="100"/>
      <c r="M531" s="26"/>
      <c r="O531" s="207"/>
      <c r="P531" s="59"/>
    </row>
    <row r="532" spans="1:17" x14ac:dyDescent="0.25">
      <c r="A532" s="19" t="s">
        <v>89</v>
      </c>
      <c r="C532" s="6">
        <v>523455.29856223206</v>
      </c>
      <c r="D532" s="6">
        <v>2088873.3804399925</v>
      </c>
      <c r="F532" s="100">
        <v>3.5143</v>
      </c>
      <c r="G532" s="26" t="s">
        <v>18</v>
      </c>
      <c r="H532" s="7">
        <f>ROUND($F532*C532/100,0)</f>
        <v>18396</v>
      </c>
      <c r="I532" s="7">
        <f>ROUND($F532*D532/100,0)</f>
        <v>73409</v>
      </c>
      <c r="K532" s="100"/>
      <c r="L532" s="100"/>
      <c r="M532" s="26"/>
      <c r="O532" s="207"/>
      <c r="P532" s="59"/>
    </row>
    <row r="533" spans="1:17" x14ac:dyDescent="0.25">
      <c r="A533" s="19" t="s">
        <v>33</v>
      </c>
      <c r="C533" s="36">
        <v>0</v>
      </c>
      <c r="D533" s="36">
        <v>0</v>
      </c>
      <c r="H533" s="37">
        <v>0</v>
      </c>
      <c r="I533" s="37">
        <v>0</v>
      </c>
      <c r="N533" s="37"/>
      <c r="Q533" s="64"/>
    </row>
    <row r="534" spans="1:17" x14ac:dyDescent="0.25">
      <c r="A534" s="19" t="s">
        <v>34</v>
      </c>
      <c r="F534" s="23">
        <v>-3.61E-2</v>
      </c>
      <c r="G534" s="24"/>
      <c r="H534" s="7">
        <f>SUM(H528:H529,H531:H532)*$F534</f>
        <v>-3741.2235000000001</v>
      </c>
      <c r="I534" s="7">
        <f>SUM(I528:I529,I531:I532)*$F534</f>
        <v>-14929.1911</v>
      </c>
      <c r="K534" s="93" t="str">
        <f>$K$43</f>
        <v>TAA 1 (1/1/2021)</v>
      </c>
      <c r="L534" s="23">
        <f>$L$687</f>
        <v>-2.6100000000000002E-2</v>
      </c>
      <c r="M534" s="24"/>
      <c r="N534" s="7">
        <f>L534*SUM(N524:N527)</f>
        <v>-10550.115900000001</v>
      </c>
      <c r="O534" s="65"/>
      <c r="P534" s="57"/>
    </row>
    <row r="535" spans="1:17" x14ac:dyDescent="0.25">
      <c r="A535" s="19"/>
      <c r="F535" s="23"/>
      <c r="G535" s="24"/>
      <c r="K535" s="93" t="str">
        <f>$K$44</f>
        <v>TAA 2 (1/1/2022)</v>
      </c>
      <c r="L535" s="23">
        <f>$L$688</f>
        <v>-1.2999999999999999E-2</v>
      </c>
      <c r="M535" s="24"/>
      <c r="N535" s="7">
        <f>L535*SUM(N524:N527)</f>
        <v>-5254.8469999999998</v>
      </c>
      <c r="O535" s="65"/>
      <c r="P535" s="57"/>
    </row>
    <row r="536" spans="1:17" ht="16.5" thickBot="1" x14ac:dyDescent="0.3">
      <c r="A536" s="19" t="s">
        <v>36</v>
      </c>
      <c r="C536" s="101">
        <v>990400.5</v>
      </c>
      <c r="D536" s="101">
        <v>3952240.3804399925</v>
      </c>
      <c r="F536" s="41"/>
      <c r="H536" s="95">
        <f>SUM(H520:H534)</f>
        <v>124264.77650000001</v>
      </c>
      <c r="I536" s="95">
        <f>SUM(I520:I534)</f>
        <v>492393.8089</v>
      </c>
      <c r="K536" s="41"/>
      <c r="L536" s="41"/>
      <c r="N536" s="95">
        <f>SUM(N520:N533)</f>
        <v>496778</v>
      </c>
      <c r="O536" s="68"/>
      <c r="Q536" s="208"/>
    </row>
    <row r="537" spans="1:17" ht="16.5" thickTop="1" x14ac:dyDescent="0.25"/>
    <row r="538" spans="1:17" x14ac:dyDescent="0.25">
      <c r="A538" s="15" t="s">
        <v>98</v>
      </c>
      <c r="E538" s="24"/>
      <c r="J538" s="24"/>
    </row>
    <row r="539" spans="1:17" x14ac:dyDescent="0.25">
      <c r="A539" s="19" t="s">
        <v>68</v>
      </c>
      <c r="C539" s="6">
        <v>63</v>
      </c>
      <c r="D539" s="6">
        <v>69.151622418879057</v>
      </c>
      <c r="F539" s="20"/>
      <c r="G539" s="20"/>
      <c r="K539" s="20"/>
      <c r="L539" s="20">
        <f>L969</f>
        <v>53</v>
      </c>
      <c r="M539" s="20"/>
      <c r="N539" s="7">
        <f>ROUND($D539*L539,0)</f>
        <v>3665</v>
      </c>
      <c r="O539" s="55"/>
      <c r="P539" s="55"/>
    </row>
    <row r="540" spans="1:17" x14ac:dyDescent="0.25">
      <c r="A540" s="19" t="s">
        <v>69</v>
      </c>
      <c r="C540" s="6">
        <v>22414.5</v>
      </c>
      <c r="D540" s="6">
        <v>23181.405554894285</v>
      </c>
      <c r="E540" s="24"/>
      <c r="F540" s="99"/>
      <c r="G540" s="26"/>
      <c r="J540" s="24"/>
      <c r="K540" s="99"/>
      <c r="L540" s="99">
        <f>L961</f>
        <v>22.156199999999998</v>
      </c>
      <c r="M540" s="26" t="s">
        <v>18</v>
      </c>
      <c r="N540" s="7">
        <f t="shared" ref="N540:N547" si="102">ROUND($D540*L540/100,0)</f>
        <v>5136</v>
      </c>
      <c r="O540" s="206"/>
      <c r="P540" s="59"/>
    </row>
    <row r="541" spans="1:17" x14ac:dyDescent="0.25">
      <c r="A541" s="19" t="s">
        <v>70</v>
      </c>
      <c r="C541" s="6">
        <v>29653.5</v>
      </c>
      <c r="D541" s="6">
        <v>32182.25158153542</v>
      </c>
      <c r="E541" s="24"/>
      <c r="F541" s="99"/>
      <c r="G541" s="26"/>
      <c r="J541" s="24"/>
      <c r="K541" s="99"/>
      <c r="L541" s="99">
        <f t="shared" ref="L541:L547" si="103">L962</f>
        <v>4.309899999999999</v>
      </c>
      <c r="M541" s="26" t="s">
        <v>18</v>
      </c>
      <c r="N541" s="7">
        <f t="shared" si="102"/>
        <v>1387</v>
      </c>
      <c r="O541" s="206"/>
      <c r="P541" s="59"/>
    </row>
    <row r="542" spans="1:17" x14ac:dyDescent="0.25">
      <c r="A542" s="19" t="s">
        <v>71</v>
      </c>
      <c r="C542" s="6">
        <v>49842</v>
      </c>
      <c r="D542" s="6">
        <v>59234.229549653035</v>
      </c>
      <c r="E542" s="24"/>
      <c r="F542" s="99"/>
      <c r="G542" s="26"/>
      <c r="J542" s="24"/>
      <c r="K542" s="99"/>
      <c r="L542" s="99">
        <f t="shared" si="103"/>
        <v>19.607299999999999</v>
      </c>
      <c r="M542" s="26" t="s">
        <v>18</v>
      </c>
      <c r="N542" s="7">
        <f t="shared" si="102"/>
        <v>11614</v>
      </c>
      <c r="O542" s="206"/>
      <c r="P542" s="59"/>
    </row>
    <row r="543" spans="1:17" x14ac:dyDescent="0.25">
      <c r="A543" s="19" t="s">
        <v>72</v>
      </c>
      <c r="C543" s="6">
        <v>25704.5</v>
      </c>
      <c r="D543" s="6">
        <v>26202.396718020587</v>
      </c>
      <c r="E543" s="24"/>
      <c r="F543" s="99"/>
      <c r="G543" s="26"/>
      <c r="J543" s="24"/>
      <c r="K543" s="99"/>
      <c r="L543" s="99">
        <f t="shared" si="103"/>
        <v>3.8140999999999989</v>
      </c>
      <c r="M543" s="26" t="s">
        <v>18</v>
      </c>
      <c r="N543" s="7">
        <f t="shared" si="102"/>
        <v>999</v>
      </c>
      <c r="O543" s="206"/>
      <c r="P543" s="59"/>
    </row>
    <row r="544" spans="1:17" x14ac:dyDescent="0.25">
      <c r="A544" s="19" t="s">
        <v>73</v>
      </c>
      <c r="C544" s="6">
        <v>28915.990030965484</v>
      </c>
      <c r="D544" s="6">
        <v>30746.234881977271</v>
      </c>
      <c r="E544" s="24"/>
      <c r="F544" s="99"/>
      <c r="G544" s="26"/>
      <c r="J544" s="24"/>
      <c r="K544" s="99"/>
      <c r="L544" s="99">
        <f t="shared" si="103"/>
        <v>6</v>
      </c>
      <c r="M544" s="26" t="s">
        <v>18</v>
      </c>
      <c r="N544" s="7">
        <f t="shared" si="102"/>
        <v>1845</v>
      </c>
      <c r="O544" s="206"/>
      <c r="P544" s="59"/>
    </row>
    <row r="545" spans="1:16" x14ac:dyDescent="0.25">
      <c r="A545" s="19" t="s">
        <v>74</v>
      </c>
      <c r="C545" s="6">
        <v>23152.009969034516</v>
      </c>
      <c r="D545" s="6">
        <v>24617.422254452438</v>
      </c>
      <c r="E545" s="24"/>
      <c r="F545" s="99"/>
      <c r="G545" s="26"/>
      <c r="J545" s="24"/>
      <c r="K545" s="99"/>
      <c r="L545" s="99">
        <f t="shared" si="103"/>
        <v>-2.335799999999999</v>
      </c>
      <c r="M545" s="26" t="s">
        <v>18</v>
      </c>
      <c r="N545" s="7">
        <f t="shared" si="102"/>
        <v>-575</v>
      </c>
      <c r="O545" s="206"/>
      <c r="P545" s="59"/>
    </row>
    <row r="546" spans="1:16" x14ac:dyDescent="0.25">
      <c r="A546" s="19" t="s">
        <v>75</v>
      </c>
      <c r="C546" s="6">
        <v>41954.78683403114</v>
      </c>
      <c r="D546" s="6">
        <v>47447.273439259698</v>
      </c>
      <c r="E546" s="24"/>
      <c r="F546" s="99"/>
      <c r="G546" s="26"/>
      <c r="J546" s="24"/>
      <c r="K546" s="99"/>
      <c r="L546" s="99">
        <f t="shared" si="103"/>
        <v>5.3097000000000003</v>
      </c>
      <c r="M546" s="26" t="s">
        <v>18</v>
      </c>
      <c r="N546" s="7">
        <f t="shared" si="102"/>
        <v>2519</v>
      </c>
      <c r="O546" s="206"/>
      <c r="P546" s="59"/>
    </row>
    <row r="547" spans="1:16" x14ac:dyDescent="0.25">
      <c r="A547" s="19" t="s">
        <v>76</v>
      </c>
      <c r="C547" s="6">
        <v>33591.713165968853</v>
      </c>
      <c r="D547" s="6">
        <v>37989.352828413917</v>
      </c>
      <c r="E547" s="24"/>
      <c r="F547" s="99"/>
      <c r="G547" s="26"/>
      <c r="J547" s="24"/>
      <c r="K547" s="99"/>
      <c r="L547" s="99">
        <f t="shared" si="103"/>
        <v>-2.0670999999999999</v>
      </c>
      <c r="M547" s="26" t="s">
        <v>18</v>
      </c>
      <c r="N547" s="7">
        <f t="shared" si="102"/>
        <v>-785</v>
      </c>
      <c r="O547" s="206"/>
      <c r="P547" s="59"/>
    </row>
    <row r="548" spans="1:16" x14ac:dyDescent="0.25">
      <c r="A548" s="19" t="s">
        <v>77</v>
      </c>
      <c r="C548" s="6">
        <v>0</v>
      </c>
      <c r="D548" s="6">
        <v>0</v>
      </c>
      <c r="F548" s="20"/>
      <c r="G548" s="20"/>
      <c r="K548" s="20"/>
      <c r="L548" s="20">
        <f>L996</f>
        <v>-0.61</v>
      </c>
      <c r="M548" s="20"/>
      <c r="N548" s="7">
        <f>ROUND($D548*L548,0)</f>
        <v>0</v>
      </c>
      <c r="O548" s="55"/>
      <c r="P548" s="55"/>
    </row>
    <row r="549" spans="1:16" x14ac:dyDescent="0.25">
      <c r="A549" s="32" t="s">
        <v>32</v>
      </c>
      <c r="C549" s="6">
        <v>0</v>
      </c>
      <c r="D549" s="6">
        <v>0</v>
      </c>
      <c r="F549" s="100"/>
      <c r="G549" s="26"/>
      <c r="K549" s="100"/>
      <c r="L549" s="100">
        <f>L1001</f>
        <v>7.125</v>
      </c>
      <c r="M549" s="26" t="s">
        <v>18</v>
      </c>
      <c r="N549" s="7">
        <f>ROUND($D549*L549/100,0)</f>
        <v>0</v>
      </c>
      <c r="O549" s="207"/>
      <c r="P549" s="59"/>
    </row>
    <row r="550" spans="1:16" x14ac:dyDescent="0.25">
      <c r="A550" s="19" t="s">
        <v>34</v>
      </c>
      <c r="F550" s="23"/>
      <c r="G550" s="24"/>
      <c r="K550" s="93" t="str">
        <f>$K$43</f>
        <v>TAA 1 (1/1/2021)</v>
      </c>
      <c r="L550" s="23">
        <f>$L$979</f>
        <v>-2.9100000000000001E-2</v>
      </c>
      <c r="M550" s="24"/>
      <c r="N550" s="7">
        <f>L550*SUM(N540:N543,N549)</f>
        <v>-556.85760000000005</v>
      </c>
      <c r="O550" s="65"/>
      <c r="P550" s="57"/>
    </row>
    <row r="551" spans="1:16" x14ac:dyDescent="0.25">
      <c r="A551" s="19"/>
      <c r="F551" s="23"/>
      <c r="G551" s="24"/>
      <c r="K551" s="93" t="str">
        <f>$K$44</f>
        <v>TAA 2 (1/1/2022)</v>
      </c>
      <c r="L551" s="23">
        <f>$L$980</f>
        <v>-1.46E-2</v>
      </c>
      <c r="M551" s="24"/>
      <c r="N551" s="7">
        <f>L551*SUM(N540:N543,N549)</f>
        <v>-279.38560000000001</v>
      </c>
      <c r="O551" s="65"/>
      <c r="P551" s="57"/>
    </row>
    <row r="552" spans="1:16" x14ac:dyDescent="0.25">
      <c r="A552" s="19" t="s">
        <v>78</v>
      </c>
      <c r="C552" s="6">
        <v>127614.5</v>
      </c>
      <c r="D552" s="6">
        <v>140800.28340410333</v>
      </c>
      <c r="F552" s="20"/>
      <c r="G552" s="20"/>
      <c r="K552" s="20"/>
      <c r="L552" s="20"/>
      <c r="M552" s="20"/>
      <c r="N552" s="7">
        <f>SUM(N539:N549)</f>
        <v>25805</v>
      </c>
      <c r="O552" s="55"/>
      <c r="P552" s="55"/>
    </row>
    <row r="553" spans="1:16" x14ac:dyDescent="0.25">
      <c r="A553" s="19"/>
      <c r="F553" s="20"/>
      <c r="G553" s="20"/>
      <c r="K553" s="20"/>
      <c r="L553" s="20"/>
      <c r="M553" s="20"/>
      <c r="O553" s="55"/>
      <c r="P553" s="55"/>
    </row>
    <row r="554" spans="1:16" x14ac:dyDescent="0.25">
      <c r="A554" s="19" t="s">
        <v>68</v>
      </c>
      <c r="C554" s="6">
        <v>63</v>
      </c>
      <c r="D554" s="6">
        <v>69.151622418879057</v>
      </c>
      <c r="F554" s="20">
        <v>54</v>
      </c>
      <c r="G554" s="20"/>
      <c r="H554" s="7">
        <f t="shared" ref="H554:I555" si="104">ROUND($F554*C554,0)</f>
        <v>3402</v>
      </c>
      <c r="I554" s="7">
        <f t="shared" si="104"/>
        <v>3734</v>
      </c>
      <c r="K554" s="20"/>
      <c r="L554" s="20">
        <f t="shared" ref="L554:L560" si="105">L889</f>
        <v>53</v>
      </c>
      <c r="M554" s="20"/>
      <c r="N554" s="7">
        <f>ROUND($D554*L554,0)</f>
        <v>3665</v>
      </c>
      <c r="O554" s="55"/>
      <c r="P554" s="55"/>
    </row>
    <row r="555" spans="1:16" x14ac:dyDescent="0.25">
      <c r="A555" s="19" t="s">
        <v>79</v>
      </c>
      <c r="C555" s="6">
        <v>0</v>
      </c>
      <c r="D555" s="6">
        <v>0</v>
      </c>
      <c r="E555" s="24"/>
      <c r="F555" s="20">
        <v>648</v>
      </c>
      <c r="G555" s="20"/>
      <c r="H555" s="7">
        <f t="shared" si="104"/>
        <v>0</v>
      </c>
      <c r="I555" s="7">
        <f t="shared" si="104"/>
        <v>0</v>
      </c>
      <c r="J555" s="24"/>
      <c r="K555" s="20"/>
      <c r="L555" s="20">
        <f t="shared" si="105"/>
        <v>636</v>
      </c>
      <c r="M555" s="20"/>
      <c r="N555" s="7">
        <f>ROUND($D555*L555,0)</f>
        <v>0</v>
      </c>
      <c r="O555" s="55"/>
      <c r="P555" s="55"/>
    </row>
    <row r="556" spans="1:16" x14ac:dyDescent="0.25">
      <c r="A556" s="19" t="s">
        <v>81</v>
      </c>
      <c r="C556" s="6">
        <v>2545.5</v>
      </c>
      <c r="D556" s="6">
        <v>2794</v>
      </c>
      <c r="F556" s="20">
        <v>4.04</v>
      </c>
      <c r="G556" s="20"/>
      <c r="H556" s="7">
        <f>ROUND($F556*C556,0)</f>
        <v>10284</v>
      </c>
      <c r="I556" s="7">
        <f>ROUND($F556*D556,0)</f>
        <v>11288</v>
      </c>
      <c r="K556" s="20"/>
      <c r="L556" s="20">
        <f t="shared" si="105"/>
        <v>3.99</v>
      </c>
      <c r="M556" s="20"/>
      <c r="N556" s="7">
        <f>ROUND($D556*L556,0)</f>
        <v>11148</v>
      </c>
      <c r="O556" s="55"/>
      <c r="P556" s="55"/>
    </row>
    <row r="557" spans="1:16" x14ac:dyDescent="0.25">
      <c r="A557" s="19" t="s">
        <v>99</v>
      </c>
      <c r="C557" s="6">
        <v>813.5</v>
      </c>
      <c r="D557" s="6">
        <v>832</v>
      </c>
      <c r="F557" s="24"/>
      <c r="G557" s="24"/>
      <c r="K557" s="24"/>
      <c r="L557" s="24">
        <f t="shared" si="105"/>
        <v>13.27</v>
      </c>
      <c r="M557" s="24"/>
      <c r="N557" s="7">
        <f>ROUND($D557*L557,0)</f>
        <v>11041</v>
      </c>
      <c r="O557" s="57"/>
      <c r="P557" s="57"/>
    </row>
    <row r="558" spans="1:16" x14ac:dyDescent="0.25">
      <c r="A558" s="19" t="s">
        <v>100</v>
      </c>
      <c r="C558" s="6">
        <v>1732</v>
      </c>
      <c r="D558" s="6">
        <v>1962</v>
      </c>
      <c r="F558" s="24"/>
      <c r="G558" s="24"/>
      <c r="K558" s="24"/>
      <c r="L558" s="24">
        <f t="shared" si="105"/>
        <v>11.74</v>
      </c>
      <c r="M558" s="24"/>
      <c r="N558" s="7">
        <f>ROUND($D558*L558,0)</f>
        <v>23034</v>
      </c>
      <c r="O558" s="57"/>
      <c r="P558" s="57"/>
    </row>
    <row r="559" spans="1:16" x14ac:dyDescent="0.25">
      <c r="A559" s="19" t="s">
        <v>84</v>
      </c>
      <c r="C559" s="6">
        <v>52068</v>
      </c>
      <c r="D559" s="6">
        <v>55363.283404103327</v>
      </c>
      <c r="F559" s="100"/>
      <c r="G559" s="26"/>
      <c r="K559" s="100"/>
      <c r="L559" s="100">
        <f t="shared" si="105"/>
        <v>3.8877999999999999</v>
      </c>
      <c r="M559" s="26" t="s">
        <v>18</v>
      </c>
      <c r="N559" s="7">
        <f>ROUND($D559*L559/100,0)</f>
        <v>2152</v>
      </c>
      <c r="O559" s="207"/>
      <c r="P559" s="59"/>
    </row>
    <row r="560" spans="1:16" x14ac:dyDescent="0.25">
      <c r="A560" s="19" t="s">
        <v>85</v>
      </c>
      <c r="C560" s="6">
        <v>75546.5</v>
      </c>
      <c r="D560" s="6">
        <v>85437</v>
      </c>
      <c r="F560" s="100"/>
      <c r="G560" s="26"/>
      <c r="K560" s="100"/>
      <c r="L560" s="100">
        <f t="shared" si="105"/>
        <v>3.4405000000000001</v>
      </c>
      <c r="M560" s="26" t="s">
        <v>18</v>
      </c>
      <c r="N560" s="7">
        <f>ROUND($D560*L560/100,0)</f>
        <v>2939</v>
      </c>
      <c r="O560" s="207"/>
      <c r="P560" s="59"/>
    </row>
    <row r="561" spans="1:17" x14ac:dyDescent="0.25">
      <c r="A561" s="19" t="s">
        <v>101</v>
      </c>
      <c r="C561" s="6">
        <v>1160.9530573023851</v>
      </c>
      <c r="D561" s="6">
        <v>1206</v>
      </c>
      <c r="F561" s="20">
        <v>14.62</v>
      </c>
      <c r="G561" s="20"/>
      <c r="H561" s="7">
        <f t="shared" ref="H561:I563" si="106">ROUND($F561*C561,0)</f>
        <v>16973</v>
      </c>
      <c r="I561" s="7">
        <f t="shared" si="106"/>
        <v>17632</v>
      </c>
      <c r="K561" s="20"/>
      <c r="L561" s="20"/>
      <c r="M561" s="20"/>
      <c r="O561" s="55"/>
      <c r="P561" s="55"/>
    </row>
    <row r="562" spans="1:17" x14ac:dyDescent="0.25">
      <c r="A562" s="19" t="s">
        <v>102</v>
      </c>
      <c r="C562" s="6">
        <v>1384.5469426976149</v>
      </c>
      <c r="D562" s="6">
        <v>1588</v>
      </c>
      <c r="F562" s="20">
        <v>10.91</v>
      </c>
      <c r="G562" s="20"/>
      <c r="H562" s="7">
        <f t="shared" si="106"/>
        <v>15105</v>
      </c>
      <c r="I562" s="7">
        <f t="shared" si="106"/>
        <v>17325</v>
      </c>
      <c r="K562" s="20"/>
      <c r="L562" s="20"/>
      <c r="M562" s="20"/>
      <c r="O562" s="55"/>
      <c r="P562" s="55"/>
    </row>
    <row r="563" spans="1:17" x14ac:dyDescent="0.25">
      <c r="A563" s="19" t="s">
        <v>77</v>
      </c>
      <c r="C563" s="6">
        <v>0</v>
      </c>
      <c r="D563" s="6">
        <v>0</v>
      </c>
      <c r="F563" s="20">
        <v>-0.96</v>
      </c>
      <c r="G563" s="20"/>
      <c r="H563" s="7">
        <f t="shared" si="106"/>
        <v>0</v>
      </c>
      <c r="I563" s="7">
        <f t="shared" si="106"/>
        <v>0</v>
      </c>
      <c r="K563" s="20"/>
      <c r="L563" s="20">
        <f>L898</f>
        <v>-0.96</v>
      </c>
      <c r="M563" s="20"/>
      <c r="N563" s="7">
        <f>ROUND($D563*L563,0)</f>
        <v>0</v>
      </c>
      <c r="O563" s="55"/>
      <c r="P563" s="55"/>
    </row>
    <row r="564" spans="1:17" x14ac:dyDescent="0.25">
      <c r="A564" s="19" t="s">
        <v>88</v>
      </c>
      <c r="C564" s="6">
        <v>56207.204457290034</v>
      </c>
      <c r="D564" s="6">
        <v>59699</v>
      </c>
      <c r="F564" s="100">
        <v>3.8127</v>
      </c>
      <c r="G564" s="26" t="s">
        <v>18</v>
      </c>
      <c r="H564" s="7">
        <f>ROUND($F564*C564/100,0)</f>
        <v>2143</v>
      </c>
      <c r="I564" s="7">
        <f>ROUND($F564*D564/100,0)</f>
        <v>2276</v>
      </c>
      <c r="K564" s="100"/>
      <c r="L564" s="100"/>
      <c r="M564" s="26"/>
      <c r="O564" s="207"/>
      <c r="P564" s="59"/>
    </row>
    <row r="565" spans="1:17" x14ac:dyDescent="0.25">
      <c r="A565" s="19" t="s">
        <v>89</v>
      </c>
      <c r="C565" s="6">
        <v>71407.295542709966</v>
      </c>
      <c r="D565" s="6">
        <v>81101.283404103335</v>
      </c>
      <c r="F565" s="100">
        <v>3.5143</v>
      </c>
      <c r="G565" s="26" t="s">
        <v>18</v>
      </c>
      <c r="H565" s="7">
        <f>ROUND($F565*C565/100,0)</f>
        <v>2509</v>
      </c>
      <c r="I565" s="7">
        <f>ROUND($F565*D565/100,0)</f>
        <v>2850</v>
      </c>
      <c r="K565" s="100"/>
      <c r="L565" s="100"/>
      <c r="M565" s="26"/>
      <c r="O565" s="207"/>
      <c r="P565" s="59"/>
    </row>
    <row r="566" spans="1:17" x14ac:dyDescent="0.25">
      <c r="A566" s="19" t="s">
        <v>33</v>
      </c>
      <c r="C566" s="36">
        <v>0</v>
      </c>
      <c r="D566" s="36">
        <v>0</v>
      </c>
      <c r="H566" s="37">
        <f>H599+H632+H665</f>
        <v>0</v>
      </c>
      <c r="I566" s="37">
        <f>I599+I632+I665</f>
        <v>0</v>
      </c>
      <c r="N566" s="37"/>
      <c r="Q566" s="64"/>
    </row>
    <row r="567" spans="1:17" x14ac:dyDescent="0.25">
      <c r="A567" s="19" t="s">
        <v>34</v>
      </c>
      <c r="F567" s="23">
        <v>-3.61E-2</v>
      </c>
      <c r="G567" s="24"/>
      <c r="H567" s="7">
        <f>SUM(H561:H562,H564:H565)*$F567</f>
        <v>-1325.953</v>
      </c>
      <c r="I567" s="7">
        <f>SUM(I561:I562,I564:I565)*$F567</f>
        <v>-1446.9963</v>
      </c>
      <c r="K567" s="93" t="str">
        <f>$K$43</f>
        <v>TAA 1 (1/1/2021)</v>
      </c>
      <c r="L567" s="23">
        <f>$L$687</f>
        <v>-2.6100000000000002E-2</v>
      </c>
      <c r="M567" s="24"/>
      <c r="N567" s="7">
        <f>L567*SUM(N557:N560)</f>
        <v>-1022.2326</v>
      </c>
      <c r="O567" s="65"/>
      <c r="P567" s="57"/>
    </row>
    <row r="568" spans="1:17" x14ac:dyDescent="0.25">
      <c r="A568" s="19"/>
      <c r="F568" s="23"/>
      <c r="G568" s="24"/>
      <c r="K568" s="93" t="str">
        <f>$K$44</f>
        <v>TAA 2 (1/1/2022)</v>
      </c>
      <c r="L568" s="23">
        <f>$L$688</f>
        <v>-1.2999999999999999E-2</v>
      </c>
      <c r="M568" s="24"/>
      <c r="N568" s="7">
        <f>L568*SUM(N557:N560)</f>
        <v>-509.15799999999996</v>
      </c>
      <c r="O568" s="65"/>
      <c r="P568" s="57"/>
    </row>
    <row r="569" spans="1:17" ht="16.5" thickBot="1" x14ac:dyDescent="0.3">
      <c r="A569" s="19" t="s">
        <v>36</v>
      </c>
      <c r="C569" s="101">
        <v>127614.5</v>
      </c>
      <c r="D569" s="101">
        <v>140800.28340410333</v>
      </c>
      <c r="F569" s="41"/>
      <c r="H569" s="95">
        <f>SUM(H554:H567)</f>
        <v>49090.046999999999</v>
      </c>
      <c r="I569" s="95">
        <f>SUM(I554:I567)</f>
        <v>53658.003700000001</v>
      </c>
      <c r="K569" s="41"/>
      <c r="L569" s="41"/>
      <c r="N569" s="95">
        <f>SUM(N554:N566)</f>
        <v>53979</v>
      </c>
      <c r="O569" s="68"/>
      <c r="Q569" s="208"/>
    </row>
    <row r="570" spans="1:17" ht="16.5" thickTop="1" x14ac:dyDescent="0.25"/>
    <row r="571" spans="1:17" x14ac:dyDescent="0.25">
      <c r="A571" s="15" t="s">
        <v>103</v>
      </c>
    </row>
    <row r="572" spans="1:17" x14ac:dyDescent="0.25">
      <c r="A572" s="19" t="s">
        <v>68</v>
      </c>
      <c r="C572" s="6">
        <v>7</v>
      </c>
      <c r="D572" s="6">
        <v>9.1516224188790556</v>
      </c>
      <c r="F572" s="20"/>
      <c r="G572" s="20"/>
      <c r="K572" s="20"/>
      <c r="L572" s="20">
        <f t="shared" ref="L572:L582" si="107">L539</f>
        <v>53</v>
      </c>
      <c r="M572" s="20"/>
      <c r="N572" s="7">
        <f>ROUND($D572*L572,0)</f>
        <v>485</v>
      </c>
      <c r="O572" s="55"/>
      <c r="P572" s="55"/>
    </row>
    <row r="573" spans="1:17" x14ac:dyDescent="0.25">
      <c r="A573" s="19" t="s">
        <v>69</v>
      </c>
      <c r="C573" s="6">
        <v>1900</v>
      </c>
      <c r="D573" s="6">
        <v>2469.8223468910705</v>
      </c>
      <c r="E573" s="24"/>
      <c r="F573" s="99"/>
      <c r="G573" s="26"/>
      <c r="J573" s="24"/>
      <c r="K573" s="99"/>
      <c r="L573" s="99">
        <f t="shared" si="107"/>
        <v>22.156199999999998</v>
      </c>
      <c r="M573" s="26" t="s">
        <v>18</v>
      </c>
      <c r="N573" s="7">
        <f t="shared" ref="N573:N580" si="108">ROUND($D573*L573/100,0)</f>
        <v>547</v>
      </c>
      <c r="O573" s="206"/>
      <c r="P573" s="59"/>
    </row>
    <row r="574" spans="1:17" x14ac:dyDescent="0.25">
      <c r="A574" s="19" t="s">
        <v>70</v>
      </c>
      <c r="C574" s="6">
        <v>7729.5</v>
      </c>
      <c r="D574" s="6">
        <v>10047.627279102384</v>
      </c>
      <c r="E574" s="24"/>
      <c r="F574" s="99"/>
      <c r="G574" s="26"/>
      <c r="J574" s="24"/>
      <c r="K574" s="99"/>
      <c r="L574" s="99">
        <f t="shared" si="107"/>
        <v>4.309899999999999</v>
      </c>
      <c r="M574" s="26" t="s">
        <v>18</v>
      </c>
      <c r="N574" s="7">
        <f t="shared" si="108"/>
        <v>433</v>
      </c>
      <c r="O574" s="206"/>
      <c r="P574" s="59"/>
    </row>
    <row r="575" spans="1:17" x14ac:dyDescent="0.25">
      <c r="A575" s="19" t="s">
        <v>71</v>
      </c>
      <c r="C575" s="6">
        <v>2874</v>
      </c>
      <c r="D575" s="6">
        <v>3735.9312762973354</v>
      </c>
      <c r="E575" s="24"/>
      <c r="F575" s="99"/>
      <c r="G575" s="26"/>
      <c r="J575" s="24"/>
      <c r="K575" s="99"/>
      <c r="L575" s="99">
        <f t="shared" si="107"/>
        <v>19.607299999999999</v>
      </c>
      <c r="M575" s="26" t="s">
        <v>18</v>
      </c>
      <c r="N575" s="7">
        <f t="shared" si="108"/>
        <v>733</v>
      </c>
      <c r="O575" s="206"/>
      <c r="P575" s="59"/>
    </row>
    <row r="576" spans="1:17" x14ac:dyDescent="0.25">
      <c r="A576" s="19" t="s">
        <v>72</v>
      </c>
      <c r="C576" s="6">
        <v>258.5</v>
      </c>
      <c r="D576" s="6">
        <v>336.02582982702194</v>
      </c>
      <c r="E576" s="24"/>
      <c r="F576" s="99"/>
      <c r="G576" s="26"/>
      <c r="J576" s="24"/>
      <c r="K576" s="99"/>
      <c r="L576" s="99">
        <f t="shared" si="107"/>
        <v>3.8140999999999989</v>
      </c>
      <c r="M576" s="26" t="s">
        <v>18</v>
      </c>
      <c r="N576" s="7">
        <f t="shared" si="108"/>
        <v>13</v>
      </c>
      <c r="O576" s="206"/>
      <c r="P576" s="59"/>
    </row>
    <row r="577" spans="1:16" x14ac:dyDescent="0.25">
      <c r="A577" s="19" t="s">
        <v>73</v>
      </c>
      <c r="C577" s="6">
        <v>5347.7476761769631</v>
      </c>
      <c r="D577" s="6">
        <v>6951.5719558719238</v>
      </c>
      <c r="E577" s="24"/>
      <c r="F577" s="99"/>
      <c r="G577" s="26"/>
      <c r="J577" s="24"/>
      <c r="K577" s="99"/>
      <c r="L577" s="99">
        <f t="shared" si="107"/>
        <v>6</v>
      </c>
      <c r="M577" s="26" t="s">
        <v>18</v>
      </c>
      <c r="N577" s="7">
        <f t="shared" si="108"/>
        <v>417</v>
      </c>
      <c r="O577" s="206"/>
      <c r="P577" s="59"/>
    </row>
    <row r="578" spans="1:16" x14ac:dyDescent="0.25">
      <c r="A578" s="19" t="s">
        <v>74</v>
      </c>
      <c r="C578" s="6">
        <v>4281.7523238230369</v>
      </c>
      <c r="D578" s="6">
        <v>5565.8776701215311</v>
      </c>
      <c r="E578" s="24"/>
      <c r="F578" s="99"/>
      <c r="G578" s="26"/>
      <c r="J578" s="24"/>
      <c r="K578" s="99"/>
      <c r="L578" s="99">
        <f t="shared" si="107"/>
        <v>-2.335799999999999</v>
      </c>
      <c r="M578" s="26" t="s">
        <v>18</v>
      </c>
      <c r="N578" s="7">
        <f t="shared" si="108"/>
        <v>-130</v>
      </c>
      <c r="O578" s="206"/>
      <c r="P578" s="59"/>
    </row>
    <row r="579" spans="1:16" x14ac:dyDescent="0.25">
      <c r="A579" s="19" t="s">
        <v>75</v>
      </c>
      <c r="C579" s="6">
        <v>1739.6354530997805</v>
      </c>
      <c r="D579" s="6">
        <v>2261.3634302683217</v>
      </c>
      <c r="E579" s="24"/>
      <c r="F579" s="99"/>
      <c r="G579" s="26"/>
      <c r="J579" s="24"/>
      <c r="K579" s="99"/>
      <c r="L579" s="99">
        <f t="shared" si="107"/>
        <v>5.3097000000000003</v>
      </c>
      <c r="M579" s="26" t="s">
        <v>18</v>
      </c>
      <c r="N579" s="7">
        <f t="shared" si="108"/>
        <v>120</v>
      </c>
      <c r="O579" s="206"/>
      <c r="P579" s="59"/>
    </row>
    <row r="580" spans="1:16" x14ac:dyDescent="0.25">
      <c r="A580" s="19" t="s">
        <v>76</v>
      </c>
      <c r="C580" s="6">
        <v>1392.8645469002195</v>
      </c>
      <c r="D580" s="6">
        <v>1810.5936758560356</v>
      </c>
      <c r="E580" s="24"/>
      <c r="F580" s="99"/>
      <c r="G580" s="26"/>
      <c r="J580" s="24"/>
      <c r="K580" s="99"/>
      <c r="L580" s="99">
        <f t="shared" si="107"/>
        <v>-2.0670999999999999</v>
      </c>
      <c r="M580" s="26" t="s">
        <v>18</v>
      </c>
      <c r="N580" s="7">
        <f t="shared" si="108"/>
        <v>-37</v>
      </c>
      <c r="O580" s="206"/>
      <c r="P580" s="59"/>
    </row>
    <row r="581" spans="1:16" x14ac:dyDescent="0.25">
      <c r="A581" s="19" t="s">
        <v>77</v>
      </c>
      <c r="C581" s="6">
        <v>0</v>
      </c>
      <c r="D581" s="6">
        <v>0</v>
      </c>
      <c r="F581" s="20"/>
      <c r="G581" s="20"/>
      <c r="K581" s="20"/>
      <c r="L581" s="20">
        <f t="shared" si="107"/>
        <v>-0.61</v>
      </c>
      <c r="M581" s="20"/>
      <c r="N581" s="7">
        <f>ROUND($D581*L581,0)</f>
        <v>0</v>
      </c>
      <c r="O581" s="55"/>
      <c r="P581" s="55"/>
    </row>
    <row r="582" spans="1:16" x14ac:dyDescent="0.25">
      <c r="A582" s="32" t="s">
        <v>32</v>
      </c>
      <c r="C582" s="6">
        <v>0</v>
      </c>
      <c r="D582" s="6">
        <v>0</v>
      </c>
      <c r="F582" s="100"/>
      <c r="G582" s="26"/>
      <c r="K582" s="100"/>
      <c r="L582" s="100">
        <f t="shared" si="107"/>
        <v>7.125</v>
      </c>
      <c r="M582" s="26" t="s">
        <v>18</v>
      </c>
      <c r="N582" s="7">
        <f>ROUND($D582*L582/100,0)</f>
        <v>0</v>
      </c>
      <c r="O582" s="207"/>
      <c r="P582" s="59"/>
    </row>
    <row r="583" spans="1:16" x14ac:dyDescent="0.25">
      <c r="A583" s="19" t="s">
        <v>34</v>
      </c>
      <c r="F583" s="23"/>
      <c r="G583" s="24"/>
      <c r="K583" s="93" t="str">
        <f>$K$43</f>
        <v>TAA 1 (1/1/2021)</v>
      </c>
      <c r="L583" s="23">
        <f>$L$979</f>
        <v>-2.9100000000000001E-2</v>
      </c>
      <c r="M583" s="24"/>
      <c r="N583" s="7">
        <f>L583*SUM(N573:N576,N582)</f>
        <v>-50.226600000000005</v>
      </c>
      <c r="O583" s="65"/>
      <c r="P583" s="57"/>
    </row>
    <row r="584" spans="1:16" x14ac:dyDescent="0.25">
      <c r="A584" s="19"/>
      <c r="F584" s="23"/>
      <c r="G584" s="24"/>
      <c r="K584" s="93" t="str">
        <f>$K$44</f>
        <v>TAA 2 (1/1/2022)</v>
      </c>
      <c r="L584" s="23">
        <f>$L$980</f>
        <v>-1.46E-2</v>
      </c>
      <c r="M584" s="24"/>
      <c r="N584" s="7">
        <f>L584*SUM(N573:N576,N582)</f>
        <v>-25.1996</v>
      </c>
      <c r="O584" s="65"/>
      <c r="P584" s="57"/>
    </row>
    <row r="585" spans="1:16" x14ac:dyDescent="0.25">
      <c r="A585" s="19" t="s">
        <v>78</v>
      </c>
      <c r="C585" s="6">
        <v>12762</v>
      </c>
      <c r="D585" s="6">
        <v>16589.406732117812</v>
      </c>
      <c r="F585" s="20"/>
      <c r="G585" s="20"/>
      <c r="K585" s="20"/>
      <c r="L585" s="20"/>
      <c r="M585" s="20"/>
      <c r="N585" s="7">
        <f>SUM(N572:N582)</f>
        <v>2581</v>
      </c>
      <c r="O585" s="55"/>
      <c r="P585" s="55"/>
    </row>
    <row r="586" spans="1:16" x14ac:dyDescent="0.25">
      <c r="A586" s="19"/>
      <c r="F586" s="20"/>
      <c r="G586" s="20"/>
      <c r="K586" s="20"/>
      <c r="L586" s="20"/>
      <c r="M586" s="20"/>
      <c r="O586" s="55"/>
      <c r="P586" s="55"/>
    </row>
    <row r="587" spans="1:16" x14ac:dyDescent="0.25">
      <c r="A587" s="102" t="s">
        <v>68</v>
      </c>
      <c r="C587" s="6">
        <v>7</v>
      </c>
      <c r="D587" s="6">
        <v>9.1516224188790556</v>
      </c>
      <c r="F587" s="20">
        <v>54</v>
      </c>
      <c r="G587" s="20"/>
      <c r="H587" s="7">
        <f t="shared" ref="H587:I588" si="109">ROUND($F587*C587,0)</f>
        <v>378</v>
      </c>
      <c r="I587" s="7">
        <f t="shared" si="109"/>
        <v>494</v>
      </c>
      <c r="K587" s="20"/>
      <c r="L587" s="20">
        <f t="shared" ref="L587:L593" si="110">L554</f>
        <v>53</v>
      </c>
      <c r="M587" s="20"/>
      <c r="N587" s="7">
        <f>ROUND($D587*L587,0)</f>
        <v>485</v>
      </c>
      <c r="O587" s="55"/>
      <c r="P587" s="55"/>
    </row>
    <row r="588" spans="1:16" x14ac:dyDescent="0.25">
      <c r="A588" s="19" t="s">
        <v>79</v>
      </c>
      <c r="C588" s="6">
        <v>0</v>
      </c>
      <c r="D588" s="6">
        <v>0</v>
      </c>
      <c r="E588" s="24"/>
      <c r="F588" s="20">
        <v>648</v>
      </c>
      <c r="G588" s="20"/>
      <c r="H588" s="7">
        <f t="shared" si="109"/>
        <v>0</v>
      </c>
      <c r="I588" s="7">
        <f t="shared" si="109"/>
        <v>0</v>
      </c>
      <c r="J588" s="24"/>
      <c r="K588" s="20"/>
      <c r="L588" s="20">
        <f t="shared" si="110"/>
        <v>636</v>
      </c>
      <c r="M588" s="20"/>
      <c r="N588" s="7">
        <f>ROUND($D588*L588,0)</f>
        <v>0</v>
      </c>
      <c r="O588" s="55"/>
      <c r="P588" s="55"/>
    </row>
    <row r="589" spans="1:16" x14ac:dyDescent="0.25">
      <c r="A589" s="19" t="s">
        <v>81</v>
      </c>
      <c r="C589" s="6">
        <v>139.5</v>
      </c>
      <c r="D589" s="6">
        <v>181</v>
      </c>
      <c r="F589" s="20">
        <v>4.04</v>
      </c>
      <c r="G589" s="20"/>
      <c r="H589" s="7">
        <f>ROUND($F589*C589,0)</f>
        <v>564</v>
      </c>
      <c r="I589" s="7">
        <f>ROUND($F589*D589,0)</f>
        <v>731</v>
      </c>
      <c r="K589" s="20"/>
      <c r="L589" s="20">
        <f t="shared" si="110"/>
        <v>3.99</v>
      </c>
      <c r="M589" s="20"/>
      <c r="N589" s="7">
        <f>ROUND($D589*L589,0)</f>
        <v>722</v>
      </c>
      <c r="O589" s="55"/>
      <c r="P589" s="55"/>
    </row>
    <row r="590" spans="1:16" x14ac:dyDescent="0.25">
      <c r="A590" s="19" t="s">
        <v>99</v>
      </c>
      <c r="C590" s="6">
        <v>38</v>
      </c>
      <c r="D590" s="6">
        <v>49</v>
      </c>
      <c r="F590" s="24"/>
      <c r="G590" s="24"/>
      <c r="K590" s="24"/>
      <c r="L590" s="24">
        <f t="shared" si="110"/>
        <v>13.27</v>
      </c>
      <c r="M590" s="24"/>
      <c r="N590" s="7">
        <f>ROUND($D590*L590,0)</f>
        <v>650</v>
      </c>
      <c r="O590" s="57"/>
      <c r="P590" s="57"/>
    </row>
    <row r="591" spans="1:16" x14ac:dyDescent="0.25">
      <c r="A591" s="19" t="s">
        <v>100</v>
      </c>
      <c r="C591" s="6">
        <v>101.5</v>
      </c>
      <c r="D591" s="6">
        <v>132</v>
      </c>
      <c r="F591" s="24"/>
      <c r="G591" s="24"/>
      <c r="K591" s="24"/>
      <c r="L591" s="24">
        <f t="shared" si="110"/>
        <v>11.74</v>
      </c>
      <c r="M591" s="24"/>
      <c r="N591" s="7">
        <f>ROUND($D591*L591,0)</f>
        <v>1550</v>
      </c>
      <c r="O591" s="57"/>
      <c r="P591" s="57"/>
    </row>
    <row r="592" spans="1:16" x14ac:dyDescent="0.25">
      <c r="A592" s="19" t="s">
        <v>84</v>
      </c>
      <c r="C592" s="6">
        <v>9629.5</v>
      </c>
      <c r="D592" s="6">
        <v>12517.406732117812</v>
      </c>
      <c r="F592" s="100"/>
      <c r="G592" s="26"/>
      <c r="K592" s="100"/>
      <c r="L592" s="100">
        <f t="shared" si="110"/>
        <v>3.8877999999999999</v>
      </c>
      <c r="M592" s="26" t="s">
        <v>18</v>
      </c>
      <c r="N592" s="7">
        <f>ROUND($D592*L592/100,0)</f>
        <v>487</v>
      </c>
      <c r="O592" s="207"/>
      <c r="P592" s="59"/>
    </row>
    <row r="593" spans="1:17" x14ac:dyDescent="0.25">
      <c r="A593" s="19" t="s">
        <v>85</v>
      </c>
      <c r="C593" s="6">
        <v>3132.5</v>
      </c>
      <c r="D593" s="6">
        <v>4072</v>
      </c>
      <c r="F593" s="100"/>
      <c r="G593" s="26"/>
      <c r="K593" s="100"/>
      <c r="L593" s="100">
        <f t="shared" si="110"/>
        <v>3.4405000000000001</v>
      </c>
      <c r="M593" s="26" t="s">
        <v>18</v>
      </c>
      <c r="N593" s="7">
        <f>ROUND($D593*L593/100,0)</f>
        <v>140</v>
      </c>
      <c r="O593" s="207"/>
      <c r="P593" s="59"/>
    </row>
    <row r="594" spans="1:17" x14ac:dyDescent="0.25">
      <c r="A594" s="19" t="s">
        <v>101</v>
      </c>
      <c r="C594" s="6">
        <v>117.62785174590704</v>
      </c>
      <c r="D594" s="6">
        <v>153</v>
      </c>
      <c r="F594" s="20">
        <v>14.62</v>
      </c>
      <c r="G594" s="20"/>
      <c r="H594" s="7">
        <f t="shared" ref="H594:I596" si="111">ROUND($F594*C594,0)</f>
        <v>1720</v>
      </c>
      <c r="I594" s="7">
        <f t="shared" si="111"/>
        <v>2237</v>
      </c>
      <c r="K594" s="20"/>
      <c r="L594" s="20"/>
      <c r="M594" s="20"/>
      <c r="O594" s="55"/>
      <c r="P594" s="55"/>
    </row>
    <row r="595" spans="1:17" x14ac:dyDescent="0.25">
      <c r="A595" s="19" t="s">
        <v>102</v>
      </c>
      <c r="C595" s="6">
        <v>21.872148254092963</v>
      </c>
      <c r="D595" s="6">
        <v>28</v>
      </c>
      <c r="F595" s="20">
        <v>10.91</v>
      </c>
      <c r="G595" s="20"/>
      <c r="H595" s="7">
        <f t="shared" si="111"/>
        <v>239</v>
      </c>
      <c r="I595" s="7">
        <f t="shared" si="111"/>
        <v>305</v>
      </c>
      <c r="K595" s="20"/>
      <c r="L595" s="20"/>
      <c r="M595" s="20"/>
      <c r="O595" s="55"/>
      <c r="P595" s="55"/>
    </row>
    <row r="596" spans="1:17" x14ac:dyDescent="0.25">
      <c r="A596" s="19" t="s">
        <v>77</v>
      </c>
      <c r="C596" s="6">
        <v>0</v>
      </c>
      <c r="D596" s="6">
        <v>0</v>
      </c>
      <c r="F596" s="20">
        <v>-0.96</v>
      </c>
      <c r="G596" s="20"/>
      <c r="H596" s="7">
        <f t="shared" si="111"/>
        <v>0</v>
      </c>
      <c r="I596" s="7">
        <f t="shared" si="111"/>
        <v>0</v>
      </c>
      <c r="K596" s="20"/>
      <c r="L596" s="20">
        <f>L563</f>
        <v>-0.96</v>
      </c>
      <c r="M596" s="20"/>
      <c r="N596" s="7">
        <f>ROUND($D596*L596,0)</f>
        <v>0</v>
      </c>
      <c r="O596" s="55"/>
      <c r="P596" s="55"/>
    </row>
    <row r="597" spans="1:17" x14ac:dyDescent="0.25">
      <c r="A597" s="19" t="s">
        <v>88</v>
      </c>
      <c r="C597" s="6">
        <v>10170</v>
      </c>
      <c r="D597" s="6">
        <v>13220</v>
      </c>
      <c r="F597" s="100">
        <v>3.8127</v>
      </c>
      <c r="G597" s="26" t="s">
        <v>18</v>
      </c>
      <c r="H597" s="7">
        <f>ROUND($F597*C597/100,0)</f>
        <v>388</v>
      </c>
      <c r="I597" s="7">
        <f>ROUND($F597*D597/100,0)</f>
        <v>504</v>
      </c>
      <c r="K597" s="100"/>
      <c r="L597" s="100"/>
      <c r="M597" s="26"/>
      <c r="O597" s="207"/>
      <c r="P597" s="59"/>
    </row>
    <row r="598" spans="1:17" x14ac:dyDescent="0.25">
      <c r="A598" s="19" t="s">
        <v>89</v>
      </c>
      <c r="C598" s="6">
        <v>2592</v>
      </c>
      <c r="D598" s="6">
        <v>3369.4067321178118</v>
      </c>
      <c r="F598" s="100">
        <v>3.5143</v>
      </c>
      <c r="G598" s="26" t="s">
        <v>18</v>
      </c>
      <c r="H598" s="7">
        <f>ROUND($F598*C598/100,0)</f>
        <v>91</v>
      </c>
      <c r="I598" s="7">
        <f>ROUND($F598*D598/100,0)</f>
        <v>118</v>
      </c>
      <c r="K598" s="100"/>
      <c r="L598" s="100"/>
      <c r="M598" s="26"/>
      <c r="O598" s="207"/>
      <c r="P598" s="59"/>
    </row>
    <row r="599" spans="1:17" x14ac:dyDescent="0.25">
      <c r="A599" s="19" t="s">
        <v>33</v>
      </c>
      <c r="C599" s="36">
        <v>0</v>
      </c>
      <c r="D599" s="36">
        <v>0</v>
      </c>
      <c r="H599" s="37">
        <v>0</v>
      </c>
      <c r="I599" s="37">
        <v>0</v>
      </c>
      <c r="N599" s="37"/>
      <c r="Q599" s="64"/>
    </row>
    <row r="600" spans="1:17" x14ac:dyDescent="0.25">
      <c r="A600" s="19" t="s">
        <v>34</v>
      </c>
      <c r="F600" s="23">
        <v>-3.61E-2</v>
      </c>
      <c r="G600" s="24"/>
      <c r="H600" s="7">
        <f>SUM(H594:H595,H597:H598)*$F600</f>
        <v>-88.011799999999994</v>
      </c>
      <c r="I600" s="7">
        <f>SUM(I594:I595,I597:I598)*$F600</f>
        <v>-114.2204</v>
      </c>
      <c r="K600" s="93" t="str">
        <f>$K$43</f>
        <v>TAA 1 (1/1/2021)</v>
      </c>
      <c r="L600" s="23">
        <f>$L$687</f>
        <v>-2.6100000000000002E-2</v>
      </c>
      <c r="M600" s="24"/>
      <c r="N600" s="7">
        <f>L600*SUM(N590:N593)</f>
        <v>-73.784700000000001</v>
      </c>
      <c r="O600" s="65"/>
      <c r="P600" s="57"/>
    </row>
    <row r="601" spans="1:17" x14ac:dyDescent="0.25">
      <c r="A601" s="19"/>
      <c r="F601" s="23"/>
      <c r="G601" s="24"/>
      <c r="K601" s="93" t="str">
        <f>$K$44</f>
        <v>TAA 2 (1/1/2022)</v>
      </c>
      <c r="L601" s="23">
        <f>$L$688</f>
        <v>-1.2999999999999999E-2</v>
      </c>
      <c r="M601" s="24"/>
      <c r="N601" s="7">
        <f>L601*SUM(N590:N593)</f>
        <v>-36.750999999999998</v>
      </c>
      <c r="O601" s="65"/>
      <c r="P601" s="57"/>
    </row>
    <row r="602" spans="1:17" ht="16.5" thickBot="1" x14ac:dyDescent="0.3">
      <c r="A602" s="19" t="s">
        <v>36</v>
      </c>
      <c r="C602" s="101">
        <v>12762</v>
      </c>
      <c r="D602" s="101">
        <v>16589.406732117812</v>
      </c>
      <c r="F602" s="41"/>
      <c r="H602" s="95">
        <f>SUM(H587:H600)</f>
        <v>3291.9881999999998</v>
      </c>
      <c r="I602" s="95">
        <f>SUM(I587:I600)</f>
        <v>4274.7795999999998</v>
      </c>
      <c r="K602" s="41"/>
      <c r="L602" s="41"/>
      <c r="N602" s="95">
        <f>SUM(N587:N599)</f>
        <v>4034</v>
      </c>
      <c r="O602" s="68"/>
      <c r="Q602" s="208"/>
    </row>
    <row r="603" spans="1:17" ht="16.5" thickTop="1" x14ac:dyDescent="0.25"/>
    <row r="604" spans="1:17" x14ac:dyDescent="0.25">
      <c r="A604" s="15" t="s">
        <v>104</v>
      </c>
      <c r="E604" s="24"/>
      <c r="J604" s="24"/>
    </row>
    <row r="605" spans="1:17" x14ac:dyDescent="0.25">
      <c r="A605" s="19" t="s">
        <v>68</v>
      </c>
      <c r="C605" s="6">
        <v>54</v>
      </c>
      <c r="D605" s="6">
        <v>54</v>
      </c>
      <c r="F605" s="20"/>
      <c r="G605" s="20"/>
      <c r="K605" s="20"/>
      <c r="L605" s="20">
        <f t="shared" ref="L605:L615" si="112">L539</f>
        <v>53</v>
      </c>
      <c r="M605" s="20"/>
      <c r="N605" s="7">
        <f>ROUND($D605*L605,0)</f>
        <v>2862</v>
      </c>
      <c r="O605" s="55"/>
      <c r="P605" s="55"/>
    </row>
    <row r="606" spans="1:17" x14ac:dyDescent="0.25">
      <c r="A606" s="19" t="s">
        <v>69</v>
      </c>
      <c r="C606" s="6">
        <v>20514.5</v>
      </c>
      <c r="D606" s="6">
        <v>20711.583208003216</v>
      </c>
      <c r="E606" s="24"/>
      <c r="F606" s="99"/>
      <c r="G606" s="26"/>
      <c r="J606" s="24"/>
      <c r="K606" s="99"/>
      <c r="L606" s="99">
        <f t="shared" si="112"/>
        <v>22.156199999999998</v>
      </c>
      <c r="M606" s="26" t="s">
        <v>18</v>
      </c>
      <c r="N606" s="7">
        <f t="shared" ref="N606:N613" si="113">ROUND($D606*L606/100,0)</f>
        <v>4589</v>
      </c>
      <c r="O606" s="206"/>
      <c r="P606" s="59"/>
    </row>
    <row r="607" spans="1:17" x14ac:dyDescent="0.25">
      <c r="A607" s="19" t="s">
        <v>70</v>
      </c>
      <c r="C607" s="6">
        <v>21924</v>
      </c>
      <c r="D607" s="6">
        <v>22134.624302433036</v>
      </c>
      <c r="E607" s="24"/>
      <c r="F607" s="99"/>
      <c r="G607" s="26"/>
      <c r="J607" s="24"/>
      <c r="K607" s="99"/>
      <c r="L607" s="99">
        <f t="shared" si="112"/>
        <v>4.309899999999999</v>
      </c>
      <c r="M607" s="26" t="s">
        <v>18</v>
      </c>
      <c r="N607" s="7">
        <f t="shared" si="113"/>
        <v>954</v>
      </c>
      <c r="O607" s="206"/>
      <c r="P607" s="59"/>
    </row>
    <row r="608" spans="1:17" x14ac:dyDescent="0.25">
      <c r="A608" s="19" t="s">
        <v>71</v>
      </c>
      <c r="C608" s="6">
        <v>43500.5</v>
      </c>
      <c r="D608" s="6">
        <v>43918.410165480214</v>
      </c>
      <c r="E608" s="24"/>
      <c r="F608" s="99"/>
      <c r="G608" s="26"/>
      <c r="J608" s="24"/>
      <c r="K608" s="99"/>
      <c r="L608" s="99">
        <f t="shared" si="112"/>
        <v>19.607299999999999</v>
      </c>
      <c r="M608" s="26" t="s">
        <v>18</v>
      </c>
      <c r="N608" s="7">
        <f t="shared" si="113"/>
        <v>8611</v>
      </c>
      <c r="O608" s="206"/>
      <c r="P608" s="59"/>
    </row>
    <row r="609" spans="1:16" x14ac:dyDescent="0.25">
      <c r="A609" s="19" t="s">
        <v>72</v>
      </c>
      <c r="C609" s="6">
        <v>25370.5</v>
      </c>
      <c r="D609" s="6">
        <v>25614.234896226844</v>
      </c>
      <c r="E609" s="24"/>
      <c r="F609" s="99"/>
      <c r="G609" s="26"/>
      <c r="J609" s="24"/>
      <c r="K609" s="99"/>
      <c r="L609" s="99">
        <f t="shared" si="112"/>
        <v>3.8140999999999989</v>
      </c>
      <c r="M609" s="26" t="s">
        <v>18</v>
      </c>
      <c r="N609" s="7">
        <f t="shared" si="113"/>
        <v>977</v>
      </c>
      <c r="O609" s="206"/>
      <c r="P609" s="59"/>
    </row>
    <row r="610" spans="1:16" x14ac:dyDescent="0.25">
      <c r="A610" s="19" t="s">
        <v>73</v>
      </c>
      <c r="C610" s="6">
        <v>23568.242354788523</v>
      </c>
      <c r="D610" s="6">
        <v>23794.662926105346</v>
      </c>
      <c r="E610" s="24"/>
      <c r="F610" s="99"/>
      <c r="G610" s="26"/>
      <c r="J610" s="24"/>
      <c r="K610" s="99"/>
      <c r="L610" s="99">
        <f t="shared" si="112"/>
        <v>6</v>
      </c>
      <c r="M610" s="26" t="s">
        <v>18</v>
      </c>
      <c r="N610" s="7">
        <f t="shared" si="113"/>
        <v>1428</v>
      </c>
      <c r="O610" s="206"/>
      <c r="P610" s="59"/>
    </row>
    <row r="611" spans="1:16" x14ac:dyDescent="0.25">
      <c r="A611" s="19" t="s">
        <v>74</v>
      </c>
      <c r="C611" s="6">
        <v>18870.257645211477</v>
      </c>
      <c r="D611" s="6">
        <v>19051.544584330906</v>
      </c>
      <c r="E611" s="24"/>
      <c r="F611" s="99"/>
      <c r="G611" s="26"/>
      <c r="J611" s="24"/>
      <c r="K611" s="99"/>
      <c r="L611" s="99">
        <f t="shared" si="112"/>
        <v>-2.335799999999999</v>
      </c>
      <c r="M611" s="26" t="s">
        <v>18</v>
      </c>
      <c r="N611" s="7">
        <f t="shared" si="113"/>
        <v>-445</v>
      </c>
      <c r="O611" s="206"/>
      <c r="P611" s="59"/>
    </row>
    <row r="612" spans="1:16" x14ac:dyDescent="0.25">
      <c r="A612" s="19" t="s">
        <v>75</v>
      </c>
      <c r="C612" s="6">
        <v>38247.544546028723</v>
      </c>
      <c r="D612" s="6">
        <v>38614.989464373175</v>
      </c>
      <c r="E612" s="24"/>
      <c r="F612" s="99"/>
      <c r="G612" s="26"/>
      <c r="J612" s="24"/>
      <c r="K612" s="99"/>
      <c r="L612" s="99">
        <f t="shared" si="112"/>
        <v>5.3097000000000003</v>
      </c>
      <c r="M612" s="26" t="s">
        <v>18</v>
      </c>
      <c r="N612" s="7">
        <f t="shared" si="113"/>
        <v>2050</v>
      </c>
      <c r="O612" s="206"/>
      <c r="P612" s="59"/>
    </row>
    <row r="613" spans="1:16" x14ac:dyDescent="0.25">
      <c r="A613" s="19" t="s">
        <v>76</v>
      </c>
      <c r="C613" s="6">
        <v>30623.455453971277</v>
      </c>
      <c r="D613" s="6">
        <v>30917.655597333884</v>
      </c>
      <c r="E613" s="24"/>
      <c r="F613" s="99"/>
      <c r="G613" s="26"/>
      <c r="J613" s="24"/>
      <c r="K613" s="99"/>
      <c r="L613" s="99">
        <f t="shared" si="112"/>
        <v>-2.0670999999999999</v>
      </c>
      <c r="M613" s="26" t="s">
        <v>18</v>
      </c>
      <c r="N613" s="7">
        <f t="shared" si="113"/>
        <v>-639</v>
      </c>
      <c r="O613" s="206"/>
      <c r="P613" s="59"/>
    </row>
    <row r="614" spans="1:16" x14ac:dyDescent="0.25">
      <c r="A614" s="19" t="s">
        <v>77</v>
      </c>
      <c r="C614" s="6">
        <v>0</v>
      </c>
      <c r="D614" s="6">
        <v>0</v>
      </c>
      <c r="F614" s="20"/>
      <c r="G614" s="20"/>
      <c r="K614" s="20"/>
      <c r="L614" s="20">
        <f t="shared" si="112"/>
        <v>-0.61</v>
      </c>
      <c r="M614" s="20"/>
      <c r="N614" s="7">
        <f>ROUND($D614*L614,0)</f>
        <v>0</v>
      </c>
      <c r="O614" s="55"/>
      <c r="P614" s="55"/>
    </row>
    <row r="615" spans="1:16" x14ac:dyDescent="0.25">
      <c r="A615" s="32" t="s">
        <v>32</v>
      </c>
      <c r="C615" s="6">
        <v>0</v>
      </c>
      <c r="D615" s="6">
        <v>0</v>
      </c>
      <c r="F615" s="100"/>
      <c r="G615" s="26"/>
      <c r="K615" s="100"/>
      <c r="L615" s="100">
        <f t="shared" si="112"/>
        <v>7.125</v>
      </c>
      <c r="M615" s="26" t="s">
        <v>18</v>
      </c>
      <c r="N615" s="7">
        <f>ROUND($D615*L615/100,0)</f>
        <v>0</v>
      </c>
      <c r="O615" s="207"/>
      <c r="P615" s="59"/>
    </row>
    <row r="616" spans="1:16" x14ac:dyDescent="0.25">
      <c r="A616" s="19" t="s">
        <v>34</v>
      </c>
      <c r="F616" s="23"/>
      <c r="G616" s="24"/>
      <c r="K616" s="93" t="str">
        <f>$K$43</f>
        <v>TAA 1 (1/1/2021)</v>
      </c>
      <c r="L616" s="23">
        <f>$L$979</f>
        <v>-2.9100000000000001E-2</v>
      </c>
      <c r="M616" s="24"/>
      <c r="N616" s="7">
        <f>L616*SUM(N606:N609,N615)</f>
        <v>-440.31209999999999</v>
      </c>
      <c r="O616" s="65"/>
      <c r="P616" s="57"/>
    </row>
    <row r="617" spans="1:16" x14ac:dyDescent="0.25">
      <c r="A617" s="19"/>
      <c r="F617" s="23"/>
      <c r="G617" s="24"/>
      <c r="K617" s="93" t="str">
        <f>$K$44</f>
        <v>TAA 2 (1/1/2022)</v>
      </c>
      <c r="L617" s="23">
        <f>$L$980</f>
        <v>-1.46E-2</v>
      </c>
      <c r="M617" s="24"/>
      <c r="N617" s="7">
        <f>L617*SUM(N606:N609,N615)</f>
        <v>-220.9126</v>
      </c>
      <c r="O617" s="65"/>
      <c r="P617" s="57"/>
    </row>
    <row r="618" spans="1:16" x14ac:dyDescent="0.25">
      <c r="A618" s="19" t="s">
        <v>78</v>
      </c>
      <c r="C618" s="6">
        <v>111309.5</v>
      </c>
      <c r="D618" s="6">
        <v>112378.85257214331</v>
      </c>
      <c r="F618" s="20"/>
      <c r="G618" s="20"/>
      <c r="K618" s="20"/>
      <c r="L618" s="20"/>
      <c r="M618" s="20"/>
      <c r="N618" s="7">
        <f>SUM(N605:N615)</f>
        <v>20387</v>
      </c>
      <c r="O618" s="55"/>
      <c r="P618" s="55"/>
    </row>
    <row r="619" spans="1:16" x14ac:dyDescent="0.25">
      <c r="A619" s="19"/>
      <c r="F619" s="20"/>
      <c r="G619" s="20"/>
      <c r="K619" s="20"/>
      <c r="L619" s="20"/>
      <c r="M619" s="20"/>
      <c r="O619" s="55"/>
      <c r="P619" s="55"/>
    </row>
    <row r="620" spans="1:16" x14ac:dyDescent="0.25">
      <c r="A620" s="19" t="s">
        <v>68</v>
      </c>
      <c r="C620" s="6">
        <v>54</v>
      </c>
      <c r="D620" s="6">
        <v>54</v>
      </c>
      <c r="F620" s="20">
        <v>54</v>
      </c>
      <c r="G620" s="20"/>
      <c r="H620" s="7">
        <f t="shared" ref="H620:I621" si="114">ROUND($F620*C620,0)</f>
        <v>2916</v>
      </c>
      <c r="I620" s="7">
        <f t="shared" si="114"/>
        <v>2916</v>
      </c>
      <c r="K620" s="20"/>
      <c r="L620" s="20">
        <f t="shared" ref="L620:L626" si="115">L554</f>
        <v>53</v>
      </c>
      <c r="M620" s="20"/>
      <c r="N620" s="7">
        <f>ROUND($D620*L620,0)</f>
        <v>2862</v>
      </c>
      <c r="O620" s="55"/>
      <c r="P620" s="55"/>
    </row>
    <row r="621" spans="1:16" x14ac:dyDescent="0.25">
      <c r="A621" s="19" t="s">
        <v>79</v>
      </c>
      <c r="C621" s="6">
        <v>0</v>
      </c>
      <c r="D621" s="6">
        <v>0</v>
      </c>
      <c r="E621" s="24"/>
      <c r="F621" s="20">
        <v>648</v>
      </c>
      <c r="G621" s="20"/>
      <c r="H621" s="7">
        <f t="shared" si="114"/>
        <v>0</v>
      </c>
      <c r="I621" s="7">
        <f t="shared" si="114"/>
        <v>0</v>
      </c>
      <c r="J621" s="24"/>
      <c r="K621" s="20"/>
      <c r="L621" s="20">
        <f t="shared" si="115"/>
        <v>636</v>
      </c>
      <c r="M621" s="20"/>
      <c r="N621" s="7">
        <f>ROUND($D621*L621,0)</f>
        <v>0</v>
      </c>
      <c r="O621" s="55"/>
      <c r="P621" s="55"/>
    </row>
    <row r="622" spans="1:16" x14ac:dyDescent="0.25">
      <c r="A622" s="19" t="s">
        <v>81</v>
      </c>
      <c r="C622" s="6">
        <v>2327</v>
      </c>
      <c r="D622" s="6">
        <v>2349</v>
      </c>
      <c r="F622" s="20">
        <v>4.04</v>
      </c>
      <c r="G622" s="20"/>
      <c r="H622" s="7">
        <f>ROUND($F622*C622,0)</f>
        <v>9401</v>
      </c>
      <c r="I622" s="7">
        <f>ROUND($F622*D622,0)</f>
        <v>9490</v>
      </c>
      <c r="K622" s="20"/>
      <c r="L622" s="20">
        <f t="shared" si="115"/>
        <v>3.99</v>
      </c>
      <c r="M622" s="20"/>
      <c r="N622" s="7">
        <f>ROUND($D622*L622,0)</f>
        <v>9373</v>
      </c>
      <c r="O622" s="55"/>
      <c r="P622" s="55"/>
    </row>
    <row r="623" spans="1:16" x14ac:dyDescent="0.25">
      <c r="A623" s="19" t="s">
        <v>99</v>
      </c>
      <c r="C623" s="6">
        <v>775.5</v>
      </c>
      <c r="D623" s="6">
        <v>783</v>
      </c>
      <c r="F623" s="24"/>
      <c r="G623" s="24"/>
      <c r="K623" s="24"/>
      <c r="L623" s="24">
        <f t="shared" si="115"/>
        <v>13.27</v>
      </c>
      <c r="M623" s="24"/>
      <c r="N623" s="7">
        <f>ROUND($D623*L623,0)</f>
        <v>10390</v>
      </c>
      <c r="O623" s="57"/>
      <c r="P623" s="57"/>
    </row>
    <row r="624" spans="1:16" x14ac:dyDescent="0.25">
      <c r="A624" s="19" t="s">
        <v>100</v>
      </c>
      <c r="C624" s="6">
        <v>1551.5</v>
      </c>
      <c r="D624" s="6">
        <v>1566</v>
      </c>
      <c r="F624" s="24"/>
      <c r="G624" s="24"/>
      <c r="K624" s="24"/>
      <c r="L624" s="24">
        <f t="shared" si="115"/>
        <v>11.74</v>
      </c>
      <c r="M624" s="24"/>
      <c r="N624" s="7">
        <f>ROUND($D624*L624,0)</f>
        <v>18385</v>
      </c>
      <c r="O624" s="57"/>
      <c r="P624" s="57"/>
    </row>
    <row r="625" spans="1:17" x14ac:dyDescent="0.25">
      <c r="A625" s="19" t="s">
        <v>84</v>
      </c>
      <c r="C625" s="6">
        <v>42438.5</v>
      </c>
      <c r="D625" s="6">
        <v>42845.852572143311</v>
      </c>
      <c r="F625" s="100"/>
      <c r="G625" s="26"/>
      <c r="K625" s="100"/>
      <c r="L625" s="100">
        <f t="shared" si="115"/>
        <v>3.8877999999999999</v>
      </c>
      <c r="M625" s="26" t="s">
        <v>18</v>
      </c>
      <c r="N625" s="7">
        <f>ROUND($D625*L625/100,0)</f>
        <v>1666</v>
      </c>
      <c r="O625" s="207"/>
      <c r="P625" s="59"/>
    </row>
    <row r="626" spans="1:17" x14ac:dyDescent="0.25">
      <c r="A626" s="19" t="s">
        <v>85</v>
      </c>
      <c r="C626" s="6">
        <v>68871</v>
      </c>
      <c r="D626" s="6">
        <v>69533</v>
      </c>
      <c r="F626" s="100"/>
      <c r="G626" s="26"/>
      <c r="K626" s="100"/>
      <c r="L626" s="100">
        <f t="shared" si="115"/>
        <v>3.4405000000000001</v>
      </c>
      <c r="M626" s="26" t="s">
        <v>18</v>
      </c>
      <c r="N626" s="7">
        <f>ROUND($D626*L626/100,0)</f>
        <v>2392</v>
      </c>
      <c r="O626" s="207"/>
      <c r="P626" s="59"/>
    </row>
    <row r="627" spans="1:17" x14ac:dyDescent="0.25">
      <c r="A627" s="19" t="s">
        <v>101</v>
      </c>
      <c r="C627" s="6">
        <v>1043.3252055564781</v>
      </c>
      <c r="D627" s="6">
        <v>1053</v>
      </c>
      <c r="F627" s="20">
        <v>14.62</v>
      </c>
      <c r="G627" s="20"/>
      <c r="H627" s="7">
        <f t="shared" ref="H627:I629" si="116">ROUND($F627*C627,0)</f>
        <v>15253</v>
      </c>
      <c r="I627" s="7">
        <f t="shared" si="116"/>
        <v>15395</v>
      </c>
      <c r="K627" s="20"/>
      <c r="L627" s="20"/>
      <c r="M627" s="20"/>
      <c r="O627" s="55"/>
      <c r="P627" s="55"/>
    </row>
    <row r="628" spans="1:17" x14ac:dyDescent="0.25">
      <c r="A628" s="19" t="s">
        <v>102</v>
      </c>
      <c r="C628" s="6">
        <v>1283.6747944435219</v>
      </c>
      <c r="D628" s="6">
        <v>1296</v>
      </c>
      <c r="F628" s="20">
        <v>10.91</v>
      </c>
      <c r="G628" s="20"/>
      <c r="H628" s="7">
        <f t="shared" si="116"/>
        <v>14005</v>
      </c>
      <c r="I628" s="7">
        <f t="shared" si="116"/>
        <v>14139</v>
      </c>
      <c r="K628" s="20"/>
      <c r="L628" s="20"/>
      <c r="M628" s="20"/>
      <c r="O628" s="55"/>
      <c r="P628" s="55"/>
    </row>
    <row r="629" spans="1:17" x14ac:dyDescent="0.25">
      <c r="A629" s="19" t="s">
        <v>77</v>
      </c>
      <c r="C629" s="6">
        <v>0</v>
      </c>
      <c r="D629" s="6">
        <v>0</v>
      </c>
      <c r="F629" s="20">
        <v>-0.96</v>
      </c>
      <c r="G629" s="20"/>
      <c r="H629" s="7">
        <f t="shared" si="116"/>
        <v>0</v>
      </c>
      <c r="I629" s="7">
        <f t="shared" si="116"/>
        <v>0</v>
      </c>
      <c r="K629" s="20"/>
      <c r="L629" s="20">
        <f>L563</f>
        <v>-0.96</v>
      </c>
      <c r="M629" s="20"/>
      <c r="N629" s="7">
        <f>ROUND($D629*L629,0)</f>
        <v>0</v>
      </c>
      <c r="O629" s="55"/>
      <c r="P629" s="55"/>
    </row>
    <row r="630" spans="1:17" x14ac:dyDescent="0.25">
      <c r="A630" s="19" t="s">
        <v>88</v>
      </c>
      <c r="C630" s="6">
        <v>46037.204457290034</v>
      </c>
      <c r="D630" s="6">
        <v>46479</v>
      </c>
      <c r="F630" s="100">
        <v>3.8127</v>
      </c>
      <c r="G630" s="26" t="s">
        <v>18</v>
      </c>
      <c r="H630" s="7">
        <f>ROUND($F630*C630/100,0)</f>
        <v>1755</v>
      </c>
      <c r="I630" s="7">
        <f>ROUND($F630*D630/100,0)</f>
        <v>1772</v>
      </c>
      <c r="K630" s="100"/>
      <c r="L630" s="100"/>
      <c r="M630" s="26"/>
      <c r="O630" s="207"/>
      <c r="P630" s="59"/>
    </row>
    <row r="631" spans="1:17" x14ac:dyDescent="0.25">
      <c r="A631" s="19" t="s">
        <v>89</v>
      </c>
      <c r="C631" s="6">
        <v>65272.295542709966</v>
      </c>
      <c r="D631" s="6">
        <v>65899.852572143311</v>
      </c>
      <c r="F631" s="100">
        <v>3.5143</v>
      </c>
      <c r="G631" s="26" t="s">
        <v>18</v>
      </c>
      <c r="H631" s="7">
        <f>ROUND($F631*C631/100,0)</f>
        <v>2294</v>
      </c>
      <c r="I631" s="7">
        <f>ROUND($F631*D631/100,0)</f>
        <v>2316</v>
      </c>
      <c r="K631" s="100"/>
      <c r="L631" s="100"/>
      <c r="M631" s="26"/>
      <c r="O631" s="207"/>
      <c r="P631" s="59"/>
    </row>
    <row r="632" spans="1:17" x14ac:dyDescent="0.25">
      <c r="A632" s="19" t="s">
        <v>33</v>
      </c>
      <c r="C632" s="36">
        <v>0</v>
      </c>
      <c r="D632" s="36">
        <v>0</v>
      </c>
      <c r="H632" s="37">
        <v>0</v>
      </c>
      <c r="I632" s="37">
        <v>0</v>
      </c>
      <c r="N632" s="37"/>
      <c r="Q632" s="64"/>
    </row>
    <row r="633" spans="1:17" x14ac:dyDescent="0.25">
      <c r="A633" s="19" t="s">
        <v>34</v>
      </c>
      <c r="F633" s="23">
        <v>-3.61E-2</v>
      </c>
      <c r="G633" s="24"/>
      <c r="H633" s="7">
        <f>SUM(H627:H628,H630:H631)*$F633</f>
        <v>-1202.3827000000001</v>
      </c>
      <c r="I633" s="7">
        <f>SUM(I627:I628,I630:I631)*$F633</f>
        <v>-1213.7542000000001</v>
      </c>
      <c r="K633" s="93" t="str">
        <f>$K$43</f>
        <v>TAA 1 (1/1/2021)</v>
      </c>
      <c r="L633" s="23">
        <f>$L$687</f>
        <v>-2.6100000000000002E-2</v>
      </c>
      <c r="M633" s="24"/>
      <c r="N633" s="7">
        <f>L633*SUM(N623:N626)</f>
        <v>-856.94130000000007</v>
      </c>
      <c r="O633" s="65"/>
      <c r="P633" s="57"/>
    </row>
    <row r="634" spans="1:17" x14ac:dyDescent="0.25">
      <c r="A634" s="19"/>
      <c r="F634" s="23"/>
      <c r="G634" s="24"/>
      <c r="K634" s="93" t="str">
        <f>$K$44</f>
        <v>TAA 2 (1/1/2022)</v>
      </c>
      <c r="L634" s="23">
        <f>$L$688</f>
        <v>-1.2999999999999999E-2</v>
      </c>
      <c r="M634" s="24"/>
      <c r="N634" s="7">
        <f>L634*SUM(N623:N626)</f>
        <v>-426.82900000000001</v>
      </c>
      <c r="O634" s="65"/>
      <c r="P634" s="57"/>
    </row>
    <row r="635" spans="1:17" ht="16.5" thickBot="1" x14ac:dyDescent="0.3">
      <c r="A635" s="19" t="s">
        <v>36</v>
      </c>
      <c r="C635" s="101">
        <v>111309.5</v>
      </c>
      <c r="D635" s="101">
        <v>112378.85257214331</v>
      </c>
      <c r="F635" s="41"/>
      <c r="H635" s="95">
        <f>SUM(H620:H633)</f>
        <v>44421.617299999998</v>
      </c>
      <c r="I635" s="95">
        <f>SUM(I620:I633)</f>
        <v>44814.245799999997</v>
      </c>
      <c r="K635" s="41"/>
      <c r="L635" s="41"/>
      <c r="N635" s="95">
        <f>SUM(N620:N632)</f>
        <v>45068</v>
      </c>
      <c r="O635" s="68"/>
      <c r="Q635" s="208"/>
    </row>
    <row r="636" spans="1:17" ht="16.5" thickTop="1" x14ac:dyDescent="0.25"/>
    <row r="637" spans="1:17" x14ac:dyDescent="0.25">
      <c r="A637" s="15" t="s">
        <v>105</v>
      </c>
    </row>
    <row r="638" spans="1:17" x14ac:dyDescent="0.25">
      <c r="A638" s="19" t="s">
        <v>68</v>
      </c>
      <c r="C638" s="6">
        <v>2</v>
      </c>
      <c r="D638" s="6">
        <v>6</v>
      </c>
      <c r="F638" s="20"/>
      <c r="G638" s="20"/>
      <c r="K638" s="20"/>
      <c r="L638" s="20">
        <f t="shared" ref="L638:L648" si="117">L539</f>
        <v>53</v>
      </c>
      <c r="M638" s="20"/>
      <c r="N638" s="7">
        <f>ROUND($D638*L638,0)</f>
        <v>318</v>
      </c>
      <c r="O638" s="55"/>
      <c r="P638" s="55"/>
    </row>
    <row r="639" spans="1:17" x14ac:dyDescent="0.25">
      <c r="A639" s="19" t="s">
        <v>69</v>
      </c>
      <c r="C639" s="6">
        <v>0</v>
      </c>
      <c r="D639" s="6">
        <v>0</v>
      </c>
      <c r="E639" s="24"/>
      <c r="F639" s="99"/>
      <c r="G639" s="26"/>
      <c r="J639" s="24"/>
      <c r="K639" s="99"/>
      <c r="L639" s="99">
        <f t="shared" si="117"/>
        <v>22.156199999999998</v>
      </c>
      <c r="M639" s="26" t="s">
        <v>18</v>
      </c>
      <c r="N639" s="7">
        <f t="shared" ref="N639:N646" si="118">ROUND($D639*L639/100,0)</f>
        <v>0</v>
      </c>
      <c r="O639" s="206"/>
      <c r="P639" s="59"/>
    </row>
    <row r="640" spans="1:17" x14ac:dyDescent="0.25">
      <c r="A640" s="19" t="s">
        <v>70</v>
      </c>
      <c r="C640" s="6">
        <v>0</v>
      </c>
      <c r="D640" s="6">
        <v>0</v>
      </c>
      <c r="E640" s="24"/>
      <c r="F640" s="99"/>
      <c r="G640" s="26"/>
      <c r="J640" s="24"/>
      <c r="K640" s="99"/>
      <c r="L640" s="99">
        <f t="shared" si="117"/>
        <v>4.309899999999999</v>
      </c>
      <c r="M640" s="26" t="s">
        <v>18</v>
      </c>
      <c r="N640" s="7">
        <f t="shared" si="118"/>
        <v>0</v>
      </c>
      <c r="O640" s="206"/>
      <c r="P640" s="59"/>
    </row>
    <row r="641" spans="1:16" x14ac:dyDescent="0.25">
      <c r="A641" s="19" t="s">
        <v>71</v>
      </c>
      <c r="C641" s="6">
        <v>3467.5</v>
      </c>
      <c r="D641" s="6">
        <v>11579.888107875484</v>
      </c>
      <c r="E641" s="24"/>
      <c r="F641" s="99"/>
      <c r="G641" s="26"/>
      <c r="J641" s="24"/>
      <c r="K641" s="99"/>
      <c r="L641" s="99">
        <f t="shared" si="117"/>
        <v>19.607299999999999</v>
      </c>
      <c r="M641" s="26" t="s">
        <v>18</v>
      </c>
      <c r="N641" s="7">
        <f t="shared" si="118"/>
        <v>2271</v>
      </c>
      <c r="O641" s="206"/>
      <c r="P641" s="59"/>
    </row>
    <row r="642" spans="1:16" x14ac:dyDescent="0.25">
      <c r="A642" s="19" t="s">
        <v>72</v>
      </c>
      <c r="C642" s="6">
        <v>75.5</v>
      </c>
      <c r="D642" s="6">
        <v>252.13599196671925</v>
      </c>
      <c r="E642" s="24"/>
      <c r="F642" s="99"/>
      <c r="G642" s="26"/>
      <c r="J642" s="24"/>
      <c r="K642" s="99"/>
      <c r="L642" s="99">
        <f t="shared" si="117"/>
        <v>3.8140999999999989</v>
      </c>
      <c r="M642" s="26" t="s">
        <v>18</v>
      </c>
      <c r="N642" s="7">
        <f t="shared" si="118"/>
        <v>10</v>
      </c>
      <c r="O642" s="206"/>
      <c r="P642" s="59"/>
    </row>
    <row r="643" spans="1:16" x14ac:dyDescent="0.25">
      <c r="A643" s="19" t="s">
        <v>73</v>
      </c>
      <c r="C643" s="6">
        <v>0</v>
      </c>
      <c r="D643" s="6">
        <v>0</v>
      </c>
      <c r="E643" s="24"/>
      <c r="F643" s="99"/>
      <c r="G643" s="26"/>
      <c r="J643" s="24"/>
      <c r="K643" s="99"/>
      <c r="L643" s="99">
        <f t="shared" si="117"/>
        <v>6</v>
      </c>
      <c r="M643" s="26" t="s">
        <v>18</v>
      </c>
      <c r="N643" s="7">
        <f t="shared" si="118"/>
        <v>0</v>
      </c>
      <c r="O643" s="206"/>
      <c r="P643" s="59"/>
    </row>
    <row r="644" spans="1:16" x14ac:dyDescent="0.25">
      <c r="A644" s="19" t="s">
        <v>74</v>
      </c>
      <c r="C644" s="6">
        <v>0</v>
      </c>
      <c r="D644" s="6">
        <v>0</v>
      </c>
      <c r="E644" s="24"/>
      <c r="F644" s="99"/>
      <c r="G644" s="26"/>
      <c r="J644" s="24"/>
      <c r="K644" s="99"/>
      <c r="L644" s="99">
        <f t="shared" si="117"/>
        <v>-2.335799999999999</v>
      </c>
      <c r="M644" s="26" t="s">
        <v>18</v>
      </c>
      <c r="N644" s="7">
        <f t="shared" si="118"/>
        <v>0</v>
      </c>
      <c r="O644" s="206"/>
      <c r="P644" s="59"/>
    </row>
    <row r="645" spans="1:16" x14ac:dyDescent="0.25">
      <c r="A645" s="19" t="s">
        <v>75</v>
      </c>
      <c r="C645" s="6">
        <v>1967.6068349026409</v>
      </c>
      <c r="D645" s="6">
        <v>6570.9205446182013</v>
      </c>
      <c r="E645" s="24"/>
      <c r="F645" s="99"/>
      <c r="G645" s="26"/>
      <c r="J645" s="24"/>
      <c r="K645" s="99"/>
      <c r="L645" s="99">
        <f t="shared" si="117"/>
        <v>5.3097000000000003</v>
      </c>
      <c r="M645" s="26" t="s">
        <v>18</v>
      </c>
      <c r="N645" s="7">
        <f t="shared" si="118"/>
        <v>349</v>
      </c>
      <c r="O645" s="206"/>
      <c r="P645" s="59"/>
    </row>
    <row r="646" spans="1:16" x14ac:dyDescent="0.25">
      <c r="A646" s="19" t="s">
        <v>76</v>
      </c>
      <c r="C646" s="6">
        <v>1575.3931650973593</v>
      </c>
      <c r="D646" s="6">
        <v>5261.1035552240028</v>
      </c>
      <c r="E646" s="24"/>
      <c r="F646" s="99"/>
      <c r="G646" s="26"/>
      <c r="J646" s="24"/>
      <c r="K646" s="99"/>
      <c r="L646" s="99">
        <f t="shared" si="117"/>
        <v>-2.0670999999999999</v>
      </c>
      <c r="M646" s="26" t="s">
        <v>18</v>
      </c>
      <c r="N646" s="7">
        <f t="shared" si="118"/>
        <v>-109</v>
      </c>
      <c r="O646" s="206"/>
      <c r="P646" s="59"/>
    </row>
    <row r="647" spans="1:16" x14ac:dyDescent="0.25">
      <c r="A647" s="19" t="s">
        <v>77</v>
      </c>
      <c r="C647" s="6">
        <v>0</v>
      </c>
      <c r="D647" s="6">
        <v>0</v>
      </c>
      <c r="F647" s="20"/>
      <c r="G647" s="20"/>
      <c r="K647" s="20"/>
      <c r="L647" s="20">
        <f t="shared" si="117"/>
        <v>-0.61</v>
      </c>
      <c r="M647" s="20"/>
      <c r="N647" s="7">
        <f>ROUND($D647*L647,0)</f>
        <v>0</v>
      </c>
      <c r="O647" s="55"/>
      <c r="P647" s="55"/>
    </row>
    <row r="648" spans="1:16" x14ac:dyDescent="0.25">
      <c r="A648" s="32" t="s">
        <v>32</v>
      </c>
      <c r="C648" s="6">
        <v>0</v>
      </c>
      <c r="D648" s="6">
        <v>0</v>
      </c>
      <c r="F648" s="100"/>
      <c r="G648" s="26"/>
      <c r="K648" s="100"/>
      <c r="L648" s="100">
        <f t="shared" si="117"/>
        <v>7.125</v>
      </c>
      <c r="M648" s="26" t="s">
        <v>18</v>
      </c>
      <c r="N648" s="7">
        <f>ROUND($D648*L648/100,0)</f>
        <v>0</v>
      </c>
      <c r="O648" s="207"/>
      <c r="P648" s="59"/>
    </row>
    <row r="649" spans="1:16" x14ac:dyDescent="0.25">
      <c r="A649" s="19" t="s">
        <v>34</v>
      </c>
      <c r="F649" s="23"/>
      <c r="G649" s="24"/>
      <c r="K649" s="93" t="str">
        <f>$K$43</f>
        <v>TAA 1 (1/1/2021)</v>
      </c>
      <c r="L649" s="23">
        <f>$L$979</f>
        <v>-2.9100000000000001E-2</v>
      </c>
      <c r="M649" s="24"/>
      <c r="N649" s="7">
        <f>L649*SUM(N639:N642,N648)</f>
        <v>-66.377099999999999</v>
      </c>
      <c r="O649" s="65"/>
      <c r="P649" s="57"/>
    </row>
    <row r="650" spans="1:16" x14ac:dyDescent="0.25">
      <c r="A650" s="19"/>
      <c r="F650" s="23"/>
      <c r="G650" s="24"/>
      <c r="K650" s="93" t="str">
        <f>$K$44</f>
        <v>TAA 2 (1/1/2022)</v>
      </c>
      <c r="L650" s="23">
        <f>$L$980</f>
        <v>-1.46E-2</v>
      </c>
      <c r="M650" s="24"/>
      <c r="N650" s="7">
        <f>L650*SUM(N639:N642,N648)</f>
        <v>-33.302599999999998</v>
      </c>
      <c r="O650" s="65"/>
      <c r="P650" s="57"/>
    </row>
    <row r="651" spans="1:16" x14ac:dyDescent="0.25">
      <c r="A651" s="19" t="s">
        <v>78</v>
      </c>
      <c r="C651" s="6">
        <v>3543</v>
      </c>
      <c r="D651" s="6">
        <v>11832.024099842203</v>
      </c>
      <c r="F651" s="20"/>
      <c r="G651" s="20"/>
      <c r="K651" s="20"/>
      <c r="L651" s="20"/>
      <c r="M651" s="20"/>
      <c r="N651" s="7">
        <f>SUM(N638:N648)</f>
        <v>2839</v>
      </c>
      <c r="O651" s="55"/>
      <c r="P651" s="55"/>
    </row>
    <row r="652" spans="1:16" x14ac:dyDescent="0.25">
      <c r="A652" s="19"/>
      <c r="F652" s="20"/>
      <c r="G652" s="20"/>
      <c r="K652" s="20"/>
      <c r="L652" s="20"/>
      <c r="M652" s="20"/>
      <c r="O652" s="55"/>
      <c r="P652" s="55"/>
    </row>
    <row r="653" spans="1:16" x14ac:dyDescent="0.25">
      <c r="A653" s="102" t="s">
        <v>68</v>
      </c>
      <c r="C653" s="6">
        <v>2</v>
      </c>
      <c r="D653" s="6">
        <v>6</v>
      </c>
      <c r="F653" s="20">
        <v>54</v>
      </c>
      <c r="G653" s="20"/>
      <c r="H653" s="7">
        <f t="shared" ref="H653:I654" si="119">ROUND($F653*C653,0)</f>
        <v>108</v>
      </c>
      <c r="I653" s="7">
        <f t="shared" si="119"/>
        <v>324</v>
      </c>
      <c r="K653" s="20"/>
      <c r="L653" s="20">
        <f t="shared" ref="L653:L659" si="120">L554</f>
        <v>53</v>
      </c>
      <c r="M653" s="20"/>
      <c r="N653" s="7">
        <f>ROUND($D653*L653,0)</f>
        <v>318</v>
      </c>
      <c r="O653" s="55"/>
      <c r="P653" s="55"/>
    </row>
    <row r="654" spans="1:16" x14ac:dyDescent="0.25">
      <c r="A654" s="19" t="s">
        <v>79</v>
      </c>
      <c r="C654" s="6">
        <v>0</v>
      </c>
      <c r="D654" s="6">
        <v>0</v>
      </c>
      <c r="E654" s="24"/>
      <c r="F654" s="20">
        <v>648</v>
      </c>
      <c r="G654" s="20"/>
      <c r="H654" s="7">
        <f t="shared" si="119"/>
        <v>0</v>
      </c>
      <c r="I654" s="7">
        <f t="shared" si="119"/>
        <v>0</v>
      </c>
      <c r="J654" s="24"/>
      <c r="K654" s="20"/>
      <c r="L654" s="20">
        <f t="shared" si="120"/>
        <v>636</v>
      </c>
      <c r="M654" s="20"/>
      <c r="N654" s="7">
        <f>ROUND($D654*L654,0)</f>
        <v>0</v>
      </c>
      <c r="O654" s="55"/>
      <c r="P654" s="55"/>
    </row>
    <row r="655" spans="1:16" x14ac:dyDescent="0.25">
      <c r="A655" s="19" t="s">
        <v>81</v>
      </c>
      <c r="C655" s="6">
        <v>79</v>
      </c>
      <c r="D655" s="6">
        <v>264</v>
      </c>
      <c r="F655" s="20">
        <v>4.04</v>
      </c>
      <c r="G655" s="20"/>
      <c r="H655" s="7">
        <f>ROUND($F655*C655,0)</f>
        <v>319</v>
      </c>
      <c r="I655" s="7">
        <f>ROUND($F655*D655,0)</f>
        <v>1067</v>
      </c>
      <c r="K655" s="20"/>
      <c r="L655" s="20">
        <f t="shared" si="120"/>
        <v>3.99</v>
      </c>
      <c r="M655" s="20"/>
      <c r="N655" s="7">
        <f>ROUND($D655*L655,0)</f>
        <v>1053</v>
      </c>
      <c r="O655" s="55"/>
      <c r="P655" s="55"/>
    </row>
    <row r="656" spans="1:16" x14ac:dyDescent="0.25">
      <c r="A656" s="19" t="s">
        <v>99</v>
      </c>
      <c r="C656" s="6">
        <v>0</v>
      </c>
      <c r="D656" s="6">
        <v>0</v>
      </c>
      <c r="F656" s="24"/>
      <c r="G656" s="24"/>
      <c r="K656" s="24"/>
      <c r="L656" s="24">
        <f t="shared" si="120"/>
        <v>13.27</v>
      </c>
      <c r="M656" s="24"/>
      <c r="N656" s="7">
        <f>ROUND($D656*L656,0)</f>
        <v>0</v>
      </c>
      <c r="O656" s="57"/>
      <c r="P656" s="57"/>
    </row>
    <row r="657" spans="1:17" x14ac:dyDescent="0.25">
      <c r="A657" s="19" t="s">
        <v>100</v>
      </c>
      <c r="C657" s="6">
        <v>79</v>
      </c>
      <c r="D657" s="6">
        <v>264</v>
      </c>
      <c r="F657" s="24"/>
      <c r="G657" s="24"/>
      <c r="K657" s="24"/>
      <c r="L657" s="24">
        <f t="shared" si="120"/>
        <v>11.74</v>
      </c>
      <c r="M657" s="24"/>
      <c r="N657" s="7">
        <f>ROUND($D657*L657,0)</f>
        <v>3099</v>
      </c>
      <c r="O657" s="57"/>
      <c r="P657" s="57"/>
    </row>
    <row r="658" spans="1:17" x14ac:dyDescent="0.25">
      <c r="A658" s="19" t="s">
        <v>84</v>
      </c>
      <c r="C658" s="6">
        <v>0</v>
      </c>
      <c r="D658" s="6">
        <v>2.4099842203213484E-2</v>
      </c>
      <c r="F658" s="100"/>
      <c r="G658" s="26"/>
      <c r="K658" s="100"/>
      <c r="L658" s="100">
        <f t="shared" si="120"/>
        <v>3.8877999999999999</v>
      </c>
      <c r="M658" s="26" t="s">
        <v>18</v>
      </c>
      <c r="N658" s="7">
        <f>ROUND($D658*L658/100,0)</f>
        <v>0</v>
      </c>
      <c r="O658" s="207"/>
      <c r="P658" s="59"/>
    </row>
    <row r="659" spans="1:17" x14ac:dyDescent="0.25">
      <c r="A659" s="19" t="s">
        <v>85</v>
      </c>
      <c r="C659" s="6">
        <v>3543</v>
      </c>
      <c r="D659" s="6">
        <v>11832</v>
      </c>
      <c r="F659" s="100"/>
      <c r="G659" s="26"/>
      <c r="K659" s="100"/>
      <c r="L659" s="100">
        <f t="shared" si="120"/>
        <v>3.4405000000000001</v>
      </c>
      <c r="M659" s="26" t="s">
        <v>18</v>
      </c>
      <c r="N659" s="7">
        <f>ROUND($D659*L659/100,0)</f>
        <v>407</v>
      </c>
      <c r="O659" s="207"/>
      <c r="P659" s="59"/>
    </row>
    <row r="660" spans="1:17" x14ac:dyDescent="0.25">
      <c r="A660" s="19" t="s">
        <v>101</v>
      </c>
      <c r="C660" s="6">
        <v>0</v>
      </c>
      <c r="D660" s="6">
        <v>0</v>
      </c>
      <c r="F660" s="20">
        <v>14.62</v>
      </c>
      <c r="G660" s="20"/>
      <c r="H660" s="7">
        <f t="shared" ref="H660:I662" si="121">ROUND($F660*C660,0)</f>
        <v>0</v>
      </c>
      <c r="I660" s="7">
        <f t="shared" si="121"/>
        <v>0</v>
      </c>
      <c r="K660" s="20"/>
      <c r="L660" s="20"/>
      <c r="M660" s="20"/>
      <c r="O660" s="55"/>
      <c r="P660" s="55"/>
    </row>
    <row r="661" spans="1:17" x14ac:dyDescent="0.25">
      <c r="A661" s="19" t="s">
        <v>102</v>
      </c>
      <c r="C661" s="6">
        <v>79</v>
      </c>
      <c r="D661" s="6">
        <v>264</v>
      </c>
      <c r="F661" s="20">
        <v>10.91</v>
      </c>
      <c r="G661" s="20"/>
      <c r="H661" s="7">
        <f t="shared" si="121"/>
        <v>862</v>
      </c>
      <c r="I661" s="7">
        <f t="shared" si="121"/>
        <v>2880</v>
      </c>
      <c r="K661" s="20"/>
      <c r="L661" s="20"/>
      <c r="M661" s="20"/>
      <c r="O661" s="55"/>
      <c r="P661" s="55"/>
    </row>
    <row r="662" spans="1:17" x14ac:dyDescent="0.25">
      <c r="A662" s="19" t="s">
        <v>77</v>
      </c>
      <c r="C662" s="6">
        <v>0</v>
      </c>
      <c r="D662" s="6">
        <v>0</v>
      </c>
      <c r="F662" s="20">
        <v>-0.96</v>
      </c>
      <c r="G662" s="20"/>
      <c r="H662" s="7">
        <f t="shared" si="121"/>
        <v>0</v>
      </c>
      <c r="I662" s="7">
        <f t="shared" si="121"/>
        <v>0</v>
      </c>
      <c r="K662" s="20"/>
      <c r="L662" s="20">
        <f>L563</f>
        <v>-0.96</v>
      </c>
      <c r="M662" s="20"/>
      <c r="N662" s="7">
        <f>ROUND($D662*L662,0)</f>
        <v>0</v>
      </c>
      <c r="O662" s="55"/>
      <c r="P662" s="55"/>
    </row>
    <row r="663" spans="1:17" x14ac:dyDescent="0.25">
      <c r="A663" s="19" t="s">
        <v>88</v>
      </c>
      <c r="C663" s="6">
        <v>0</v>
      </c>
      <c r="D663" s="6">
        <v>0</v>
      </c>
      <c r="F663" s="100">
        <v>3.8127</v>
      </c>
      <c r="G663" s="26" t="s">
        <v>18</v>
      </c>
      <c r="H663" s="7">
        <f>ROUND($F663*C663/100,0)</f>
        <v>0</v>
      </c>
      <c r="I663" s="7">
        <f>ROUND($F663*D663/100,0)</f>
        <v>0</v>
      </c>
      <c r="K663" s="100"/>
      <c r="L663" s="100"/>
      <c r="M663" s="26"/>
      <c r="O663" s="207"/>
      <c r="P663" s="59"/>
    </row>
    <row r="664" spans="1:17" x14ac:dyDescent="0.25">
      <c r="A664" s="19" t="s">
        <v>89</v>
      </c>
      <c r="C664" s="6">
        <v>3543</v>
      </c>
      <c r="D664" s="6">
        <v>11832.024099842203</v>
      </c>
      <c r="F664" s="100">
        <v>3.5143</v>
      </c>
      <c r="G664" s="26" t="s">
        <v>18</v>
      </c>
      <c r="H664" s="7">
        <f>ROUND($F664*C664/100,0)</f>
        <v>125</v>
      </c>
      <c r="I664" s="7">
        <f>ROUND($F664*D664/100,0)</f>
        <v>416</v>
      </c>
      <c r="K664" s="100"/>
      <c r="L664" s="100"/>
      <c r="M664" s="26"/>
      <c r="O664" s="207"/>
      <c r="P664" s="59"/>
    </row>
    <row r="665" spans="1:17" x14ac:dyDescent="0.25">
      <c r="A665" s="19" t="s">
        <v>33</v>
      </c>
      <c r="C665" s="36">
        <v>0</v>
      </c>
      <c r="D665" s="36">
        <v>0</v>
      </c>
      <c r="H665" s="37">
        <v>0</v>
      </c>
      <c r="I665" s="37">
        <v>0</v>
      </c>
      <c r="N665" s="37"/>
      <c r="Q665" s="64"/>
    </row>
    <row r="666" spans="1:17" x14ac:dyDescent="0.25">
      <c r="A666" s="19" t="s">
        <v>34</v>
      </c>
      <c r="F666" s="23">
        <v>-3.61E-2</v>
      </c>
      <c r="G666" s="24"/>
      <c r="H666" s="7">
        <f>SUM(H660:H661,H663:H664)*$F666</f>
        <v>-35.630699999999997</v>
      </c>
      <c r="I666" s="7">
        <f>SUM(I660:I661,I663:I664)*$F666</f>
        <v>-118.98560000000001</v>
      </c>
      <c r="K666" s="93" t="str">
        <f>$K$43</f>
        <v>TAA 1 (1/1/2021)</v>
      </c>
      <c r="L666" s="23">
        <f>$L$687</f>
        <v>-2.6100000000000002E-2</v>
      </c>
      <c r="M666" s="24"/>
      <c r="N666" s="7">
        <f>L666*SUM(N656:N659)</f>
        <v>-91.506600000000006</v>
      </c>
      <c r="O666" s="65"/>
      <c r="P666" s="57"/>
    </row>
    <row r="667" spans="1:17" x14ac:dyDescent="0.25">
      <c r="A667" s="19"/>
      <c r="F667" s="23"/>
      <c r="G667" s="24"/>
      <c r="K667" s="93" t="str">
        <f>$K$44</f>
        <v>TAA 2 (1/1/2022)</v>
      </c>
      <c r="L667" s="23">
        <f>$L$688</f>
        <v>-1.2999999999999999E-2</v>
      </c>
      <c r="M667" s="24"/>
      <c r="N667" s="7">
        <f>L667*SUM(N656:N659)</f>
        <v>-45.577999999999996</v>
      </c>
      <c r="O667" s="65"/>
      <c r="P667" s="57"/>
    </row>
    <row r="668" spans="1:17" ht="16.5" thickBot="1" x14ac:dyDescent="0.3">
      <c r="A668" s="19" t="s">
        <v>36</v>
      </c>
      <c r="C668" s="101">
        <v>3543</v>
      </c>
      <c r="D668" s="101">
        <v>11832.024099842203</v>
      </c>
      <c r="F668" s="41"/>
      <c r="H668" s="95">
        <f>SUM(H653:H666)</f>
        <v>1378.3693000000001</v>
      </c>
      <c r="I668" s="95">
        <f>SUM(I653:I666)</f>
        <v>4568.0144</v>
      </c>
      <c r="K668" s="41"/>
      <c r="L668" s="41"/>
      <c r="N668" s="95">
        <f>SUM(N653:N665)</f>
        <v>4877</v>
      </c>
      <c r="O668" s="68"/>
      <c r="Q668" s="208"/>
    </row>
    <row r="669" spans="1:17" ht="16.5" thickTop="1" x14ac:dyDescent="0.25"/>
    <row r="671" spans="1:17" x14ac:dyDescent="0.25">
      <c r="A671" s="15" t="s">
        <v>106</v>
      </c>
    </row>
    <row r="672" spans="1:17" x14ac:dyDescent="0.25">
      <c r="A672" s="19" t="s">
        <v>68</v>
      </c>
      <c r="C672" s="6">
        <v>157930.33333333372</v>
      </c>
      <c r="D672" s="6">
        <v>157116</v>
      </c>
      <c r="F672" s="20">
        <v>54</v>
      </c>
      <c r="G672" s="20"/>
      <c r="H672" s="7">
        <f t="shared" ref="H672:I682" si="122">ROUND($F672*C672,0)</f>
        <v>8528238</v>
      </c>
      <c r="I672" s="7">
        <f t="shared" si="122"/>
        <v>8484264</v>
      </c>
      <c r="K672" s="21"/>
      <c r="L672" s="20">
        <v>53</v>
      </c>
      <c r="M672" s="20"/>
      <c r="N672" s="7">
        <f t="shared" ref="N672:N677" si="123">ROUND($D672*L672,0)</f>
        <v>8327148</v>
      </c>
      <c r="O672" s="55"/>
      <c r="P672" s="55"/>
    </row>
    <row r="673" spans="1:17" x14ac:dyDescent="0.25">
      <c r="A673" s="19" t="s">
        <v>79</v>
      </c>
      <c r="C673" s="6">
        <v>0</v>
      </c>
      <c r="D673" s="6">
        <v>0</v>
      </c>
      <c r="F673" s="20">
        <v>648</v>
      </c>
      <c r="G673" s="20"/>
      <c r="H673" s="7">
        <f t="shared" si="122"/>
        <v>0</v>
      </c>
      <c r="I673" s="7">
        <f t="shared" si="122"/>
        <v>0</v>
      </c>
      <c r="K673" s="21"/>
      <c r="L673" s="20">
        <f>L672*12</f>
        <v>636</v>
      </c>
      <c r="M673" s="20"/>
      <c r="N673" s="7">
        <f t="shared" si="123"/>
        <v>0</v>
      </c>
      <c r="O673" s="55"/>
      <c r="P673" s="55"/>
    </row>
    <row r="674" spans="1:17" x14ac:dyDescent="0.25">
      <c r="A674" s="19" t="s">
        <v>80</v>
      </c>
      <c r="C674" s="6">
        <v>13.633333333333301</v>
      </c>
      <c r="D674" s="6">
        <v>14</v>
      </c>
      <c r="F674" s="24">
        <v>54</v>
      </c>
      <c r="G674" s="24"/>
      <c r="H674" s="7">
        <f t="shared" si="122"/>
        <v>736</v>
      </c>
      <c r="I674" s="7">
        <f t="shared" si="122"/>
        <v>756</v>
      </c>
      <c r="K674" s="21"/>
      <c r="L674" s="20">
        <f>L672</f>
        <v>53</v>
      </c>
      <c r="M674" s="24"/>
      <c r="N674" s="7">
        <f t="shared" si="123"/>
        <v>742</v>
      </c>
      <c r="O674" s="55"/>
      <c r="P674" s="57"/>
    </row>
    <row r="675" spans="1:17" x14ac:dyDescent="0.25">
      <c r="A675" s="19" t="s">
        <v>81</v>
      </c>
      <c r="C675" s="6">
        <v>16142756.858910916</v>
      </c>
      <c r="D675" s="6">
        <v>15576842</v>
      </c>
      <c r="F675" s="20">
        <v>4.04</v>
      </c>
      <c r="G675" s="20"/>
      <c r="H675" s="7">
        <f>ROUND($F675*C675,0)</f>
        <v>65216738</v>
      </c>
      <c r="I675" s="7">
        <f>ROUND($F675*D675,0)</f>
        <v>62930442</v>
      </c>
      <c r="K675" s="21"/>
      <c r="L675" s="20">
        <v>3.99</v>
      </c>
      <c r="M675" s="20"/>
      <c r="N675" s="7">
        <f t="shared" si="123"/>
        <v>62151600</v>
      </c>
      <c r="O675" s="55"/>
      <c r="P675" s="55"/>
    </row>
    <row r="676" spans="1:17" x14ac:dyDescent="0.25">
      <c r="A676" s="19" t="s">
        <v>82</v>
      </c>
      <c r="C676" s="6">
        <v>7196639.5007194839</v>
      </c>
      <c r="D676" s="6">
        <v>6921590</v>
      </c>
      <c r="F676" s="24"/>
      <c r="G676" s="24"/>
      <c r="K676" s="103"/>
      <c r="L676" s="24">
        <v>13.27</v>
      </c>
      <c r="M676" s="24"/>
      <c r="N676" s="7">
        <f t="shared" si="123"/>
        <v>91849499</v>
      </c>
      <c r="O676" s="57"/>
      <c r="P676" s="57"/>
    </row>
    <row r="677" spans="1:17" x14ac:dyDescent="0.25">
      <c r="A677" s="19" t="s">
        <v>83</v>
      </c>
      <c r="C677" s="6">
        <v>8946117.636377288</v>
      </c>
      <c r="D677" s="6">
        <v>8655252</v>
      </c>
      <c r="F677" s="24"/>
      <c r="G677" s="24"/>
      <c r="K677" s="103"/>
      <c r="L677" s="24">
        <v>11.74</v>
      </c>
      <c r="M677" s="24"/>
      <c r="N677" s="7">
        <f t="shared" si="123"/>
        <v>101612658</v>
      </c>
      <c r="O677" s="57"/>
      <c r="P677" s="57"/>
    </row>
    <row r="678" spans="1:17" x14ac:dyDescent="0.25">
      <c r="A678" s="19" t="s">
        <v>84</v>
      </c>
      <c r="C678" s="6">
        <v>2104339921.2249358</v>
      </c>
      <c r="D678" s="6">
        <v>2063156225.1889281</v>
      </c>
      <c r="F678" s="100"/>
      <c r="G678" s="26"/>
      <c r="K678" s="27"/>
      <c r="L678" s="100">
        <v>3.8877999999999999</v>
      </c>
      <c r="M678" s="26" t="s">
        <v>18</v>
      </c>
      <c r="N678" s="7">
        <f>ROUND($D678*L678/100,0)</f>
        <v>80211388</v>
      </c>
      <c r="O678" s="207"/>
      <c r="P678" s="59"/>
    </row>
    <row r="679" spans="1:17" x14ac:dyDescent="0.25">
      <c r="A679" s="19" t="s">
        <v>85</v>
      </c>
      <c r="C679" s="6">
        <v>3672776336.5082054</v>
      </c>
      <c r="D679" s="6">
        <v>3526754594</v>
      </c>
      <c r="F679" s="100"/>
      <c r="G679" s="26"/>
      <c r="K679" s="27"/>
      <c r="L679" s="100">
        <v>3.4405000000000001</v>
      </c>
      <c r="M679" s="26" t="s">
        <v>18</v>
      </c>
      <c r="N679" s="7">
        <f>ROUND($D679*L679/100,0)</f>
        <v>121337992</v>
      </c>
      <c r="O679" s="207"/>
      <c r="P679" s="59"/>
    </row>
    <row r="680" spans="1:17" x14ac:dyDescent="0.25">
      <c r="A680" s="19" t="s">
        <v>86</v>
      </c>
      <c r="C680" s="6">
        <v>7370533.2140903417</v>
      </c>
      <c r="D680" s="6">
        <v>7107269</v>
      </c>
      <c r="F680" s="20">
        <v>14.62</v>
      </c>
      <c r="G680" s="20"/>
      <c r="H680" s="7">
        <f t="shared" si="122"/>
        <v>107757196</v>
      </c>
      <c r="I680" s="7">
        <f t="shared" si="122"/>
        <v>103908273</v>
      </c>
      <c r="K680" s="21"/>
      <c r="L680" s="20"/>
      <c r="M680" s="20"/>
      <c r="O680" s="55"/>
      <c r="P680" s="55"/>
    </row>
    <row r="681" spans="1:17" x14ac:dyDescent="0.25">
      <c r="A681" s="19" t="s">
        <v>87</v>
      </c>
      <c r="C681" s="6">
        <v>8772223.9230064284</v>
      </c>
      <c r="D681" s="6">
        <v>8469573</v>
      </c>
      <c r="F681" s="20">
        <v>10.91</v>
      </c>
      <c r="G681" s="20"/>
      <c r="H681" s="7">
        <f t="shared" si="122"/>
        <v>95704963</v>
      </c>
      <c r="I681" s="7">
        <f t="shared" si="122"/>
        <v>92403041</v>
      </c>
      <c r="K681" s="21"/>
      <c r="L681" s="20"/>
      <c r="M681" s="20"/>
      <c r="O681" s="55"/>
      <c r="P681" s="55"/>
    </row>
    <row r="682" spans="1:17" x14ac:dyDescent="0.25">
      <c r="A682" s="19" t="s">
        <v>77</v>
      </c>
      <c r="C682" s="6">
        <v>572697.33333333302</v>
      </c>
      <c r="D682" s="6">
        <v>569738</v>
      </c>
      <c r="F682" s="20">
        <v>-0.96</v>
      </c>
      <c r="G682" s="20"/>
      <c r="H682" s="7">
        <f t="shared" si="122"/>
        <v>-549789</v>
      </c>
      <c r="I682" s="7">
        <f t="shared" si="122"/>
        <v>-546948</v>
      </c>
      <c r="K682" s="103"/>
      <c r="L682" s="20">
        <f>F682</f>
        <v>-0.96</v>
      </c>
      <c r="M682" s="20"/>
      <c r="N682" s="7">
        <f>ROUND($D682*L682,0)</f>
        <v>-546948</v>
      </c>
      <c r="O682" s="55"/>
      <c r="P682" s="55"/>
    </row>
    <row r="683" spans="1:17" x14ac:dyDescent="0.25">
      <c r="A683" s="19" t="s">
        <v>88</v>
      </c>
      <c r="C683" s="6">
        <v>2582975621.7403913</v>
      </c>
      <c r="D683" s="6">
        <v>2527546695.1889286</v>
      </c>
      <c r="F683" s="100">
        <v>3.8127</v>
      </c>
      <c r="G683" s="26" t="s">
        <v>18</v>
      </c>
      <c r="H683" s="7">
        <f t="shared" ref="H683:I685" si="124">ROUND($F683*C683/100,0)</f>
        <v>98481112</v>
      </c>
      <c r="I683" s="7">
        <f t="shared" si="124"/>
        <v>96367773</v>
      </c>
      <c r="K683" s="104"/>
      <c r="L683" s="100"/>
      <c r="M683" s="26"/>
      <c r="O683" s="207"/>
      <c r="P683" s="59"/>
    </row>
    <row r="684" spans="1:17" x14ac:dyDescent="0.25">
      <c r="A684" s="19" t="s">
        <v>89</v>
      </c>
      <c r="C684" s="6">
        <v>3194140635.9927492</v>
      </c>
      <c r="D684" s="6">
        <v>3062364124</v>
      </c>
      <c r="F684" s="100">
        <v>3.5143</v>
      </c>
      <c r="G684" s="26" t="s">
        <v>18</v>
      </c>
      <c r="H684" s="7">
        <f t="shared" si="124"/>
        <v>112251684</v>
      </c>
      <c r="I684" s="7">
        <f t="shared" si="124"/>
        <v>107620662</v>
      </c>
      <c r="K684" s="104"/>
      <c r="L684" s="100"/>
      <c r="M684" s="26"/>
      <c r="O684" s="207"/>
      <c r="P684" s="59"/>
    </row>
    <row r="685" spans="1:17" x14ac:dyDescent="0.25">
      <c r="A685" s="32" t="s">
        <v>32</v>
      </c>
      <c r="C685" s="6">
        <v>2072493</v>
      </c>
      <c r="D685" s="6">
        <v>1977670</v>
      </c>
      <c r="F685" s="100">
        <v>7.125</v>
      </c>
      <c r="G685" s="26" t="s">
        <v>18</v>
      </c>
      <c r="H685" s="7">
        <f t="shared" si="124"/>
        <v>147665</v>
      </c>
      <c r="I685" s="7">
        <f t="shared" si="124"/>
        <v>140909</v>
      </c>
      <c r="K685" s="27"/>
      <c r="L685" s="100">
        <v>7.125</v>
      </c>
      <c r="M685" s="26" t="s">
        <v>18</v>
      </c>
      <c r="N685" s="7">
        <f>ROUND($D685*L685/100,0)</f>
        <v>140909</v>
      </c>
      <c r="O685" s="207"/>
      <c r="P685" s="59"/>
    </row>
    <row r="686" spans="1:17" x14ac:dyDescent="0.25">
      <c r="A686" s="19" t="s">
        <v>33</v>
      </c>
      <c r="C686" s="36">
        <v>17677070</v>
      </c>
      <c r="D686" s="36">
        <v>0</v>
      </c>
      <c r="H686" s="37">
        <f>H707+H728+H749</f>
        <v>1707393.6474135239</v>
      </c>
      <c r="I686" s="37">
        <f>I707+I728+I749</f>
        <v>0</v>
      </c>
      <c r="N686" s="37"/>
      <c r="Q686" s="64"/>
    </row>
    <row r="687" spans="1:17" x14ac:dyDescent="0.25">
      <c r="A687" s="19" t="s">
        <v>34</v>
      </c>
      <c r="F687" s="23">
        <v>-3.61E-2</v>
      </c>
      <c r="G687" s="24"/>
      <c r="H687" s="7">
        <f>SUM(H680:H681,H683:H685)*$F687</f>
        <v>-14957768.582</v>
      </c>
      <c r="I687" s="7">
        <f>SUM(I680:I681,I683:I685)*$F687</f>
        <v>-14455907.753799999</v>
      </c>
      <c r="K687" s="93" t="str">
        <f>$K$43</f>
        <v>TAA 1 (1/1/2021)</v>
      </c>
      <c r="L687" s="23">
        <v>-2.6100000000000002E-2</v>
      </c>
      <c r="M687" s="24"/>
      <c r="N687" s="7">
        <f>L687*SUM(N676:N679,N685)</f>
        <v>-10313478.840600001</v>
      </c>
      <c r="O687" s="65"/>
      <c r="P687" s="57"/>
    </row>
    <row r="688" spans="1:17" x14ac:dyDescent="0.25">
      <c r="A688" s="19"/>
      <c r="F688" s="23"/>
      <c r="G688" s="24"/>
      <c r="K688" s="93" t="str">
        <f>$K$44</f>
        <v>TAA 2 (1/1/2022)</v>
      </c>
      <c r="L688" s="23">
        <v>-1.2999999999999999E-2</v>
      </c>
      <c r="M688" s="24"/>
      <c r="N688" s="7">
        <f>L688*SUM(N676:N679,N685)</f>
        <v>-5136981.7979999995</v>
      </c>
      <c r="O688" s="65"/>
      <c r="P688" s="57"/>
    </row>
    <row r="689" spans="1:17" x14ac:dyDescent="0.25">
      <c r="A689" s="32" t="s">
        <v>35</v>
      </c>
      <c r="C689" s="6">
        <v>26720</v>
      </c>
      <c r="D689" s="6">
        <v>25489</v>
      </c>
      <c r="F689" s="23"/>
      <c r="G689" s="24"/>
      <c r="K689" s="23"/>
      <c r="L689" s="23"/>
      <c r="M689" s="24"/>
      <c r="O689" s="65"/>
      <c r="P689" s="57"/>
    </row>
    <row r="690" spans="1:17" ht="16.5" thickBot="1" x14ac:dyDescent="0.3">
      <c r="A690" s="19" t="s">
        <v>36</v>
      </c>
      <c r="C690" s="101">
        <v>5796892540.7331409</v>
      </c>
      <c r="D690" s="101">
        <v>5591913978.1889286</v>
      </c>
      <c r="F690" s="41"/>
      <c r="H690" s="95">
        <f>SUM(H672:H687)</f>
        <v>474288168.06541353</v>
      </c>
      <c r="I690" s="95">
        <f>SUM(I672:I687)</f>
        <v>456853264.24620003</v>
      </c>
      <c r="K690" s="41"/>
      <c r="L690" s="41"/>
      <c r="N690" s="40">
        <f>SUM(N672:N686)</f>
        <v>465084988</v>
      </c>
      <c r="O690" s="68"/>
      <c r="Q690" s="67"/>
    </row>
    <row r="691" spans="1:17" ht="16.5" thickTop="1" x14ac:dyDescent="0.25"/>
    <row r="692" spans="1:17" x14ac:dyDescent="0.25">
      <c r="A692" s="15" t="s">
        <v>107</v>
      </c>
    </row>
    <row r="693" spans="1:17" x14ac:dyDescent="0.25">
      <c r="A693" s="19" t="s">
        <v>68</v>
      </c>
      <c r="C693" s="6">
        <v>3583.0333333333301</v>
      </c>
      <c r="D693" s="6">
        <v>3780</v>
      </c>
      <c r="F693" s="24">
        <v>54</v>
      </c>
      <c r="G693" s="24"/>
      <c r="H693" s="7">
        <f t="shared" ref="H693:I703" si="125">ROUND($F693*C693,0)</f>
        <v>193484</v>
      </c>
      <c r="I693" s="7">
        <f t="shared" si="125"/>
        <v>204120</v>
      </c>
      <c r="K693" s="24"/>
      <c r="L693" s="24">
        <f t="shared" ref="L693:L700" si="126">L672</f>
        <v>53</v>
      </c>
      <c r="M693" s="24"/>
      <c r="N693" s="7">
        <f t="shared" ref="N693:N698" si="127">ROUND($D693*L693,0)</f>
        <v>200340</v>
      </c>
      <c r="O693" s="57"/>
      <c r="P693" s="57"/>
    </row>
    <row r="694" spans="1:17" x14ac:dyDescent="0.25">
      <c r="A694" s="19" t="s">
        <v>79</v>
      </c>
      <c r="C694" s="6">
        <v>0</v>
      </c>
      <c r="D694" s="6">
        <v>0</v>
      </c>
      <c r="F694" s="24">
        <v>648</v>
      </c>
      <c r="G694" s="24"/>
      <c r="H694" s="7">
        <f t="shared" si="125"/>
        <v>0</v>
      </c>
      <c r="I694" s="7">
        <f t="shared" si="125"/>
        <v>0</v>
      </c>
      <c r="K694" s="24"/>
      <c r="L694" s="24">
        <f t="shared" si="126"/>
        <v>636</v>
      </c>
      <c r="M694" s="24"/>
      <c r="N694" s="7">
        <f t="shared" si="127"/>
        <v>0</v>
      </c>
      <c r="O694" s="57"/>
      <c r="P694" s="57"/>
    </row>
    <row r="695" spans="1:17" x14ac:dyDescent="0.25">
      <c r="A695" s="19" t="s">
        <v>80</v>
      </c>
      <c r="C695" s="6">
        <v>0</v>
      </c>
      <c r="D695" s="6">
        <v>0</v>
      </c>
      <c r="F695" s="24">
        <v>54</v>
      </c>
      <c r="G695" s="24"/>
      <c r="H695" s="7">
        <f t="shared" si="125"/>
        <v>0</v>
      </c>
      <c r="I695" s="7">
        <f t="shared" si="125"/>
        <v>0</v>
      </c>
      <c r="K695" s="24"/>
      <c r="L695" s="24">
        <f t="shared" si="126"/>
        <v>53</v>
      </c>
      <c r="M695" s="24"/>
      <c r="N695" s="7">
        <f t="shared" si="127"/>
        <v>0</v>
      </c>
      <c r="O695" s="57"/>
      <c r="P695" s="57"/>
    </row>
    <row r="696" spans="1:17" x14ac:dyDescent="0.25">
      <c r="A696" s="19" t="s">
        <v>81</v>
      </c>
      <c r="C696" s="6">
        <v>299679.84158415801</v>
      </c>
      <c r="D696" s="6">
        <v>359920</v>
      </c>
      <c r="F696" s="24">
        <v>4.04</v>
      </c>
      <c r="G696" s="24"/>
      <c r="H696" s="7">
        <f>ROUND($F696*C696,0)</f>
        <v>1210707</v>
      </c>
      <c r="I696" s="7">
        <f>ROUND($F696*D696,0)</f>
        <v>1454077</v>
      </c>
      <c r="K696" s="24"/>
      <c r="L696" s="24">
        <f t="shared" si="126"/>
        <v>3.99</v>
      </c>
      <c r="M696" s="24"/>
      <c r="N696" s="7">
        <f t="shared" si="127"/>
        <v>1436081</v>
      </c>
      <c r="O696" s="57"/>
      <c r="P696" s="57"/>
    </row>
    <row r="697" spans="1:17" x14ac:dyDescent="0.25">
      <c r="A697" s="19" t="s">
        <v>82</v>
      </c>
      <c r="C697" s="6">
        <v>103225.47243554296</v>
      </c>
      <c r="D697" s="6">
        <v>123975</v>
      </c>
      <c r="F697" s="24"/>
      <c r="G697" s="24"/>
      <c r="K697" s="24"/>
      <c r="L697" s="24">
        <f t="shared" si="126"/>
        <v>13.27</v>
      </c>
      <c r="M697" s="24"/>
      <c r="N697" s="7">
        <f t="shared" si="127"/>
        <v>1645148</v>
      </c>
      <c r="O697" s="57"/>
      <c r="P697" s="57"/>
    </row>
    <row r="698" spans="1:17" x14ac:dyDescent="0.25">
      <c r="A698" s="19" t="s">
        <v>83</v>
      </c>
      <c r="C698" s="6">
        <v>196454.36991531623</v>
      </c>
      <c r="D698" s="6">
        <v>235945</v>
      </c>
      <c r="F698" s="24"/>
      <c r="G698" s="24"/>
      <c r="K698" s="24"/>
      <c r="L698" s="24">
        <f t="shared" si="126"/>
        <v>11.74</v>
      </c>
      <c r="M698" s="24"/>
      <c r="N698" s="7">
        <f t="shared" si="127"/>
        <v>2769994</v>
      </c>
      <c r="O698" s="57"/>
      <c r="P698" s="57"/>
    </row>
    <row r="699" spans="1:17" x14ac:dyDescent="0.25">
      <c r="A699" s="19" t="s">
        <v>84</v>
      </c>
      <c r="C699" s="6">
        <v>41751453.943650171</v>
      </c>
      <c r="D699" s="6">
        <v>56993222.034597188</v>
      </c>
      <c r="F699" s="100"/>
      <c r="G699" s="26"/>
      <c r="K699" s="100"/>
      <c r="L699" s="100">
        <f t="shared" si="126"/>
        <v>3.8877999999999999</v>
      </c>
      <c r="M699" s="26" t="s">
        <v>18</v>
      </c>
      <c r="N699" s="7">
        <f>ROUND($D699*L699/100,0)</f>
        <v>2215782</v>
      </c>
      <c r="O699" s="207"/>
      <c r="P699" s="59"/>
    </row>
    <row r="700" spans="1:17" x14ac:dyDescent="0.25">
      <c r="A700" s="19" t="s">
        <v>85</v>
      </c>
      <c r="C700" s="6">
        <v>84462817.942580998</v>
      </c>
      <c r="D700" s="6">
        <v>95452005</v>
      </c>
      <c r="F700" s="100"/>
      <c r="G700" s="26"/>
      <c r="K700" s="100"/>
      <c r="L700" s="100">
        <f t="shared" si="126"/>
        <v>3.4405000000000001</v>
      </c>
      <c r="M700" s="26" t="s">
        <v>18</v>
      </c>
      <c r="N700" s="7">
        <f>ROUND($D700*L700/100,0)</f>
        <v>3284026</v>
      </c>
      <c r="O700" s="207"/>
      <c r="P700" s="59"/>
    </row>
    <row r="701" spans="1:17" x14ac:dyDescent="0.25">
      <c r="A701" s="19" t="s">
        <v>86</v>
      </c>
      <c r="C701" s="6">
        <v>125353.22640218861</v>
      </c>
      <c r="D701" s="6">
        <v>150551</v>
      </c>
      <c r="F701" s="24">
        <v>14.62</v>
      </c>
      <c r="G701" s="24"/>
      <c r="H701" s="7">
        <f t="shared" si="125"/>
        <v>1832664</v>
      </c>
      <c r="I701" s="7">
        <f t="shared" si="125"/>
        <v>2201056</v>
      </c>
      <c r="K701" s="24"/>
      <c r="L701" s="24"/>
      <c r="M701" s="24"/>
      <c r="O701" s="57"/>
      <c r="P701" s="57"/>
    </row>
    <row r="702" spans="1:17" x14ac:dyDescent="0.25">
      <c r="A702" s="19" t="s">
        <v>87</v>
      </c>
      <c r="C702" s="6">
        <v>174326.6159486706</v>
      </c>
      <c r="D702" s="6">
        <v>209369</v>
      </c>
      <c r="F702" s="24">
        <v>10.91</v>
      </c>
      <c r="G702" s="24"/>
      <c r="H702" s="7">
        <f t="shared" si="125"/>
        <v>1901903</v>
      </c>
      <c r="I702" s="7">
        <f t="shared" si="125"/>
        <v>2284216</v>
      </c>
      <c r="K702" s="24"/>
      <c r="L702" s="24"/>
      <c r="M702" s="24"/>
      <c r="O702" s="57"/>
      <c r="P702" s="57"/>
    </row>
    <row r="703" spans="1:17" x14ac:dyDescent="0.25">
      <c r="A703" s="19" t="s">
        <v>77</v>
      </c>
      <c r="C703" s="6">
        <v>24132</v>
      </c>
      <c r="D703" s="6">
        <v>28983</v>
      </c>
      <c r="F703" s="24">
        <v>-0.96</v>
      </c>
      <c r="G703" s="24"/>
      <c r="H703" s="7">
        <f t="shared" si="125"/>
        <v>-23167</v>
      </c>
      <c r="I703" s="7">
        <f t="shared" si="125"/>
        <v>-27824</v>
      </c>
      <c r="K703" s="24"/>
      <c r="L703" s="24">
        <f>L682</f>
        <v>-0.96</v>
      </c>
      <c r="M703" s="24"/>
      <c r="N703" s="7">
        <f>ROUND($D703*L703,0)</f>
        <v>-27824</v>
      </c>
      <c r="O703" s="57"/>
      <c r="P703" s="57"/>
    </row>
    <row r="704" spans="1:17" x14ac:dyDescent="0.25">
      <c r="A704" s="19" t="s">
        <v>88</v>
      </c>
      <c r="C704" s="6">
        <v>50979480.334788077</v>
      </c>
      <c r="D704" s="6">
        <v>66094782.034597188</v>
      </c>
      <c r="F704" s="100">
        <v>3.8127</v>
      </c>
      <c r="G704" s="26" t="s">
        <v>18</v>
      </c>
      <c r="H704" s="7">
        <f t="shared" ref="H704:I706" si="128">ROUND($F704*C704/100,0)</f>
        <v>1943695</v>
      </c>
      <c r="I704" s="7">
        <f t="shared" si="128"/>
        <v>2519996</v>
      </c>
      <c r="K704" s="100"/>
      <c r="L704" s="100"/>
      <c r="M704" s="26"/>
      <c r="O704" s="207"/>
      <c r="P704" s="59"/>
    </row>
    <row r="705" spans="1:17" x14ac:dyDescent="0.25">
      <c r="A705" s="19" t="s">
        <v>89</v>
      </c>
      <c r="C705" s="6">
        <v>75234791.5514431</v>
      </c>
      <c r="D705" s="6">
        <v>86350445</v>
      </c>
      <c r="F705" s="100">
        <v>3.5143</v>
      </c>
      <c r="G705" s="26" t="s">
        <v>18</v>
      </c>
      <c r="H705" s="7">
        <f t="shared" si="128"/>
        <v>2643976</v>
      </c>
      <c r="I705" s="7">
        <f t="shared" si="128"/>
        <v>3034614</v>
      </c>
      <c r="K705" s="100"/>
      <c r="L705" s="100"/>
      <c r="M705" s="26"/>
      <c r="O705" s="207"/>
      <c r="P705" s="59"/>
    </row>
    <row r="706" spans="1:17" x14ac:dyDescent="0.25">
      <c r="A706" s="32" t="s">
        <v>32</v>
      </c>
      <c r="C706" s="6">
        <v>0</v>
      </c>
      <c r="D706" s="6">
        <v>0</v>
      </c>
      <c r="F706" s="100">
        <v>7.125</v>
      </c>
      <c r="G706" s="26" t="s">
        <v>18</v>
      </c>
      <c r="H706" s="7">
        <f t="shared" si="128"/>
        <v>0</v>
      </c>
      <c r="I706" s="7">
        <f t="shared" si="128"/>
        <v>0</v>
      </c>
      <c r="K706" s="100"/>
      <c r="L706" s="100">
        <f>L685</f>
        <v>7.125</v>
      </c>
      <c r="M706" s="26" t="s">
        <v>18</v>
      </c>
      <c r="N706" s="7">
        <f>ROUND($D706*L706/100,0)</f>
        <v>0</v>
      </c>
      <c r="O706" s="207"/>
      <c r="P706" s="59"/>
    </row>
    <row r="707" spans="1:17" x14ac:dyDescent="0.25">
      <c r="A707" s="19" t="s">
        <v>33</v>
      </c>
      <c r="C707" s="36">
        <v>716029</v>
      </c>
      <c r="D707" s="36">
        <v>0</v>
      </c>
      <c r="H707" s="37">
        <v>57893</v>
      </c>
      <c r="I707" s="37">
        <v>0</v>
      </c>
      <c r="N707" s="37">
        <v>0</v>
      </c>
      <c r="Q707" s="64"/>
    </row>
    <row r="708" spans="1:17" x14ac:dyDescent="0.25">
      <c r="A708" s="19" t="s">
        <v>34</v>
      </c>
      <c r="F708" s="23">
        <v>-3.61E-2</v>
      </c>
      <c r="G708" s="24"/>
      <c r="H708" s="7">
        <f>SUM(H701:H702,H704:H706)*$F708</f>
        <v>-300432.79180000001</v>
      </c>
      <c r="I708" s="7">
        <f>SUM(I701:I702,I704:I706)*$F708</f>
        <v>-362439.7402</v>
      </c>
      <c r="K708" s="93" t="str">
        <f>$K$43</f>
        <v>TAA 1 (1/1/2021)</v>
      </c>
      <c r="L708" s="23">
        <f>$L$687</f>
        <v>-2.6100000000000002E-2</v>
      </c>
      <c r="M708" s="24"/>
      <c r="N708" s="7">
        <f>L708*SUM(N697:N700,N706)</f>
        <v>-258780.19500000001</v>
      </c>
      <c r="O708" s="65"/>
      <c r="P708" s="57"/>
    </row>
    <row r="709" spans="1:17" x14ac:dyDescent="0.25">
      <c r="A709" s="19"/>
      <c r="F709" s="23"/>
      <c r="G709" s="24"/>
      <c r="K709" s="93" t="str">
        <f>$K$44</f>
        <v>TAA 2 (1/1/2022)</v>
      </c>
      <c r="L709" s="23">
        <f>$L$688</f>
        <v>-1.2999999999999999E-2</v>
      </c>
      <c r="M709" s="24"/>
      <c r="N709" s="7">
        <f>L709*SUM(N697:N700,N706)</f>
        <v>-128894.34999999999</v>
      </c>
      <c r="O709" s="65"/>
      <c r="P709" s="57"/>
    </row>
    <row r="710" spans="1:17" x14ac:dyDescent="0.25">
      <c r="A710" s="32" t="s">
        <v>35</v>
      </c>
      <c r="C710" s="6">
        <v>0</v>
      </c>
      <c r="D710" s="6">
        <v>0</v>
      </c>
      <c r="F710" s="23"/>
      <c r="G710" s="24"/>
      <c r="K710" s="23"/>
      <c r="L710" s="23"/>
      <c r="M710" s="24"/>
      <c r="O710" s="65"/>
      <c r="P710" s="57"/>
    </row>
    <row r="711" spans="1:17" ht="16.5" thickBot="1" x14ac:dyDescent="0.3">
      <c r="A711" s="19" t="s">
        <v>36</v>
      </c>
      <c r="C711" s="101">
        <v>126930300.88623118</v>
      </c>
      <c r="D711" s="101">
        <v>152445227.03459719</v>
      </c>
      <c r="F711" s="41"/>
      <c r="H711" s="95">
        <f>SUM(H693:H708)</f>
        <v>9460722.2082000002</v>
      </c>
      <c r="I711" s="95">
        <f>SUM(I693:I708)</f>
        <v>11307815.2598</v>
      </c>
      <c r="K711" s="41"/>
      <c r="L711" s="41"/>
      <c r="N711" s="95">
        <f>SUM(N693:N707)</f>
        <v>11523547</v>
      </c>
      <c r="O711" s="68"/>
      <c r="Q711" s="208"/>
    </row>
    <row r="712" spans="1:17" ht="16.5" thickTop="1" x14ac:dyDescent="0.25"/>
    <row r="713" spans="1:17" x14ac:dyDescent="0.25">
      <c r="A713" s="15" t="s">
        <v>108</v>
      </c>
    </row>
    <row r="714" spans="1:17" x14ac:dyDescent="0.25">
      <c r="A714" s="19" t="s">
        <v>68</v>
      </c>
      <c r="C714" s="6">
        <v>142578.73333333369</v>
      </c>
      <c r="D714" s="6">
        <v>141468</v>
      </c>
      <c r="F714" s="24">
        <v>54</v>
      </c>
      <c r="G714" s="24"/>
      <c r="H714" s="7">
        <f t="shared" ref="H714:I724" si="129">ROUND($F714*C714,0)</f>
        <v>7699252</v>
      </c>
      <c r="I714" s="7">
        <f t="shared" si="129"/>
        <v>7639272</v>
      </c>
      <c r="K714" s="24"/>
      <c r="L714" s="24">
        <f t="shared" ref="L714:L721" si="130">L672</f>
        <v>53</v>
      </c>
      <c r="M714" s="24"/>
      <c r="N714" s="7">
        <f t="shared" ref="N714:N719" si="131">ROUND($D714*L714,0)</f>
        <v>7497804</v>
      </c>
      <c r="O714" s="57"/>
      <c r="P714" s="57"/>
    </row>
    <row r="715" spans="1:17" x14ac:dyDescent="0.25">
      <c r="A715" s="19" t="s">
        <v>79</v>
      </c>
      <c r="C715" s="6">
        <v>0</v>
      </c>
      <c r="D715" s="6">
        <v>0</v>
      </c>
      <c r="F715" s="24">
        <v>648</v>
      </c>
      <c r="G715" s="24"/>
      <c r="H715" s="7">
        <f t="shared" si="129"/>
        <v>0</v>
      </c>
      <c r="I715" s="7">
        <f t="shared" si="129"/>
        <v>0</v>
      </c>
      <c r="K715" s="24"/>
      <c r="L715" s="24">
        <f t="shared" si="130"/>
        <v>636</v>
      </c>
      <c r="M715" s="24"/>
      <c r="N715" s="7">
        <f t="shared" si="131"/>
        <v>0</v>
      </c>
      <c r="O715" s="57"/>
      <c r="P715" s="57"/>
    </row>
    <row r="716" spans="1:17" x14ac:dyDescent="0.25">
      <c r="A716" s="19" t="s">
        <v>80</v>
      </c>
      <c r="C716" s="6">
        <v>13.633333333333301</v>
      </c>
      <c r="D716" s="6">
        <v>14</v>
      </c>
      <c r="F716" s="24">
        <v>54</v>
      </c>
      <c r="G716" s="24"/>
      <c r="H716" s="7">
        <f t="shared" si="129"/>
        <v>736</v>
      </c>
      <c r="I716" s="7">
        <f t="shared" si="129"/>
        <v>756</v>
      </c>
      <c r="K716" s="24"/>
      <c r="L716" s="24">
        <f t="shared" si="130"/>
        <v>53</v>
      </c>
      <c r="M716" s="24"/>
      <c r="N716" s="7">
        <f t="shared" si="131"/>
        <v>742</v>
      </c>
      <c r="O716" s="57"/>
      <c r="P716" s="57"/>
    </row>
    <row r="717" spans="1:17" x14ac:dyDescent="0.25">
      <c r="A717" s="19" t="s">
        <v>81</v>
      </c>
      <c r="C717" s="6">
        <v>14000970.475247549</v>
      </c>
      <c r="D717" s="6">
        <v>13285763</v>
      </c>
      <c r="F717" s="24">
        <v>4.04</v>
      </c>
      <c r="G717" s="24"/>
      <c r="H717" s="7">
        <f>ROUND($F717*C717,0)</f>
        <v>56563921</v>
      </c>
      <c r="I717" s="7">
        <f>ROUND($F717*D717,0)</f>
        <v>53674483</v>
      </c>
      <c r="K717" s="24"/>
      <c r="L717" s="24">
        <f t="shared" si="130"/>
        <v>3.99</v>
      </c>
      <c r="M717" s="24"/>
      <c r="N717" s="7">
        <f t="shared" si="131"/>
        <v>53010194</v>
      </c>
      <c r="O717" s="57"/>
      <c r="P717" s="57"/>
    </row>
    <row r="718" spans="1:17" x14ac:dyDescent="0.25">
      <c r="A718" s="19" t="s">
        <v>82</v>
      </c>
      <c r="C718" s="6">
        <v>6424044.8932969086</v>
      </c>
      <c r="D718" s="6">
        <v>6095887</v>
      </c>
      <c r="F718" s="24"/>
      <c r="G718" s="24"/>
      <c r="K718" s="24"/>
      <c r="L718" s="24">
        <f t="shared" si="130"/>
        <v>13.27</v>
      </c>
      <c r="M718" s="24"/>
      <c r="N718" s="7">
        <f t="shared" si="131"/>
        <v>80892420</v>
      </c>
      <c r="O718" s="57"/>
      <c r="P718" s="57"/>
    </row>
    <row r="719" spans="1:17" x14ac:dyDescent="0.25">
      <c r="A719" s="19" t="s">
        <v>83</v>
      </c>
      <c r="C719" s="6">
        <v>7576925.8441796647</v>
      </c>
      <c r="D719" s="6">
        <v>7189876</v>
      </c>
      <c r="F719" s="24"/>
      <c r="G719" s="24"/>
      <c r="K719" s="24"/>
      <c r="L719" s="24">
        <f t="shared" si="130"/>
        <v>11.74</v>
      </c>
      <c r="M719" s="24"/>
      <c r="N719" s="7">
        <f t="shared" si="131"/>
        <v>84409144</v>
      </c>
      <c r="O719" s="57"/>
      <c r="P719" s="57"/>
    </row>
    <row r="720" spans="1:17" x14ac:dyDescent="0.25">
      <c r="A720" s="19" t="s">
        <v>84</v>
      </c>
      <c r="C720" s="6">
        <v>1838806321.3440943</v>
      </c>
      <c r="D720" s="6">
        <v>1770056466.9150953</v>
      </c>
      <c r="F720" s="100"/>
      <c r="G720" s="26"/>
      <c r="K720" s="100"/>
      <c r="L720" s="100">
        <f t="shared" si="130"/>
        <v>3.8877999999999999</v>
      </c>
      <c r="M720" s="26" t="s">
        <v>18</v>
      </c>
      <c r="N720" s="7">
        <f>ROUND($D720*L720/100,0)</f>
        <v>68816255</v>
      </c>
      <c r="O720" s="207"/>
      <c r="P720" s="59"/>
    </row>
    <row r="721" spans="1:17" x14ac:dyDescent="0.25">
      <c r="A721" s="19" t="s">
        <v>85</v>
      </c>
      <c r="C721" s="6">
        <v>3207450115.5028152</v>
      </c>
      <c r="D721" s="6">
        <v>3043808629</v>
      </c>
      <c r="F721" s="100"/>
      <c r="G721" s="26"/>
      <c r="K721" s="100"/>
      <c r="L721" s="100">
        <f t="shared" si="130"/>
        <v>3.4405000000000001</v>
      </c>
      <c r="M721" s="26" t="s">
        <v>18</v>
      </c>
      <c r="N721" s="7">
        <f>ROUND($D721*L721/100,0)</f>
        <v>104722236</v>
      </c>
      <c r="O721" s="207"/>
      <c r="P721" s="59"/>
    </row>
    <row r="722" spans="1:17" x14ac:dyDescent="0.25">
      <c r="A722" s="19" t="s">
        <v>86</v>
      </c>
      <c r="C722" s="6">
        <v>6424044.8932969086</v>
      </c>
      <c r="D722" s="6">
        <v>6095887</v>
      </c>
      <c r="F722" s="24">
        <v>14.62</v>
      </c>
      <c r="G722" s="24"/>
      <c r="H722" s="7">
        <f t="shared" si="129"/>
        <v>93919536</v>
      </c>
      <c r="I722" s="7">
        <f t="shared" si="129"/>
        <v>89121868</v>
      </c>
      <c r="K722" s="24"/>
      <c r="L722" s="24"/>
      <c r="M722" s="24"/>
      <c r="O722" s="57"/>
      <c r="P722" s="57"/>
    </row>
    <row r="723" spans="1:17" x14ac:dyDescent="0.25">
      <c r="A723" s="19" t="s">
        <v>87</v>
      </c>
      <c r="C723" s="6">
        <v>7576925.8441796647</v>
      </c>
      <c r="D723" s="6">
        <v>7189876</v>
      </c>
      <c r="F723" s="24">
        <v>10.91</v>
      </c>
      <c r="G723" s="24"/>
      <c r="H723" s="7">
        <f t="shared" si="129"/>
        <v>82664261</v>
      </c>
      <c r="I723" s="7">
        <f t="shared" si="129"/>
        <v>78441547</v>
      </c>
      <c r="K723" s="24"/>
      <c r="L723" s="24"/>
      <c r="M723" s="24"/>
      <c r="O723" s="57"/>
      <c r="P723" s="57"/>
    </row>
    <row r="724" spans="1:17" x14ac:dyDescent="0.25">
      <c r="A724" s="19" t="s">
        <v>77</v>
      </c>
      <c r="C724" s="6">
        <v>345279.625</v>
      </c>
      <c r="D724" s="6">
        <v>327642</v>
      </c>
      <c r="F724" s="24">
        <v>-0.96</v>
      </c>
      <c r="G724" s="24"/>
      <c r="H724" s="7">
        <f t="shared" si="129"/>
        <v>-331468</v>
      </c>
      <c r="I724" s="7">
        <f t="shared" si="129"/>
        <v>-314536</v>
      </c>
      <c r="K724" s="24"/>
      <c r="L724" s="24">
        <f>L682</f>
        <v>-0.96</v>
      </c>
      <c r="M724" s="24"/>
      <c r="N724" s="7">
        <f>ROUND($D724*L724,0)</f>
        <v>-314536</v>
      </c>
      <c r="O724" s="57"/>
      <c r="P724" s="57"/>
    </row>
    <row r="725" spans="1:17" x14ac:dyDescent="0.25">
      <c r="A725" s="19" t="s">
        <v>88</v>
      </c>
      <c r="C725" s="6">
        <v>2260772296.4056034</v>
      </c>
      <c r="D725" s="6">
        <v>2177285937.9150953</v>
      </c>
      <c r="F725" s="100">
        <v>3.8127</v>
      </c>
      <c r="G725" s="26" t="s">
        <v>18</v>
      </c>
      <c r="H725" s="7">
        <f t="shared" ref="H725:I727" si="132">ROUND($F725*C725/100,0)</f>
        <v>86196465</v>
      </c>
      <c r="I725" s="7">
        <f t="shared" si="132"/>
        <v>83013381</v>
      </c>
      <c r="K725" s="100"/>
      <c r="L725" s="100"/>
      <c r="M725" s="26"/>
      <c r="O725" s="207"/>
      <c r="P725" s="59"/>
    </row>
    <row r="726" spans="1:17" x14ac:dyDescent="0.25">
      <c r="A726" s="19" t="s">
        <v>89</v>
      </c>
      <c r="C726" s="6">
        <v>2785484140.4413061</v>
      </c>
      <c r="D726" s="6">
        <v>2636579158</v>
      </c>
      <c r="F726" s="100">
        <v>3.5143</v>
      </c>
      <c r="G726" s="26" t="s">
        <v>18</v>
      </c>
      <c r="H726" s="7">
        <f t="shared" si="132"/>
        <v>97890269</v>
      </c>
      <c r="I726" s="7">
        <f t="shared" si="132"/>
        <v>92657301</v>
      </c>
      <c r="K726" s="100"/>
      <c r="L726" s="100"/>
      <c r="M726" s="26"/>
      <c r="O726" s="207"/>
      <c r="P726" s="59"/>
    </row>
    <row r="727" spans="1:17" x14ac:dyDescent="0.25">
      <c r="A727" s="32" t="s">
        <v>32</v>
      </c>
      <c r="C727" s="6">
        <v>2064493</v>
      </c>
      <c r="D727" s="6">
        <v>1969419</v>
      </c>
      <c r="F727" s="100">
        <v>7.125</v>
      </c>
      <c r="G727" s="26" t="s">
        <v>18</v>
      </c>
      <c r="H727" s="7">
        <f t="shared" si="132"/>
        <v>147095</v>
      </c>
      <c r="I727" s="7">
        <f t="shared" si="132"/>
        <v>140321</v>
      </c>
      <c r="K727" s="100"/>
      <c r="L727" s="100">
        <f>L685</f>
        <v>7.125</v>
      </c>
      <c r="M727" s="26" t="s">
        <v>18</v>
      </c>
      <c r="N727" s="7">
        <f>ROUND($D727*L727/100,0)</f>
        <v>140321</v>
      </c>
      <c r="O727" s="207"/>
      <c r="P727" s="59"/>
    </row>
    <row r="728" spans="1:17" x14ac:dyDescent="0.25">
      <c r="A728" s="19" t="s">
        <v>33</v>
      </c>
      <c r="C728" s="36">
        <v>26762696</v>
      </c>
      <c r="D728" s="36">
        <v>0</v>
      </c>
      <c r="H728" s="37">
        <v>2430886</v>
      </c>
      <c r="I728" s="37">
        <v>0</v>
      </c>
      <c r="N728" s="37"/>
      <c r="Q728" s="64"/>
    </row>
    <row r="729" spans="1:17" x14ac:dyDescent="0.25">
      <c r="A729" s="19" t="s">
        <v>34</v>
      </c>
      <c r="F729" s="23">
        <v>-3.61E-2</v>
      </c>
      <c r="G729" s="24"/>
      <c r="H729" s="7">
        <f>SUM(H722:H723,H725:H727)*$F729</f>
        <v>-13025516.298599999</v>
      </c>
      <c r="I729" s="7">
        <f>SUM(I722:I723,I725:I727)*$F729</f>
        <v>-12395816.489800001</v>
      </c>
      <c r="K729" s="93" t="str">
        <f>$K$43</f>
        <v>TAA 1 (1/1/2021)</v>
      </c>
      <c r="L729" s="23">
        <f>$L$687</f>
        <v>-2.6100000000000002E-2</v>
      </c>
      <c r="M729" s="24"/>
      <c r="N729" s="7">
        <f>L729*SUM(N718:N721,N727)</f>
        <v>-8847387.8136</v>
      </c>
      <c r="O729" s="65"/>
      <c r="P729" s="57"/>
    </row>
    <row r="730" spans="1:17" x14ac:dyDescent="0.25">
      <c r="A730" s="19"/>
      <c r="F730" s="23"/>
      <c r="G730" s="24"/>
      <c r="K730" s="93" t="str">
        <f>$K$44</f>
        <v>TAA 2 (1/1/2022)</v>
      </c>
      <c r="L730" s="23">
        <f>$L$688</f>
        <v>-1.2999999999999999E-2</v>
      </c>
      <c r="M730" s="24"/>
      <c r="N730" s="7">
        <f>L730*SUM(N718:N721,N727)</f>
        <v>-4406744.8879999993</v>
      </c>
      <c r="O730" s="65"/>
      <c r="P730" s="57"/>
    </row>
    <row r="731" spans="1:17" x14ac:dyDescent="0.25">
      <c r="A731" s="32" t="s">
        <v>35</v>
      </c>
      <c r="C731" s="6">
        <v>26720</v>
      </c>
      <c r="D731" s="6">
        <v>25489</v>
      </c>
      <c r="F731" s="23"/>
      <c r="G731" s="24"/>
      <c r="K731" s="23"/>
      <c r="L731" s="23"/>
      <c r="M731" s="24"/>
      <c r="O731" s="65"/>
      <c r="P731" s="57"/>
    </row>
    <row r="732" spans="1:17" ht="16.5" thickBot="1" x14ac:dyDescent="0.3">
      <c r="A732" s="19" t="s">
        <v>36</v>
      </c>
      <c r="C732" s="101">
        <v>5075110345.8469095</v>
      </c>
      <c r="D732" s="101">
        <v>4815860003.9150953</v>
      </c>
      <c r="F732" s="41"/>
      <c r="H732" s="95">
        <f>SUM(H714:H729)</f>
        <v>414155436.70139998</v>
      </c>
      <c r="I732" s="95">
        <f>SUM(I714:I729)</f>
        <v>391978576.51020002</v>
      </c>
      <c r="K732" s="41"/>
      <c r="L732" s="41"/>
      <c r="N732" s="95">
        <f>SUM(N714:N728)</f>
        <v>399174580</v>
      </c>
      <c r="O732" s="68"/>
      <c r="Q732" s="208"/>
    </row>
    <row r="733" spans="1:17" ht="16.5" thickTop="1" x14ac:dyDescent="0.25"/>
    <row r="734" spans="1:17" x14ac:dyDescent="0.25">
      <c r="A734" s="15" t="s">
        <v>109</v>
      </c>
    </row>
    <row r="735" spans="1:17" x14ac:dyDescent="0.25">
      <c r="A735" s="19" t="s">
        <v>68</v>
      </c>
      <c r="C735" s="6">
        <v>11768.5666666667</v>
      </c>
      <c r="D735" s="6">
        <v>11868</v>
      </c>
      <c r="F735" s="24">
        <v>54</v>
      </c>
      <c r="G735" s="24"/>
      <c r="H735" s="7">
        <f t="shared" ref="H735:I745" si="133">ROUND($F735*C735,0)</f>
        <v>635503</v>
      </c>
      <c r="I735" s="7">
        <f t="shared" si="133"/>
        <v>640872</v>
      </c>
      <c r="K735" s="24"/>
      <c r="L735" s="24">
        <f t="shared" ref="L735:L742" si="134">L672</f>
        <v>53</v>
      </c>
      <c r="M735" s="24"/>
      <c r="N735" s="7">
        <f t="shared" ref="N735:N740" si="135">ROUND($D735*L735,0)</f>
        <v>629004</v>
      </c>
      <c r="O735" s="57"/>
      <c r="P735" s="57"/>
    </row>
    <row r="736" spans="1:17" x14ac:dyDescent="0.25">
      <c r="A736" s="19" t="s">
        <v>79</v>
      </c>
      <c r="C736" s="6">
        <v>0</v>
      </c>
      <c r="D736" s="6">
        <v>0</v>
      </c>
      <c r="F736" s="24">
        <v>648</v>
      </c>
      <c r="G736" s="24"/>
      <c r="H736" s="7">
        <f t="shared" si="133"/>
        <v>0</v>
      </c>
      <c r="I736" s="7">
        <f t="shared" si="133"/>
        <v>0</v>
      </c>
      <c r="K736" s="24"/>
      <c r="L736" s="24">
        <f t="shared" si="134"/>
        <v>636</v>
      </c>
      <c r="M736" s="24"/>
      <c r="N736" s="7">
        <f t="shared" si="135"/>
        <v>0</v>
      </c>
      <c r="O736" s="57"/>
      <c r="P736" s="57"/>
    </row>
    <row r="737" spans="1:17" x14ac:dyDescent="0.25">
      <c r="A737" s="19" t="s">
        <v>80</v>
      </c>
      <c r="C737" s="6">
        <v>0</v>
      </c>
      <c r="D737" s="6">
        <v>0</v>
      </c>
      <c r="F737" s="24">
        <v>54</v>
      </c>
      <c r="G737" s="24"/>
      <c r="H737" s="7">
        <f t="shared" si="133"/>
        <v>0</v>
      </c>
      <c r="I737" s="7">
        <f t="shared" si="133"/>
        <v>0</v>
      </c>
      <c r="K737" s="24"/>
      <c r="L737" s="24">
        <f t="shared" si="134"/>
        <v>53</v>
      </c>
      <c r="M737" s="24"/>
      <c r="N737" s="7">
        <f t="shared" si="135"/>
        <v>0</v>
      </c>
      <c r="O737" s="57"/>
      <c r="P737" s="57"/>
    </row>
    <row r="738" spans="1:17" x14ac:dyDescent="0.25">
      <c r="A738" s="19" t="s">
        <v>81</v>
      </c>
      <c r="C738" s="6">
        <v>1842106.54207921</v>
      </c>
      <c r="D738" s="6">
        <v>1931159</v>
      </c>
      <c r="F738" s="24">
        <v>4.04</v>
      </c>
      <c r="G738" s="24"/>
      <c r="H738" s="7">
        <f>ROUND($F738*C738,0)</f>
        <v>7442110</v>
      </c>
      <c r="I738" s="7">
        <f>ROUND($F738*D738,0)</f>
        <v>7801882</v>
      </c>
      <c r="K738" s="24"/>
      <c r="L738" s="24">
        <f t="shared" si="134"/>
        <v>3.99</v>
      </c>
      <c r="M738" s="24"/>
      <c r="N738" s="7">
        <f t="shared" si="135"/>
        <v>7705324</v>
      </c>
      <c r="O738" s="57"/>
      <c r="P738" s="57"/>
    </row>
    <row r="739" spans="1:17" x14ac:dyDescent="0.25">
      <c r="A739" s="19" t="s">
        <v>82</v>
      </c>
      <c r="C739" s="6">
        <v>669369.13498703158</v>
      </c>
      <c r="D739" s="6">
        <v>701728</v>
      </c>
      <c r="F739" s="24"/>
      <c r="G739" s="24"/>
      <c r="K739" s="24"/>
      <c r="L739" s="24">
        <f t="shared" si="134"/>
        <v>13.27</v>
      </c>
      <c r="M739" s="24"/>
      <c r="N739" s="7">
        <f t="shared" si="135"/>
        <v>9311931</v>
      </c>
      <c r="O739" s="57"/>
      <c r="P739" s="57"/>
    </row>
    <row r="740" spans="1:17" x14ac:dyDescent="0.25">
      <c r="A740" s="19" t="s">
        <v>83</v>
      </c>
      <c r="C740" s="6">
        <v>1172737.4222823069</v>
      </c>
      <c r="D740" s="6">
        <v>1229431</v>
      </c>
      <c r="F740" s="24"/>
      <c r="G740" s="24"/>
      <c r="K740" s="24"/>
      <c r="L740" s="24">
        <f t="shared" si="134"/>
        <v>11.74</v>
      </c>
      <c r="M740" s="24"/>
      <c r="N740" s="7">
        <f t="shared" si="135"/>
        <v>14433520</v>
      </c>
      <c r="O740" s="57"/>
      <c r="P740" s="57"/>
    </row>
    <row r="741" spans="1:17" x14ac:dyDescent="0.25">
      <c r="A741" s="19" t="s">
        <v>84</v>
      </c>
      <c r="C741" s="6">
        <v>223782145.93719122</v>
      </c>
      <c r="D741" s="6">
        <v>236106536.23923564</v>
      </c>
      <c r="F741" s="100"/>
      <c r="G741" s="26"/>
      <c r="K741" s="100"/>
      <c r="L741" s="100">
        <f t="shared" si="134"/>
        <v>3.8877999999999999</v>
      </c>
      <c r="M741" s="26" t="s">
        <v>18</v>
      </c>
      <c r="N741" s="7">
        <f>ROUND($D741*L741/100,0)</f>
        <v>9179350</v>
      </c>
      <c r="O741" s="207"/>
      <c r="P741" s="59"/>
    </row>
    <row r="742" spans="1:17" x14ac:dyDescent="0.25">
      <c r="A742" s="19" t="s">
        <v>85</v>
      </c>
      <c r="C742" s="6">
        <v>380863403.06280875</v>
      </c>
      <c r="D742" s="6">
        <v>387493960</v>
      </c>
      <c r="F742" s="100"/>
      <c r="G742" s="26"/>
      <c r="K742" s="100"/>
      <c r="L742" s="100">
        <f t="shared" si="134"/>
        <v>3.4405000000000001</v>
      </c>
      <c r="M742" s="26" t="s">
        <v>18</v>
      </c>
      <c r="N742" s="7">
        <f>ROUND($D742*L742/100,0)</f>
        <v>13331730</v>
      </c>
      <c r="O742" s="207"/>
      <c r="P742" s="59"/>
    </row>
    <row r="743" spans="1:17" x14ac:dyDescent="0.25">
      <c r="A743" s="19" t="s">
        <v>86</v>
      </c>
      <c r="C743" s="6">
        <v>821135.09439124481</v>
      </c>
      <c r="D743" s="6">
        <v>860831</v>
      </c>
      <c r="F743" s="24">
        <v>14.62</v>
      </c>
      <c r="G743" s="24"/>
      <c r="H743" s="7">
        <f t="shared" si="133"/>
        <v>12004995</v>
      </c>
      <c r="I743" s="7">
        <f t="shared" si="133"/>
        <v>12585349</v>
      </c>
      <c r="K743" s="24"/>
      <c r="L743" s="24"/>
      <c r="M743" s="24"/>
      <c r="O743" s="57"/>
      <c r="P743" s="57"/>
    </row>
    <row r="744" spans="1:17" x14ac:dyDescent="0.25">
      <c r="A744" s="19" t="s">
        <v>87</v>
      </c>
      <c r="C744" s="6">
        <v>1020971.4628780936</v>
      </c>
      <c r="D744" s="6">
        <v>1070328</v>
      </c>
      <c r="F744" s="24">
        <v>10.91</v>
      </c>
      <c r="G744" s="24"/>
      <c r="H744" s="7">
        <f t="shared" si="133"/>
        <v>11138799</v>
      </c>
      <c r="I744" s="7">
        <f t="shared" si="133"/>
        <v>11677278</v>
      </c>
      <c r="K744" s="24"/>
      <c r="L744" s="24"/>
      <c r="M744" s="24"/>
      <c r="O744" s="57"/>
      <c r="P744" s="57"/>
    </row>
    <row r="745" spans="1:17" x14ac:dyDescent="0.25">
      <c r="A745" s="19" t="s">
        <v>77</v>
      </c>
      <c r="C745" s="6">
        <v>203285.70833333299</v>
      </c>
      <c r="D745" s="6">
        <v>213113</v>
      </c>
      <c r="F745" s="24">
        <v>-0.96</v>
      </c>
      <c r="G745" s="24"/>
      <c r="H745" s="7">
        <f t="shared" si="133"/>
        <v>-195154</v>
      </c>
      <c r="I745" s="7">
        <f t="shared" si="133"/>
        <v>-204588</v>
      </c>
      <c r="K745" s="24"/>
      <c r="L745" s="24">
        <f>L682</f>
        <v>-0.96</v>
      </c>
      <c r="M745" s="24"/>
      <c r="N745" s="7">
        <f>ROUND($D745*L745,0)</f>
        <v>-204588</v>
      </c>
      <c r="O745" s="57"/>
      <c r="P745" s="57"/>
    </row>
    <row r="746" spans="1:17" x14ac:dyDescent="0.25">
      <c r="A746" s="19" t="s">
        <v>88</v>
      </c>
      <c r="C746" s="6">
        <v>271223845</v>
      </c>
      <c r="D746" s="6">
        <v>284165975.23923564</v>
      </c>
      <c r="F746" s="100">
        <v>3.8127</v>
      </c>
      <c r="G746" s="26" t="s">
        <v>18</v>
      </c>
      <c r="H746" s="7">
        <f t="shared" ref="H746:I748" si="136">ROUND($F746*C746/100,0)</f>
        <v>10340952</v>
      </c>
      <c r="I746" s="7">
        <f t="shared" si="136"/>
        <v>10834396</v>
      </c>
      <c r="K746" s="100"/>
      <c r="L746" s="100"/>
      <c r="M746" s="26"/>
      <c r="O746" s="207"/>
      <c r="P746" s="59"/>
    </row>
    <row r="747" spans="1:17" x14ac:dyDescent="0.25">
      <c r="A747" s="19" t="s">
        <v>89</v>
      </c>
      <c r="C747" s="6">
        <v>333421704</v>
      </c>
      <c r="D747" s="6">
        <v>339434521</v>
      </c>
      <c r="F747" s="100">
        <v>3.5143</v>
      </c>
      <c r="G747" s="26" t="s">
        <v>18</v>
      </c>
      <c r="H747" s="7">
        <f t="shared" si="136"/>
        <v>11717439</v>
      </c>
      <c r="I747" s="7">
        <f t="shared" si="136"/>
        <v>11928747</v>
      </c>
      <c r="K747" s="100"/>
      <c r="L747" s="100"/>
      <c r="M747" s="26"/>
      <c r="O747" s="207"/>
      <c r="P747" s="59"/>
    </row>
    <row r="748" spans="1:17" x14ac:dyDescent="0.25">
      <c r="A748" s="32" t="s">
        <v>32</v>
      </c>
      <c r="C748" s="6">
        <v>8000</v>
      </c>
      <c r="D748" s="6">
        <v>8251</v>
      </c>
      <c r="F748" s="100">
        <v>7.125</v>
      </c>
      <c r="G748" s="26" t="s">
        <v>18</v>
      </c>
      <c r="H748" s="7">
        <f t="shared" si="136"/>
        <v>570</v>
      </c>
      <c r="I748" s="7">
        <f t="shared" si="136"/>
        <v>588</v>
      </c>
      <c r="K748" s="100"/>
      <c r="L748" s="100">
        <f>L685</f>
        <v>7.125</v>
      </c>
      <c r="M748" s="26" t="s">
        <v>18</v>
      </c>
      <c r="N748" s="7">
        <f>ROUND($D748*L748/100,0)</f>
        <v>588</v>
      </c>
      <c r="O748" s="207"/>
      <c r="P748" s="59"/>
    </row>
    <row r="749" spans="1:17" x14ac:dyDescent="0.25">
      <c r="A749" s="19" t="s">
        <v>33</v>
      </c>
      <c r="C749" s="36">
        <v>-9801655</v>
      </c>
      <c r="D749" s="36">
        <v>0</v>
      </c>
      <c r="H749" s="37">
        <v>-781385.35258647613</v>
      </c>
      <c r="I749" s="37">
        <v>0</v>
      </c>
      <c r="N749" s="37">
        <v>0</v>
      </c>
      <c r="Q749" s="64"/>
    </row>
    <row r="750" spans="1:17" x14ac:dyDescent="0.25">
      <c r="A750" s="19" t="s">
        <v>34</v>
      </c>
      <c r="F750" s="23">
        <v>-3.61E-2</v>
      </c>
      <c r="G750" s="24"/>
      <c r="H750" s="7">
        <f>SUM(H743:H744,H746:H748)*$F750</f>
        <v>-1631819.4554999999</v>
      </c>
      <c r="I750" s="7">
        <f>SUM(I743:I744,I746:I748)*$F750</f>
        <v>-1697651.5238000001</v>
      </c>
      <c r="K750" s="93" t="str">
        <f>$K$43</f>
        <v>TAA 1 (1/1/2021)</v>
      </c>
      <c r="L750" s="23">
        <f>$L$687</f>
        <v>-2.6100000000000002E-2</v>
      </c>
      <c r="M750" s="24"/>
      <c r="N750" s="7">
        <f>L750*SUM(N739:N742,N748)</f>
        <v>-1207310.8059</v>
      </c>
      <c r="O750" s="65"/>
      <c r="P750" s="57"/>
    </row>
    <row r="751" spans="1:17" x14ac:dyDescent="0.25">
      <c r="A751" s="19"/>
      <c r="F751" s="23"/>
      <c r="G751" s="24"/>
      <c r="K751" s="93" t="str">
        <f>$K$44</f>
        <v>TAA 2 (1/1/2022)</v>
      </c>
      <c r="L751" s="23">
        <f>$L$688</f>
        <v>-1.2999999999999999E-2</v>
      </c>
      <c r="M751" s="24"/>
      <c r="N751" s="7">
        <f>L751*SUM(N739:N742,N748)</f>
        <v>-601342.54700000002</v>
      </c>
      <c r="O751" s="65"/>
      <c r="P751" s="57"/>
    </row>
    <row r="752" spans="1:17" x14ac:dyDescent="0.25">
      <c r="A752" s="32" t="s">
        <v>35</v>
      </c>
      <c r="C752" s="6">
        <v>0</v>
      </c>
      <c r="D752" s="6">
        <v>0</v>
      </c>
      <c r="F752" s="23"/>
      <c r="G752" s="24"/>
      <c r="K752" s="23"/>
      <c r="L752" s="23"/>
      <c r="M752" s="24"/>
      <c r="O752" s="65"/>
      <c r="P752" s="57"/>
    </row>
    <row r="753" spans="1:17" ht="16.5" thickBot="1" x14ac:dyDescent="0.3">
      <c r="A753" s="19" t="s">
        <v>36</v>
      </c>
      <c r="C753" s="101">
        <v>594851894</v>
      </c>
      <c r="D753" s="101">
        <v>623608747.23923564</v>
      </c>
      <c r="F753" s="41"/>
      <c r="H753" s="95">
        <f>SUM(H735:H750)</f>
        <v>50672009.191913523</v>
      </c>
      <c r="I753" s="95">
        <f>SUM(I735:I750)</f>
        <v>53566872.476199999</v>
      </c>
      <c r="K753" s="41"/>
      <c r="L753" s="41"/>
      <c r="N753" s="95">
        <f>SUM(N735:N749)</f>
        <v>54386859</v>
      </c>
      <c r="O753" s="68"/>
      <c r="Q753" s="208"/>
    </row>
    <row r="754" spans="1:17" ht="16.5" thickTop="1" x14ac:dyDescent="0.25"/>
    <row r="755" spans="1:17" x14ac:dyDescent="0.25">
      <c r="A755" s="15" t="s">
        <v>110</v>
      </c>
    </row>
    <row r="756" spans="1:17" x14ac:dyDescent="0.25">
      <c r="A756" s="19" t="s">
        <v>68</v>
      </c>
      <c r="C756" s="6">
        <v>3423.7666666666673</v>
      </c>
      <c r="D756" s="6">
        <v>4434</v>
      </c>
      <c r="F756" s="20">
        <v>54</v>
      </c>
      <c r="G756" s="20"/>
      <c r="H756" s="7">
        <f t="shared" ref="H756:I766" si="137">ROUND($F756*C756,0)</f>
        <v>184883</v>
      </c>
      <c r="I756" s="7">
        <f t="shared" si="137"/>
        <v>239436</v>
      </c>
      <c r="K756" s="20"/>
      <c r="L756" s="20">
        <f t="shared" ref="L756:L763" si="138">L672</f>
        <v>53</v>
      </c>
      <c r="M756" s="20"/>
      <c r="N756" s="7">
        <f t="shared" ref="N756:N761" si="139">ROUND($D756*L756,0)</f>
        <v>235002</v>
      </c>
      <c r="O756" s="55"/>
      <c r="P756" s="55"/>
    </row>
    <row r="757" spans="1:17" x14ac:dyDescent="0.25">
      <c r="A757" s="19" t="s">
        <v>79</v>
      </c>
      <c r="C757" s="6">
        <v>0</v>
      </c>
      <c r="D757" s="6">
        <v>0</v>
      </c>
      <c r="F757" s="20">
        <v>648</v>
      </c>
      <c r="G757" s="20"/>
      <c r="H757" s="7">
        <f t="shared" si="137"/>
        <v>0</v>
      </c>
      <c r="I757" s="7">
        <f t="shared" si="137"/>
        <v>0</v>
      </c>
      <c r="K757" s="20"/>
      <c r="L757" s="20">
        <f t="shared" si="138"/>
        <v>636</v>
      </c>
      <c r="M757" s="20"/>
      <c r="N757" s="7">
        <f t="shared" si="139"/>
        <v>0</v>
      </c>
      <c r="O757" s="55"/>
      <c r="P757" s="55"/>
    </row>
    <row r="758" spans="1:17" x14ac:dyDescent="0.25">
      <c r="A758" s="19" t="s">
        <v>80</v>
      </c>
      <c r="C758" s="6">
        <v>0</v>
      </c>
      <c r="D758" s="6">
        <v>0</v>
      </c>
      <c r="F758" s="24">
        <v>54</v>
      </c>
      <c r="G758" s="24"/>
      <c r="H758" s="7">
        <f t="shared" si="137"/>
        <v>0</v>
      </c>
      <c r="I758" s="7">
        <f t="shared" si="137"/>
        <v>0</v>
      </c>
      <c r="K758" s="24"/>
      <c r="L758" s="24">
        <f t="shared" si="138"/>
        <v>53</v>
      </c>
      <c r="M758" s="24"/>
      <c r="N758" s="7">
        <f t="shared" si="139"/>
        <v>0</v>
      </c>
      <c r="O758" s="57"/>
      <c r="P758" s="57"/>
    </row>
    <row r="759" spans="1:17" x14ac:dyDescent="0.25">
      <c r="A759" s="19" t="s">
        <v>81</v>
      </c>
      <c r="C759" s="6">
        <v>383745.23267326731</v>
      </c>
      <c r="D759" s="6">
        <v>505379</v>
      </c>
      <c r="F759" s="20">
        <v>4.04</v>
      </c>
      <c r="G759" s="20"/>
      <c r="H759" s="7">
        <f>ROUND($F759*C759,0)</f>
        <v>1550331</v>
      </c>
      <c r="I759" s="7">
        <f>ROUND($F759*D759,0)</f>
        <v>2041731</v>
      </c>
      <c r="K759" s="20"/>
      <c r="L759" s="20">
        <f t="shared" si="138"/>
        <v>3.99</v>
      </c>
      <c r="M759" s="20"/>
      <c r="N759" s="7">
        <f t="shared" si="139"/>
        <v>2016462</v>
      </c>
      <c r="O759" s="55"/>
      <c r="P759" s="55"/>
    </row>
    <row r="760" spans="1:17" x14ac:dyDescent="0.25">
      <c r="A760" s="19" t="s">
        <v>82</v>
      </c>
      <c r="C760" s="6">
        <v>157278.49761986933</v>
      </c>
      <c r="D760" s="6">
        <v>206980</v>
      </c>
      <c r="F760" s="24"/>
      <c r="G760" s="24"/>
      <c r="K760" s="24"/>
      <c r="L760" s="24">
        <f t="shared" si="138"/>
        <v>13.27</v>
      </c>
      <c r="M760" s="24"/>
      <c r="N760" s="7">
        <f t="shared" si="139"/>
        <v>2746625</v>
      </c>
      <c r="O760" s="57"/>
      <c r="P760" s="57"/>
    </row>
    <row r="761" spans="1:17" x14ac:dyDescent="0.25">
      <c r="A761" s="19" t="s">
        <v>83</v>
      </c>
      <c r="C761" s="6">
        <v>226466.75962037957</v>
      </c>
      <c r="D761" s="6">
        <v>298398</v>
      </c>
      <c r="F761" s="24"/>
      <c r="G761" s="24"/>
      <c r="K761" s="24"/>
      <c r="L761" s="24">
        <f t="shared" si="138"/>
        <v>11.74</v>
      </c>
      <c r="M761" s="24"/>
      <c r="N761" s="7">
        <f t="shared" si="139"/>
        <v>3503193</v>
      </c>
      <c r="O761" s="57"/>
      <c r="P761" s="57"/>
    </row>
    <row r="762" spans="1:17" x14ac:dyDescent="0.25">
      <c r="A762" s="19" t="s">
        <v>84</v>
      </c>
      <c r="C762" s="6">
        <v>50086245.627021879</v>
      </c>
      <c r="D762" s="6">
        <v>60590665.781530641</v>
      </c>
      <c r="F762" s="100"/>
      <c r="G762" s="26"/>
      <c r="K762" s="100"/>
      <c r="L762" s="100">
        <f t="shared" si="138"/>
        <v>3.8877999999999999</v>
      </c>
      <c r="M762" s="26" t="s">
        <v>18</v>
      </c>
      <c r="N762" s="7">
        <f>ROUND($D762*L762/100,0)</f>
        <v>2355644</v>
      </c>
      <c r="O762" s="207"/>
      <c r="P762" s="59"/>
    </row>
    <row r="763" spans="1:17" x14ac:dyDescent="0.25">
      <c r="A763" s="19" t="s">
        <v>85</v>
      </c>
      <c r="C763" s="6">
        <v>79149936.007644281</v>
      </c>
      <c r="D763" s="6">
        <v>109661557.70953687</v>
      </c>
      <c r="F763" s="100"/>
      <c r="G763" s="26"/>
      <c r="K763" s="100"/>
      <c r="L763" s="100">
        <f t="shared" si="138"/>
        <v>3.4405000000000001</v>
      </c>
      <c r="M763" s="26" t="s">
        <v>18</v>
      </c>
      <c r="N763" s="7">
        <f>ROUND($D763*L763/100,0)</f>
        <v>3772906</v>
      </c>
      <c r="O763" s="207"/>
      <c r="P763" s="59"/>
    </row>
    <row r="764" spans="1:17" x14ac:dyDescent="0.25">
      <c r="A764" s="19" t="s">
        <v>86</v>
      </c>
      <c r="C764" s="6">
        <v>172978.83652530829</v>
      </c>
      <c r="D764" s="6">
        <v>228131</v>
      </c>
      <c r="F764" s="20">
        <v>14.62</v>
      </c>
      <c r="G764" s="20"/>
      <c r="H764" s="7">
        <f t="shared" si="137"/>
        <v>2528951</v>
      </c>
      <c r="I764" s="7">
        <f t="shared" si="137"/>
        <v>3335275</v>
      </c>
      <c r="K764" s="20"/>
      <c r="L764" s="20"/>
      <c r="M764" s="20"/>
      <c r="O764" s="55"/>
      <c r="P764" s="55"/>
    </row>
    <row r="765" spans="1:17" x14ac:dyDescent="0.25">
      <c r="A765" s="19" t="s">
        <v>87</v>
      </c>
      <c r="C765" s="6">
        <v>210766.42071494064</v>
      </c>
      <c r="D765" s="6">
        <v>277248</v>
      </c>
      <c r="F765" s="20">
        <v>10.91</v>
      </c>
      <c r="G765" s="20"/>
      <c r="H765" s="7">
        <f t="shared" si="137"/>
        <v>2299462</v>
      </c>
      <c r="I765" s="7">
        <f t="shared" si="137"/>
        <v>3024776</v>
      </c>
      <c r="K765" s="20"/>
      <c r="L765" s="20"/>
      <c r="M765" s="20"/>
      <c r="O765" s="55"/>
      <c r="P765" s="55"/>
    </row>
    <row r="766" spans="1:17" x14ac:dyDescent="0.25">
      <c r="A766" s="19" t="s">
        <v>77</v>
      </c>
      <c r="C766" s="6">
        <v>15842</v>
      </c>
      <c r="D766" s="6">
        <v>26614</v>
      </c>
      <c r="F766" s="20">
        <v>-0.96</v>
      </c>
      <c r="G766" s="20"/>
      <c r="H766" s="7">
        <f t="shared" si="137"/>
        <v>-15208</v>
      </c>
      <c r="I766" s="7">
        <f t="shared" si="137"/>
        <v>-25549</v>
      </c>
      <c r="K766" s="20"/>
      <c r="L766" s="20">
        <f>L682</f>
        <v>-0.96</v>
      </c>
      <c r="M766" s="20"/>
      <c r="N766" s="7">
        <f>ROUND($D766*L766,0)</f>
        <v>-25549</v>
      </c>
      <c r="O766" s="55"/>
      <c r="P766" s="55"/>
    </row>
    <row r="767" spans="1:17" x14ac:dyDescent="0.25">
      <c r="A767" s="19" t="s">
        <v>88</v>
      </c>
      <c r="C767" s="6">
        <v>54977993.984188855</v>
      </c>
      <c r="D767" s="6">
        <v>72856846.09838742</v>
      </c>
      <c r="F767" s="100">
        <v>3.8127</v>
      </c>
      <c r="G767" s="26" t="s">
        <v>18</v>
      </c>
      <c r="H767" s="7">
        <f>ROUND($F767*C767/100,0)</f>
        <v>2096146</v>
      </c>
      <c r="I767" s="7">
        <f>ROUND($F767*D767/100,0)</f>
        <v>2777813</v>
      </c>
      <c r="K767" s="100"/>
      <c r="L767" s="100"/>
      <c r="M767" s="26"/>
      <c r="O767" s="207"/>
      <c r="P767" s="59"/>
    </row>
    <row r="768" spans="1:17" x14ac:dyDescent="0.25">
      <c r="A768" s="19" t="s">
        <v>89</v>
      </c>
      <c r="C768" s="6">
        <v>74258187.650477305</v>
      </c>
      <c r="D768" s="6">
        <v>97395377.392680094</v>
      </c>
      <c r="F768" s="100">
        <v>3.5143</v>
      </c>
      <c r="G768" s="26" t="s">
        <v>18</v>
      </c>
      <c r="H768" s="7">
        <f>ROUND($F768*C768/100,0)</f>
        <v>2609655</v>
      </c>
      <c r="I768" s="7">
        <f>ROUND($F768*D768/100,0)</f>
        <v>3422766</v>
      </c>
      <c r="K768" s="100"/>
      <c r="L768" s="100"/>
      <c r="M768" s="26"/>
      <c r="O768" s="207"/>
      <c r="P768" s="59"/>
    </row>
    <row r="769" spans="1:17" x14ac:dyDescent="0.25">
      <c r="A769" s="19" t="s">
        <v>33</v>
      </c>
      <c r="C769" s="36">
        <v>638530</v>
      </c>
      <c r="D769" s="36">
        <v>0</v>
      </c>
      <c r="H769" s="37">
        <f>H788+H807+H826</f>
        <v>60083</v>
      </c>
      <c r="I769" s="37">
        <f>I788+I807+I826</f>
        <v>0</v>
      </c>
      <c r="N769" s="37">
        <f>N788+N807+N826</f>
        <v>0</v>
      </c>
      <c r="Q769" s="64"/>
    </row>
    <row r="770" spans="1:17" x14ac:dyDescent="0.25">
      <c r="A770" s="19" t="s">
        <v>34</v>
      </c>
      <c r="F770" s="23">
        <v>-3.61E-2</v>
      </c>
      <c r="G770" s="24"/>
      <c r="H770" s="7">
        <f>SUM(H764:H765,H767:H768)*$F770</f>
        <v>-344185.12540000002</v>
      </c>
      <c r="I770" s="7">
        <f>SUM(I764:I765,I767:I768)*$F770</f>
        <v>-453438.74300000002</v>
      </c>
      <c r="K770" s="93" t="str">
        <f>$K$43</f>
        <v>TAA 1 (1/1/2021)</v>
      </c>
      <c r="L770" s="23">
        <f>$L$687</f>
        <v>-2.6100000000000002E-2</v>
      </c>
      <c r="M770" s="24"/>
      <c r="N770" s="7">
        <f>L770*SUM(N760:N763)</f>
        <v>-323075.40480000002</v>
      </c>
      <c r="O770" s="65"/>
      <c r="P770" s="57"/>
    </row>
    <row r="771" spans="1:17" x14ac:dyDescent="0.25">
      <c r="A771" s="19"/>
      <c r="F771" s="23"/>
      <c r="G771" s="24"/>
      <c r="K771" s="93" t="str">
        <f>$K$44</f>
        <v>TAA 2 (1/1/2022)</v>
      </c>
      <c r="L771" s="23">
        <f>$L$688</f>
        <v>-1.2999999999999999E-2</v>
      </c>
      <c r="M771" s="24"/>
      <c r="N771" s="7">
        <f>L771*SUM(N760:N763)</f>
        <v>-160918.78399999999</v>
      </c>
      <c r="O771" s="65"/>
      <c r="P771" s="57"/>
    </row>
    <row r="772" spans="1:17" ht="16.5" thickBot="1" x14ac:dyDescent="0.3">
      <c r="A772" s="19" t="s">
        <v>36</v>
      </c>
      <c r="C772" s="101">
        <v>129874711.63466616</v>
      </c>
      <c r="D772" s="101">
        <v>170252223.49106753</v>
      </c>
      <c r="F772" s="41"/>
      <c r="H772" s="95">
        <f>SUM(H756:H770)</f>
        <v>10970117.874600001</v>
      </c>
      <c r="I772" s="95">
        <f>SUM(I756:I770)</f>
        <v>14362809.256999999</v>
      </c>
      <c r="K772" s="41"/>
      <c r="L772" s="41"/>
      <c r="N772" s="95">
        <f>SUM(N756:N769)</f>
        <v>14604283</v>
      </c>
      <c r="O772" s="68"/>
      <c r="Q772" s="208"/>
    </row>
    <row r="773" spans="1:17" ht="16.5" thickTop="1" x14ac:dyDescent="0.25"/>
    <row r="774" spans="1:17" x14ac:dyDescent="0.25">
      <c r="A774" s="15" t="s">
        <v>111</v>
      </c>
    </row>
    <row r="775" spans="1:17" x14ac:dyDescent="0.25">
      <c r="A775" s="19" t="s">
        <v>68</v>
      </c>
      <c r="C775" s="6">
        <v>158.96666666666701</v>
      </c>
      <c r="D775" s="6">
        <v>204</v>
      </c>
      <c r="F775" s="24">
        <v>54</v>
      </c>
      <c r="G775" s="24"/>
      <c r="H775" s="7">
        <f t="shared" ref="H775:I785" si="140">ROUND($F775*C775,0)</f>
        <v>8584</v>
      </c>
      <c r="I775" s="7">
        <f t="shared" si="140"/>
        <v>11016</v>
      </c>
      <c r="K775" s="24"/>
      <c r="L775" s="24">
        <f t="shared" ref="L775:L782" si="141">L756</f>
        <v>53</v>
      </c>
      <c r="M775" s="24"/>
      <c r="N775" s="7">
        <f t="shared" ref="N775:N780" si="142">ROUND($D775*L775,0)</f>
        <v>10812</v>
      </c>
      <c r="O775" s="57"/>
      <c r="P775" s="57"/>
    </row>
    <row r="776" spans="1:17" x14ac:dyDescent="0.25">
      <c r="A776" s="19" t="s">
        <v>79</v>
      </c>
      <c r="C776" s="6">
        <v>0</v>
      </c>
      <c r="D776" s="6">
        <v>0</v>
      </c>
      <c r="F776" s="24">
        <v>648</v>
      </c>
      <c r="G776" s="24"/>
      <c r="H776" s="7">
        <f t="shared" si="140"/>
        <v>0</v>
      </c>
      <c r="I776" s="7">
        <f t="shared" si="140"/>
        <v>0</v>
      </c>
      <c r="K776" s="24"/>
      <c r="L776" s="24">
        <f t="shared" si="141"/>
        <v>636</v>
      </c>
      <c r="M776" s="24"/>
      <c r="N776" s="7">
        <f t="shared" si="142"/>
        <v>0</v>
      </c>
      <c r="O776" s="57"/>
      <c r="P776" s="57"/>
    </row>
    <row r="777" spans="1:17" x14ac:dyDescent="0.25">
      <c r="A777" s="19" t="s">
        <v>80</v>
      </c>
      <c r="C777" s="6">
        <v>0</v>
      </c>
      <c r="D777" s="6">
        <v>0</v>
      </c>
      <c r="F777" s="24">
        <v>54</v>
      </c>
      <c r="G777" s="24"/>
      <c r="H777" s="7">
        <f t="shared" si="140"/>
        <v>0</v>
      </c>
      <c r="I777" s="7">
        <f t="shared" si="140"/>
        <v>0</v>
      </c>
      <c r="K777" s="24"/>
      <c r="L777" s="24">
        <f t="shared" si="141"/>
        <v>53</v>
      </c>
      <c r="M777" s="24"/>
      <c r="N777" s="7">
        <f t="shared" si="142"/>
        <v>0</v>
      </c>
      <c r="O777" s="57"/>
      <c r="P777" s="57"/>
    </row>
    <row r="778" spans="1:17" x14ac:dyDescent="0.25">
      <c r="A778" s="19" t="s">
        <v>81</v>
      </c>
      <c r="C778" s="6">
        <v>11471.5346534653</v>
      </c>
      <c r="D778" s="6">
        <v>13836</v>
      </c>
      <c r="F778" s="24">
        <v>4.04</v>
      </c>
      <c r="G778" s="24"/>
      <c r="H778" s="7">
        <f>ROUND($F778*C778,0)</f>
        <v>46345</v>
      </c>
      <c r="I778" s="7">
        <f>ROUND($F778*D778,0)</f>
        <v>55897</v>
      </c>
      <c r="K778" s="24"/>
      <c r="L778" s="24">
        <f t="shared" si="141"/>
        <v>3.99</v>
      </c>
      <c r="M778" s="24"/>
      <c r="N778" s="7">
        <f t="shared" si="142"/>
        <v>55206</v>
      </c>
      <c r="O778" s="57"/>
      <c r="P778" s="57"/>
    </row>
    <row r="779" spans="1:17" x14ac:dyDescent="0.25">
      <c r="A779" s="19" t="s">
        <v>82</v>
      </c>
      <c r="C779" s="6">
        <v>3464.7546487512086</v>
      </c>
      <c r="D779" s="6">
        <v>4179</v>
      </c>
      <c r="F779" s="24"/>
      <c r="G779" s="24"/>
      <c r="K779" s="24"/>
      <c r="L779" s="24">
        <f t="shared" si="141"/>
        <v>13.27</v>
      </c>
      <c r="M779" s="24"/>
      <c r="N779" s="7">
        <f t="shared" si="142"/>
        <v>55455</v>
      </c>
      <c r="O779" s="57"/>
      <c r="P779" s="57"/>
    </row>
    <row r="780" spans="1:17" x14ac:dyDescent="0.25">
      <c r="A780" s="19" t="s">
        <v>83</v>
      </c>
      <c r="C780" s="6">
        <v>8006.7795760529116</v>
      </c>
      <c r="D780" s="6">
        <v>9657</v>
      </c>
      <c r="F780" s="24"/>
      <c r="G780" s="24"/>
      <c r="K780" s="24"/>
      <c r="L780" s="24">
        <f t="shared" si="141"/>
        <v>11.74</v>
      </c>
      <c r="M780" s="24"/>
      <c r="N780" s="7">
        <f t="shared" si="142"/>
        <v>113373</v>
      </c>
      <c r="O780" s="57"/>
      <c r="P780" s="57"/>
    </row>
    <row r="781" spans="1:17" x14ac:dyDescent="0.25">
      <c r="A781" s="19" t="s">
        <v>84</v>
      </c>
      <c r="C781" s="6">
        <v>1076461.2380270492</v>
      </c>
      <c r="D781" s="6">
        <v>1454609.0476190476</v>
      </c>
      <c r="F781" s="100"/>
      <c r="G781" s="26"/>
      <c r="K781" s="100"/>
      <c r="L781" s="100">
        <f t="shared" si="141"/>
        <v>3.8877999999999999</v>
      </c>
      <c r="M781" s="26" t="s">
        <v>18</v>
      </c>
      <c r="N781" s="7">
        <f>ROUND($D781*L781/100,0)</f>
        <v>56552</v>
      </c>
      <c r="O781" s="207"/>
      <c r="P781" s="59"/>
    </row>
    <row r="782" spans="1:17" x14ac:dyDescent="0.25">
      <c r="A782" s="19" t="s">
        <v>85</v>
      </c>
      <c r="C782" s="6">
        <v>2694300.4670450641</v>
      </c>
      <c r="D782" s="6">
        <v>3119199.1373626376</v>
      </c>
      <c r="F782" s="100"/>
      <c r="G782" s="26"/>
      <c r="K782" s="100"/>
      <c r="L782" s="100">
        <f t="shared" si="141"/>
        <v>3.4405000000000001</v>
      </c>
      <c r="M782" s="26" t="s">
        <v>18</v>
      </c>
      <c r="N782" s="7">
        <f>ROUND($D782*L782/100,0)</f>
        <v>107316</v>
      </c>
      <c r="O782" s="207"/>
      <c r="P782" s="59"/>
    </row>
    <row r="783" spans="1:17" x14ac:dyDescent="0.25">
      <c r="A783" s="19" t="s">
        <v>86</v>
      </c>
      <c r="C783" s="6">
        <v>4259.2564979480203</v>
      </c>
      <c r="D783" s="6">
        <v>5137</v>
      </c>
      <c r="F783" s="24">
        <v>14.62</v>
      </c>
      <c r="G783" s="24"/>
      <c r="H783" s="7">
        <f t="shared" si="140"/>
        <v>62270</v>
      </c>
      <c r="I783" s="7">
        <f t="shared" si="140"/>
        <v>75103</v>
      </c>
      <c r="K783" s="24"/>
      <c r="L783" s="24"/>
      <c r="M783" s="24"/>
      <c r="O783" s="57"/>
      <c r="P783" s="57"/>
    </row>
    <row r="784" spans="1:17" x14ac:dyDescent="0.25">
      <c r="A784" s="19" t="s">
        <v>87</v>
      </c>
      <c r="C784" s="6">
        <v>7212.2777268561003</v>
      </c>
      <c r="D784" s="6">
        <v>8699</v>
      </c>
      <c r="F784" s="24">
        <v>10.91</v>
      </c>
      <c r="G784" s="24"/>
      <c r="H784" s="7">
        <f t="shared" si="140"/>
        <v>78686</v>
      </c>
      <c r="I784" s="7">
        <f t="shared" si="140"/>
        <v>94906</v>
      </c>
      <c r="K784" s="24"/>
      <c r="L784" s="24"/>
      <c r="M784" s="24"/>
      <c r="O784" s="57"/>
      <c r="P784" s="57"/>
    </row>
    <row r="785" spans="1:17" x14ac:dyDescent="0.25">
      <c r="A785" s="19" t="s">
        <v>77</v>
      </c>
      <c r="C785" s="6">
        <v>0</v>
      </c>
      <c r="D785" s="6">
        <v>0</v>
      </c>
      <c r="F785" s="24">
        <v>-0.96</v>
      </c>
      <c r="G785" s="24"/>
      <c r="H785" s="7">
        <f t="shared" si="140"/>
        <v>0</v>
      </c>
      <c r="I785" s="7">
        <f t="shared" si="140"/>
        <v>0</v>
      </c>
      <c r="K785" s="24"/>
      <c r="L785" s="24">
        <f>L766</f>
        <v>-0.96</v>
      </c>
      <c r="M785" s="24"/>
      <c r="N785" s="7">
        <f>ROUND($D785*L785,0)</f>
        <v>0</v>
      </c>
      <c r="O785" s="57"/>
      <c r="P785" s="57"/>
    </row>
    <row r="786" spans="1:17" x14ac:dyDescent="0.25">
      <c r="A786" s="19" t="s">
        <v>88</v>
      </c>
      <c r="C786" s="6">
        <v>1331517.1683641539</v>
      </c>
      <c r="D786" s="6">
        <v>1752959.0476190476</v>
      </c>
      <c r="F786" s="100">
        <v>3.8127</v>
      </c>
      <c r="G786" s="26" t="s">
        <v>18</v>
      </c>
      <c r="H786" s="7">
        <f>ROUND($F786*C786/100,0)</f>
        <v>50767</v>
      </c>
      <c r="I786" s="7">
        <f>ROUND($F786*D786/100,0)</f>
        <v>66835</v>
      </c>
      <c r="K786" s="100"/>
      <c r="L786" s="100"/>
      <c r="M786" s="26"/>
      <c r="O786" s="207"/>
      <c r="P786" s="59"/>
    </row>
    <row r="787" spans="1:17" x14ac:dyDescent="0.25">
      <c r="A787" s="19" t="s">
        <v>89</v>
      </c>
      <c r="C787" s="6">
        <v>2439244.5367079591</v>
      </c>
      <c r="D787" s="6">
        <v>2820849.1373626376</v>
      </c>
      <c r="F787" s="100">
        <v>3.5143</v>
      </c>
      <c r="G787" s="26" t="s">
        <v>18</v>
      </c>
      <c r="H787" s="7">
        <f>ROUND($F787*C787/100,0)</f>
        <v>85722</v>
      </c>
      <c r="I787" s="7">
        <f>ROUND($F787*D787/100,0)</f>
        <v>99133</v>
      </c>
      <c r="K787" s="100"/>
      <c r="L787" s="100"/>
      <c r="M787" s="26"/>
      <c r="O787" s="207"/>
      <c r="P787" s="59"/>
    </row>
    <row r="788" spans="1:17" x14ac:dyDescent="0.25">
      <c r="A788" s="19" t="s">
        <v>33</v>
      </c>
      <c r="C788" s="36">
        <v>21392</v>
      </c>
      <c r="D788" s="36">
        <v>0</v>
      </c>
      <c r="H788" s="37">
        <v>1984</v>
      </c>
      <c r="I788" s="37">
        <v>0</v>
      </c>
      <c r="N788" s="37">
        <v>0</v>
      </c>
      <c r="Q788" s="64"/>
    </row>
    <row r="789" spans="1:17" x14ac:dyDescent="0.25">
      <c r="A789" s="19" t="s">
        <v>34</v>
      </c>
      <c r="F789" s="23">
        <v>-3.61E-2</v>
      </c>
      <c r="G789" s="24"/>
      <c r="H789" s="7">
        <f>SUM(H783:H784,H786:H787)*$F789</f>
        <v>-10015.764499999999</v>
      </c>
      <c r="I789" s="7">
        <f>SUM(I783:I784,I786:I787)*$F789</f>
        <v>-12128.769700000001</v>
      </c>
      <c r="K789" s="93" t="str">
        <f>$K$43</f>
        <v>TAA 1 (1/1/2021)</v>
      </c>
      <c r="L789" s="23">
        <f>$L$687</f>
        <v>-2.6100000000000002E-2</v>
      </c>
      <c r="M789" s="24"/>
      <c r="N789" s="7">
        <f>L789*SUM(N779:N782)</f>
        <v>-8683.365600000001</v>
      </c>
      <c r="O789" s="65"/>
      <c r="P789" s="57"/>
    </row>
    <row r="790" spans="1:17" x14ac:dyDescent="0.25">
      <c r="A790" s="19"/>
      <c r="F790" s="23"/>
      <c r="G790" s="24"/>
      <c r="K790" s="93" t="str">
        <f>$K$44</f>
        <v>TAA 2 (1/1/2022)</v>
      </c>
      <c r="L790" s="23">
        <f>$L$688</f>
        <v>-1.2999999999999999E-2</v>
      </c>
      <c r="M790" s="24"/>
      <c r="N790" s="7">
        <f>L790*SUM(N779:N782)</f>
        <v>-4325.0479999999998</v>
      </c>
      <c r="O790" s="65"/>
      <c r="P790" s="57"/>
    </row>
    <row r="791" spans="1:17" ht="16.5" thickBot="1" x14ac:dyDescent="0.3">
      <c r="A791" s="19" t="s">
        <v>36</v>
      </c>
      <c r="C791" s="101">
        <v>3792153.7050721133</v>
      </c>
      <c r="D791" s="101">
        <v>4573808.1849816851</v>
      </c>
      <c r="F791" s="41"/>
      <c r="H791" s="95">
        <f>SUM(H775:H789)</f>
        <v>324342.23550000001</v>
      </c>
      <c r="I791" s="95">
        <f>SUM(I775:I789)</f>
        <v>390761.2303</v>
      </c>
      <c r="K791" s="41"/>
      <c r="L791" s="41"/>
      <c r="N791" s="95">
        <f>SUM(N775:N788)</f>
        <v>398714</v>
      </c>
      <c r="O791" s="68"/>
      <c r="Q791" s="208"/>
    </row>
    <row r="792" spans="1:17" ht="16.5" thickTop="1" x14ac:dyDescent="0.25"/>
    <row r="793" spans="1:17" x14ac:dyDescent="0.25">
      <c r="A793" s="15" t="s">
        <v>112</v>
      </c>
    </row>
    <row r="794" spans="1:17" x14ac:dyDescent="0.25">
      <c r="A794" s="19" t="s">
        <v>68</v>
      </c>
      <c r="C794" s="6">
        <v>3192.8</v>
      </c>
      <c r="D794" s="6">
        <v>4032</v>
      </c>
      <c r="F794" s="24">
        <v>54</v>
      </c>
      <c r="G794" s="24"/>
      <c r="H794" s="7">
        <f t="shared" ref="H794:I804" si="143">ROUND($F794*C794,0)</f>
        <v>172411</v>
      </c>
      <c r="I794" s="7">
        <f t="shared" si="143"/>
        <v>217728</v>
      </c>
      <c r="K794" s="24"/>
      <c r="L794" s="24">
        <f t="shared" ref="L794:L801" si="144">L756</f>
        <v>53</v>
      </c>
      <c r="M794" s="24"/>
      <c r="N794" s="7">
        <f t="shared" ref="N794:N799" si="145">ROUND($D794*L794,0)</f>
        <v>213696</v>
      </c>
      <c r="O794" s="57"/>
      <c r="P794" s="57"/>
    </row>
    <row r="795" spans="1:17" x14ac:dyDescent="0.25">
      <c r="A795" s="19" t="s">
        <v>79</v>
      </c>
      <c r="C795" s="6">
        <v>0</v>
      </c>
      <c r="D795" s="6">
        <v>0</v>
      </c>
      <c r="F795" s="24">
        <v>648</v>
      </c>
      <c r="G795" s="24"/>
      <c r="H795" s="7">
        <f t="shared" si="143"/>
        <v>0</v>
      </c>
      <c r="I795" s="7">
        <f t="shared" si="143"/>
        <v>0</v>
      </c>
      <c r="K795" s="24"/>
      <c r="L795" s="24">
        <f t="shared" si="144"/>
        <v>636</v>
      </c>
      <c r="M795" s="24"/>
      <c r="N795" s="7">
        <f t="shared" si="145"/>
        <v>0</v>
      </c>
      <c r="O795" s="57"/>
      <c r="P795" s="57"/>
    </row>
    <row r="796" spans="1:17" x14ac:dyDescent="0.25">
      <c r="A796" s="19" t="s">
        <v>80</v>
      </c>
      <c r="C796" s="6">
        <v>0</v>
      </c>
      <c r="D796" s="6">
        <v>0</v>
      </c>
      <c r="F796" s="24">
        <v>54</v>
      </c>
      <c r="G796" s="24"/>
      <c r="H796" s="7">
        <f t="shared" si="143"/>
        <v>0</v>
      </c>
      <c r="I796" s="7">
        <f t="shared" si="143"/>
        <v>0</v>
      </c>
      <c r="K796" s="24"/>
      <c r="L796" s="24">
        <f t="shared" si="144"/>
        <v>53</v>
      </c>
      <c r="M796" s="24"/>
      <c r="N796" s="7">
        <f t="shared" si="145"/>
        <v>0</v>
      </c>
      <c r="O796" s="57"/>
      <c r="P796" s="57"/>
    </row>
    <row r="797" spans="1:17" x14ac:dyDescent="0.25">
      <c r="A797" s="19" t="s">
        <v>81</v>
      </c>
      <c r="C797" s="6">
        <v>364255.69801980199</v>
      </c>
      <c r="D797" s="6">
        <v>468930</v>
      </c>
      <c r="F797" s="24">
        <v>4.04</v>
      </c>
      <c r="G797" s="24"/>
      <c r="H797" s="7">
        <f>ROUND($F797*C797,0)</f>
        <v>1471593</v>
      </c>
      <c r="I797" s="7">
        <f>ROUND($F797*D797,0)</f>
        <v>1894477</v>
      </c>
      <c r="K797" s="24"/>
      <c r="L797" s="24">
        <f t="shared" si="144"/>
        <v>3.99</v>
      </c>
      <c r="M797" s="24"/>
      <c r="N797" s="7">
        <f t="shared" si="145"/>
        <v>1871031</v>
      </c>
      <c r="O797" s="57"/>
      <c r="P797" s="57"/>
    </row>
    <row r="798" spans="1:17" x14ac:dyDescent="0.25">
      <c r="A798" s="19" t="s">
        <v>82</v>
      </c>
      <c r="C798" s="6">
        <v>150690.92065663519</v>
      </c>
      <c r="D798" s="6">
        <v>193994</v>
      </c>
      <c r="F798" s="24"/>
      <c r="G798" s="24"/>
      <c r="K798" s="24"/>
      <c r="L798" s="24">
        <f t="shared" si="144"/>
        <v>13.27</v>
      </c>
      <c r="M798" s="24"/>
      <c r="N798" s="7">
        <f t="shared" si="145"/>
        <v>2574300</v>
      </c>
      <c r="O798" s="57"/>
      <c r="P798" s="57"/>
    </row>
    <row r="799" spans="1:17" x14ac:dyDescent="0.25">
      <c r="A799" s="19" t="s">
        <v>83</v>
      </c>
      <c r="C799" s="6">
        <v>213564.80074693981</v>
      </c>
      <c r="D799" s="6">
        <v>274936</v>
      </c>
      <c r="F799" s="24"/>
      <c r="G799" s="24"/>
      <c r="K799" s="24"/>
      <c r="L799" s="24">
        <f t="shared" si="144"/>
        <v>11.74</v>
      </c>
      <c r="M799" s="24"/>
      <c r="N799" s="7">
        <f t="shared" si="145"/>
        <v>3227749</v>
      </c>
      <c r="O799" s="57"/>
      <c r="P799" s="57"/>
    </row>
    <row r="800" spans="1:17" x14ac:dyDescent="0.25">
      <c r="A800" s="19" t="s">
        <v>84</v>
      </c>
      <c r="C800" s="6">
        <v>48125028.184217915</v>
      </c>
      <c r="D800" s="6">
        <v>56616651.067244932</v>
      </c>
      <c r="F800" s="100"/>
      <c r="G800" s="26"/>
      <c r="K800" s="100"/>
      <c r="L800" s="100">
        <f t="shared" si="144"/>
        <v>3.8877999999999999</v>
      </c>
      <c r="M800" s="26" t="s">
        <v>18</v>
      </c>
      <c r="N800" s="7">
        <f>ROUND($D800*L800/100,0)</f>
        <v>2201142</v>
      </c>
      <c r="O800" s="207"/>
      <c r="P800" s="59"/>
    </row>
    <row r="801" spans="1:17" x14ac:dyDescent="0.25">
      <c r="A801" s="19" t="s">
        <v>85</v>
      </c>
      <c r="C801" s="6">
        <v>75109563.745376125</v>
      </c>
      <c r="D801" s="6">
        <v>102872324.73884089</v>
      </c>
      <c r="F801" s="100"/>
      <c r="G801" s="26"/>
      <c r="K801" s="100"/>
      <c r="L801" s="100">
        <f t="shared" si="144"/>
        <v>3.4405000000000001</v>
      </c>
      <c r="M801" s="26" t="s">
        <v>18</v>
      </c>
      <c r="N801" s="7">
        <f>ROUND($D801*L801/100,0)</f>
        <v>3539322</v>
      </c>
      <c r="O801" s="207"/>
      <c r="P801" s="59"/>
    </row>
    <row r="802" spans="1:17" x14ac:dyDescent="0.25">
      <c r="A802" s="19" t="s">
        <v>86</v>
      </c>
      <c r="C802" s="6">
        <v>164941.854309166</v>
      </c>
      <c r="D802" s="6">
        <v>212340</v>
      </c>
      <c r="F802" s="24">
        <v>14.62</v>
      </c>
      <c r="G802" s="24"/>
      <c r="H802" s="7">
        <f t="shared" si="143"/>
        <v>2411450</v>
      </c>
      <c r="I802" s="7">
        <f t="shared" si="143"/>
        <v>3104411</v>
      </c>
      <c r="K802" s="24"/>
      <c r="L802" s="24"/>
      <c r="M802" s="24"/>
      <c r="O802" s="57"/>
      <c r="P802" s="57"/>
    </row>
    <row r="803" spans="1:17" x14ac:dyDescent="0.25">
      <c r="A803" s="19" t="s">
        <v>87</v>
      </c>
      <c r="C803" s="6">
        <v>199313.86709440901</v>
      </c>
      <c r="D803" s="6">
        <v>256590</v>
      </c>
      <c r="F803" s="24">
        <v>10.91</v>
      </c>
      <c r="G803" s="24"/>
      <c r="H803" s="7">
        <f t="shared" si="143"/>
        <v>2174514</v>
      </c>
      <c r="I803" s="7">
        <f t="shared" si="143"/>
        <v>2799397</v>
      </c>
      <c r="K803" s="24"/>
      <c r="L803" s="24"/>
      <c r="M803" s="24"/>
      <c r="O803" s="57"/>
      <c r="P803" s="57"/>
    </row>
    <row r="804" spans="1:17" x14ac:dyDescent="0.25">
      <c r="A804" s="19" t="s">
        <v>77</v>
      </c>
      <c r="C804" s="6">
        <v>11785</v>
      </c>
      <c r="D804" s="6">
        <v>15172</v>
      </c>
      <c r="F804" s="24">
        <v>-0.96</v>
      </c>
      <c r="G804" s="24"/>
      <c r="H804" s="7">
        <f t="shared" si="143"/>
        <v>-11314</v>
      </c>
      <c r="I804" s="7">
        <f t="shared" si="143"/>
        <v>-14565</v>
      </c>
      <c r="K804" s="24"/>
      <c r="L804" s="24">
        <f>L766</f>
        <v>-0.96</v>
      </c>
      <c r="M804" s="24"/>
      <c r="N804" s="7">
        <f>ROUND($D804*L804,0)</f>
        <v>-14565</v>
      </c>
      <c r="O804" s="57"/>
      <c r="P804" s="57"/>
    </row>
    <row r="805" spans="1:17" x14ac:dyDescent="0.25">
      <c r="A805" s="19" t="s">
        <v>88</v>
      </c>
      <c r="C805" s="6">
        <v>52584420.815824702</v>
      </c>
      <c r="D805" s="6">
        <v>68150622.717435047</v>
      </c>
      <c r="F805" s="100">
        <v>3.8127</v>
      </c>
      <c r="G805" s="26" t="s">
        <v>18</v>
      </c>
      <c r="H805" s="7">
        <f>ROUND($F805*C805/100,0)</f>
        <v>2004886</v>
      </c>
      <c r="I805" s="7">
        <f>ROUND($F805*D805/100,0)</f>
        <v>2598379</v>
      </c>
      <c r="K805" s="100"/>
      <c r="L805" s="100"/>
      <c r="M805" s="26"/>
      <c r="O805" s="207"/>
      <c r="P805" s="59"/>
    </row>
    <row r="806" spans="1:17" x14ac:dyDescent="0.25">
      <c r="A806" s="19" t="s">
        <v>89</v>
      </c>
      <c r="C806" s="6">
        <v>70650171.113769352</v>
      </c>
      <c r="D806" s="6">
        <v>91338353.088650778</v>
      </c>
      <c r="F806" s="100">
        <v>3.5143</v>
      </c>
      <c r="G806" s="26" t="s">
        <v>18</v>
      </c>
      <c r="H806" s="7">
        <f>ROUND($F806*C806/100,0)</f>
        <v>2482859</v>
      </c>
      <c r="I806" s="7">
        <f>ROUND($F806*D806/100,0)</f>
        <v>3209904</v>
      </c>
      <c r="K806" s="100"/>
      <c r="L806" s="100"/>
      <c r="M806" s="26"/>
      <c r="O806" s="207"/>
      <c r="P806" s="59"/>
    </row>
    <row r="807" spans="1:17" x14ac:dyDescent="0.25">
      <c r="A807" s="19" t="s">
        <v>33</v>
      </c>
      <c r="C807" s="36">
        <v>653301</v>
      </c>
      <c r="D807" s="36">
        <v>0</v>
      </c>
      <c r="H807" s="37">
        <v>61273</v>
      </c>
      <c r="I807" s="37">
        <v>0</v>
      </c>
      <c r="N807" s="37">
        <v>0</v>
      </c>
      <c r="Q807" s="64"/>
    </row>
    <row r="808" spans="1:17" x14ac:dyDescent="0.25">
      <c r="A808" s="19" t="s">
        <v>34</v>
      </c>
      <c r="F808" s="23">
        <v>-3.61E-2</v>
      </c>
      <c r="G808" s="24"/>
      <c r="H808" s="7">
        <f>SUM(H802:H803,H805:H806)*$F808</f>
        <v>-327560.89490000001</v>
      </c>
      <c r="I808" s="7">
        <f>SUM(I802:I803,I805:I806)*$F808</f>
        <v>-422806.48509999999</v>
      </c>
      <c r="K808" s="93" t="str">
        <f>$K$43</f>
        <v>TAA 1 (1/1/2021)</v>
      </c>
      <c r="L808" s="23">
        <f>$L$687</f>
        <v>-2.6100000000000002E-2</v>
      </c>
      <c r="M808" s="24"/>
      <c r="N808" s="7">
        <f>L808*SUM(N798:N801)</f>
        <v>-301259.58929999999</v>
      </c>
      <c r="O808" s="65"/>
      <c r="P808" s="57"/>
    </row>
    <row r="809" spans="1:17" x14ac:dyDescent="0.25">
      <c r="A809" s="19"/>
      <c r="F809" s="23"/>
      <c r="G809" s="24"/>
      <c r="K809" s="93" t="str">
        <f>$K$44</f>
        <v>TAA 2 (1/1/2022)</v>
      </c>
      <c r="L809" s="23">
        <f>$L$688</f>
        <v>-1.2999999999999999E-2</v>
      </c>
      <c r="M809" s="24"/>
      <c r="N809" s="7">
        <f>L809*SUM(N798:N801)</f>
        <v>-150052.66899999999</v>
      </c>
      <c r="O809" s="65"/>
      <c r="P809" s="57"/>
    </row>
    <row r="810" spans="1:17" ht="16.5" thickBot="1" x14ac:dyDescent="0.3">
      <c r="A810" s="19" t="s">
        <v>36</v>
      </c>
      <c r="C810" s="101">
        <v>123887892.92959405</v>
      </c>
      <c r="D810" s="101">
        <v>159488975.80608582</v>
      </c>
      <c r="F810" s="41"/>
      <c r="H810" s="95">
        <f>SUM(H794:H808)</f>
        <v>10440111.1051</v>
      </c>
      <c r="I810" s="95">
        <f>SUM(I794:I808)</f>
        <v>13386924.514900001</v>
      </c>
      <c r="K810" s="41"/>
      <c r="L810" s="41"/>
      <c r="N810" s="95">
        <f>SUM(N794:N807)</f>
        <v>13612675</v>
      </c>
      <c r="O810" s="68"/>
      <c r="Q810" s="208"/>
    </row>
    <row r="811" spans="1:17" ht="16.5" thickTop="1" x14ac:dyDescent="0.25"/>
    <row r="812" spans="1:17" x14ac:dyDescent="0.25">
      <c r="A812" s="15" t="s">
        <v>113</v>
      </c>
    </row>
    <row r="813" spans="1:17" x14ac:dyDescent="0.25">
      <c r="A813" s="19" t="s">
        <v>68</v>
      </c>
      <c r="C813" s="6">
        <v>72</v>
      </c>
      <c r="D813" s="6">
        <v>198</v>
      </c>
      <c r="F813" s="24">
        <v>54</v>
      </c>
      <c r="G813" s="24"/>
      <c r="H813" s="7">
        <f t="shared" ref="H813:I823" si="146">ROUND($F813*C813,0)</f>
        <v>3888</v>
      </c>
      <c r="I813" s="7">
        <f t="shared" si="146"/>
        <v>10692</v>
      </c>
      <c r="K813" s="24"/>
      <c r="L813" s="24">
        <f t="shared" ref="L813:L820" si="147">L756</f>
        <v>53</v>
      </c>
      <c r="M813" s="24"/>
      <c r="N813" s="7">
        <f t="shared" ref="N813:N818" si="148">ROUND($D813*L813,0)</f>
        <v>10494</v>
      </c>
      <c r="O813" s="57"/>
      <c r="P813" s="57"/>
    </row>
    <row r="814" spans="1:17" x14ac:dyDescent="0.25">
      <c r="A814" s="19" t="s">
        <v>79</v>
      </c>
      <c r="C814" s="6">
        <v>0</v>
      </c>
      <c r="D814" s="6">
        <v>0</v>
      </c>
      <c r="F814" s="24">
        <v>648</v>
      </c>
      <c r="G814" s="24"/>
      <c r="H814" s="7">
        <f t="shared" si="146"/>
        <v>0</v>
      </c>
      <c r="I814" s="7">
        <f t="shared" si="146"/>
        <v>0</v>
      </c>
      <c r="K814" s="24"/>
      <c r="L814" s="24">
        <f t="shared" si="147"/>
        <v>636</v>
      </c>
      <c r="M814" s="24"/>
      <c r="N814" s="7">
        <f t="shared" si="148"/>
        <v>0</v>
      </c>
      <c r="O814" s="57"/>
      <c r="P814" s="57"/>
    </row>
    <row r="815" spans="1:17" x14ac:dyDescent="0.25">
      <c r="A815" s="19" t="s">
        <v>80</v>
      </c>
      <c r="C815" s="6">
        <v>0</v>
      </c>
      <c r="D815" s="6">
        <v>0</v>
      </c>
      <c r="F815" s="24">
        <v>54</v>
      </c>
      <c r="G815" s="24"/>
      <c r="H815" s="7">
        <f t="shared" si="146"/>
        <v>0</v>
      </c>
      <c r="I815" s="7">
        <f t="shared" si="146"/>
        <v>0</v>
      </c>
      <c r="K815" s="24"/>
      <c r="L815" s="24">
        <f t="shared" si="147"/>
        <v>53</v>
      </c>
      <c r="M815" s="24"/>
      <c r="N815" s="7">
        <f t="shared" si="148"/>
        <v>0</v>
      </c>
      <c r="O815" s="57"/>
      <c r="P815" s="57"/>
    </row>
    <row r="816" spans="1:17" x14ac:dyDescent="0.25">
      <c r="A816" s="19" t="s">
        <v>81</v>
      </c>
      <c r="C816" s="6">
        <v>8018</v>
      </c>
      <c r="D816" s="6">
        <v>22613</v>
      </c>
      <c r="F816" s="24">
        <v>4.04</v>
      </c>
      <c r="G816" s="24"/>
      <c r="H816" s="7">
        <f>ROUND($F816*C816,0)</f>
        <v>32393</v>
      </c>
      <c r="I816" s="7">
        <f>ROUND($F816*D816,0)</f>
        <v>91357</v>
      </c>
      <c r="K816" s="24"/>
      <c r="L816" s="24">
        <f t="shared" si="147"/>
        <v>3.99</v>
      </c>
      <c r="M816" s="24"/>
      <c r="N816" s="7">
        <f t="shared" si="148"/>
        <v>90226</v>
      </c>
      <c r="O816" s="57"/>
      <c r="P816" s="57"/>
    </row>
    <row r="817" spans="1:17" x14ac:dyDescent="0.25">
      <c r="A817" s="19" t="s">
        <v>82</v>
      </c>
      <c r="C817" s="6">
        <v>3122.8223144829426</v>
      </c>
      <c r="D817" s="6">
        <v>8807</v>
      </c>
      <c r="F817" s="24"/>
      <c r="G817" s="24"/>
      <c r="K817" s="24"/>
      <c r="L817" s="24">
        <f t="shared" si="147"/>
        <v>13.27</v>
      </c>
      <c r="M817" s="24"/>
      <c r="N817" s="7">
        <f t="shared" si="148"/>
        <v>116869</v>
      </c>
      <c r="O817" s="57"/>
      <c r="P817" s="57"/>
    </row>
    <row r="818" spans="1:17" x14ac:dyDescent="0.25">
      <c r="A818" s="19" t="s">
        <v>83</v>
      </c>
      <c r="C818" s="6">
        <v>4895.1792973868469</v>
      </c>
      <c r="D818" s="6">
        <v>13805</v>
      </c>
      <c r="F818" s="24"/>
      <c r="G818" s="24"/>
      <c r="K818" s="24"/>
      <c r="L818" s="24">
        <f t="shared" si="147"/>
        <v>11.74</v>
      </c>
      <c r="M818" s="24"/>
      <c r="N818" s="7">
        <f t="shared" si="148"/>
        <v>162071</v>
      </c>
      <c r="O818" s="57"/>
      <c r="P818" s="57"/>
    </row>
    <row r="819" spans="1:17" x14ac:dyDescent="0.25">
      <c r="A819" s="19" t="s">
        <v>84</v>
      </c>
      <c r="C819" s="6">
        <v>884756.20477691339</v>
      </c>
      <c r="D819" s="6">
        <v>2519405.666666667</v>
      </c>
      <c r="F819" s="100"/>
      <c r="G819" s="26"/>
      <c r="K819" s="100"/>
      <c r="L819" s="100">
        <f t="shared" si="147"/>
        <v>3.8877999999999999</v>
      </c>
      <c r="M819" s="26" t="s">
        <v>18</v>
      </c>
      <c r="N819" s="7">
        <f>ROUND($D819*L819/100,0)</f>
        <v>97949</v>
      </c>
      <c r="O819" s="207"/>
      <c r="P819" s="59"/>
    </row>
    <row r="820" spans="1:17" x14ac:dyDescent="0.25">
      <c r="A820" s="19" t="s">
        <v>85</v>
      </c>
      <c r="C820" s="6">
        <v>1346071.7952230866</v>
      </c>
      <c r="D820" s="6">
        <v>3670033.833333333</v>
      </c>
      <c r="F820" s="100"/>
      <c r="G820" s="26"/>
      <c r="K820" s="100"/>
      <c r="L820" s="100">
        <f t="shared" si="147"/>
        <v>3.4405000000000001</v>
      </c>
      <c r="M820" s="26" t="s">
        <v>18</v>
      </c>
      <c r="N820" s="7">
        <f>ROUND($D820*L820/100,0)</f>
        <v>126268</v>
      </c>
      <c r="O820" s="207"/>
      <c r="P820" s="59"/>
    </row>
    <row r="821" spans="1:17" x14ac:dyDescent="0.25">
      <c r="A821" s="19" t="s">
        <v>86</v>
      </c>
      <c r="C821" s="6">
        <v>3777.72571819426</v>
      </c>
      <c r="D821" s="6">
        <v>10654</v>
      </c>
      <c r="F821" s="24">
        <v>14.62</v>
      </c>
      <c r="G821" s="24"/>
      <c r="H821" s="7">
        <f t="shared" si="146"/>
        <v>55230</v>
      </c>
      <c r="I821" s="7">
        <f t="shared" si="146"/>
        <v>155761</v>
      </c>
      <c r="K821" s="24"/>
      <c r="L821" s="24"/>
      <c r="M821" s="24"/>
      <c r="O821" s="57"/>
      <c r="P821" s="57"/>
    </row>
    <row r="822" spans="1:17" x14ac:dyDescent="0.25">
      <c r="A822" s="19" t="s">
        <v>87</v>
      </c>
      <c r="C822" s="6">
        <v>4240.2758936755299</v>
      </c>
      <c r="D822" s="6">
        <v>11959</v>
      </c>
      <c r="F822" s="24">
        <v>10.91</v>
      </c>
      <c r="G822" s="24"/>
      <c r="H822" s="7">
        <f t="shared" si="146"/>
        <v>46261</v>
      </c>
      <c r="I822" s="7">
        <f t="shared" si="146"/>
        <v>130473</v>
      </c>
      <c r="K822" s="24"/>
      <c r="L822" s="24"/>
      <c r="M822" s="24"/>
      <c r="O822" s="57"/>
      <c r="P822" s="57"/>
    </row>
    <row r="823" spans="1:17" x14ac:dyDescent="0.25">
      <c r="A823" s="19" t="s">
        <v>77</v>
      </c>
      <c r="C823" s="6">
        <v>4057</v>
      </c>
      <c r="D823" s="6">
        <v>11442</v>
      </c>
      <c r="F823" s="24">
        <v>-0.96</v>
      </c>
      <c r="G823" s="24"/>
      <c r="H823" s="7">
        <f t="shared" si="146"/>
        <v>-3895</v>
      </c>
      <c r="I823" s="7">
        <f t="shared" si="146"/>
        <v>-10984</v>
      </c>
      <c r="K823" s="24"/>
      <c r="L823" s="24">
        <f>L766</f>
        <v>-0.96</v>
      </c>
      <c r="M823" s="24"/>
      <c r="N823" s="7">
        <f>ROUND($D823*L823,0)</f>
        <v>-10984</v>
      </c>
      <c r="O823" s="57"/>
      <c r="P823" s="57"/>
    </row>
    <row r="824" spans="1:17" x14ac:dyDescent="0.25">
      <c r="A824" s="19" t="s">
        <v>88</v>
      </c>
      <c r="C824" s="6">
        <v>1062056</v>
      </c>
      <c r="D824" s="6">
        <v>2953264.3333333335</v>
      </c>
      <c r="F824" s="100">
        <v>3.8127</v>
      </c>
      <c r="G824" s="26" t="s">
        <v>18</v>
      </c>
      <c r="H824" s="7">
        <f>ROUND($F824*C824/100,0)</f>
        <v>40493</v>
      </c>
      <c r="I824" s="7">
        <f>ROUND($F824*D824/100,0)</f>
        <v>112599</v>
      </c>
      <c r="K824" s="100"/>
      <c r="L824" s="100"/>
      <c r="M824" s="26"/>
      <c r="O824" s="207"/>
      <c r="P824" s="59"/>
    </row>
    <row r="825" spans="1:17" x14ac:dyDescent="0.25">
      <c r="A825" s="19" t="s">
        <v>89</v>
      </c>
      <c r="C825" s="6">
        <v>1168772</v>
      </c>
      <c r="D825" s="6">
        <v>3236175.1666666665</v>
      </c>
      <c r="F825" s="100">
        <v>3.5143</v>
      </c>
      <c r="G825" s="26" t="s">
        <v>18</v>
      </c>
      <c r="H825" s="7">
        <f>ROUND($F825*C825/100,0)</f>
        <v>41074</v>
      </c>
      <c r="I825" s="7">
        <f>ROUND($F825*D825/100,0)</f>
        <v>113729</v>
      </c>
      <c r="K825" s="100"/>
      <c r="L825" s="100"/>
      <c r="M825" s="26"/>
      <c r="O825" s="207"/>
      <c r="P825" s="59"/>
    </row>
    <row r="826" spans="1:17" x14ac:dyDescent="0.25">
      <c r="A826" s="19" t="s">
        <v>33</v>
      </c>
      <c r="C826" s="36">
        <v>-36163</v>
      </c>
      <c r="D826" s="36">
        <v>0</v>
      </c>
      <c r="H826" s="37">
        <v>-3174</v>
      </c>
      <c r="I826" s="37">
        <v>0</v>
      </c>
      <c r="N826" s="37">
        <v>0</v>
      </c>
      <c r="Q826" s="64"/>
    </row>
    <row r="827" spans="1:17" x14ac:dyDescent="0.25">
      <c r="A827" s="19" t="s">
        <v>34</v>
      </c>
      <c r="F827" s="23">
        <v>-3.61E-2</v>
      </c>
      <c r="G827" s="24"/>
      <c r="H827" s="7">
        <f>SUM(H821:H822,H824:H825)*$F827</f>
        <v>-6608.3937999999998</v>
      </c>
      <c r="I827" s="7">
        <f>SUM(I821:I822,I824:I825)*$F827</f>
        <v>-18503.4882</v>
      </c>
      <c r="K827" s="93" t="str">
        <f>$K$43</f>
        <v>TAA 1 (1/1/2021)</v>
      </c>
      <c r="L827" s="23">
        <f>$L$687</f>
        <v>-2.6100000000000002E-2</v>
      </c>
      <c r="M827" s="24"/>
      <c r="N827" s="7">
        <f>L827*SUM(N817:N820)</f>
        <v>-13132.397700000001</v>
      </c>
      <c r="O827" s="65"/>
      <c r="P827" s="57"/>
    </row>
    <row r="828" spans="1:17" x14ac:dyDescent="0.25">
      <c r="A828" s="19"/>
      <c r="F828" s="23"/>
      <c r="G828" s="24"/>
      <c r="K828" s="93" t="str">
        <f>$K$44</f>
        <v>TAA 2 (1/1/2022)</v>
      </c>
      <c r="L828" s="23">
        <f>$L$688</f>
        <v>-1.2999999999999999E-2</v>
      </c>
      <c r="M828" s="24"/>
      <c r="N828" s="7">
        <f>L828*SUM(N817:N820)</f>
        <v>-6541.0409999999993</v>
      </c>
      <c r="O828" s="65"/>
      <c r="P828" s="57"/>
    </row>
    <row r="829" spans="1:17" ht="16.5" thickBot="1" x14ac:dyDescent="0.3">
      <c r="A829" s="19" t="s">
        <v>36</v>
      </c>
      <c r="C829" s="101">
        <v>2194665</v>
      </c>
      <c r="D829" s="101">
        <v>6189439.5</v>
      </c>
      <c r="F829" s="41"/>
      <c r="H829" s="95">
        <f>SUM(H813:H827)</f>
        <v>205661.60620000001</v>
      </c>
      <c r="I829" s="95">
        <f>SUM(I813:I827)</f>
        <v>585123.51179999998</v>
      </c>
      <c r="K829" s="41"/>
      <c r="L829" s="41"/>
      <c r="N829" s="95">
        <f>SUM(N813:N826)</f>
        <v>592893</v>
      </c>
      <c r="O829" s="68"/>
      <c r="Q829" s="208"/>
    </row>
    <row r="830" spans="1:17" ht="16.5" thickTop="1" x14ac:dyDescent="0.25"/>
    <row r="831" spans="1:17" x14ac:dyDescent="0.25">
      <c r="A831" s="15" t="s">
        <v>114</v>
      </c>
    </row>
    <row r="832" spans="1:17" x14ac:dyDescent="0.25">
      <c r="A832" s="19" t="s">
        <v>68</v>
      </c>
      <c r="C832" s="6">
        <v>220.73333333333335</v>
      </c>
      <c r="D832" s="6">
        <v>611</v>
      </c>
      <c r="F832" s="24">
        <v>54</v>
      </c>
      <c r="G832" s="24"/>
      <c r="H832" s="7">
        <f t="shared" ref="H832:I842" si="149">ROUND($F832*C832,0)</f>
        <v>11920</v>
      </c>
      <c r="I832" s="7">
        <f t="shared" si="149"/>
        <v>32994</v>
      </c>
      <c r="K832" s="24"/>
      <c r="L832" s="24">
        <f>L672</f>
        <v>53</v>
      </c>
      <c r="M832" s="24"/>
      <c r="N832" s="7">
        <f t="shared" ref="N832:N837" si="150">ROUND($D832*L832,0)</f>
        <v>32383</v>
      </c>
      <c r="O832" s="57"/>
      <c r="P832" s="57"/>
    </row>
    <row r="833" spans="1:17" x14ac:dyDescent="0.25">
      <c r="A833" s="19" t="s">
        <v>79</v>
      </c>
      <c r="C833" s="6">
        <v>0</v>
      </c>
      <c r="D833" s="6">
        <v>0</v>
      </c>
      <c r="F833" s="24">
        <v>648</v>
      </c>
      <c r="G833" s="24"/>
      <c r="H833" s="7">
        <f t="shared" si="149"/>
        <v>0</v>
      </c>
      <c r="I833" s="7">
        <f t="shared" si="149"/>
        <v>0</v>
      </c>
      <c r="K833" s="24"/>
      <c r="L833" s="24">
        <f>L673</f>
        <v>636</v>
      </c>
      <c r="M833" s="24"/>
      <c r="N833" s="7">
        <f t="shared" si="150"/>
        <v>0</v>
      </c>
      <c r="O833" s="57"/>
      <c r="P833" s="57"/>
    </row>
    <row r="834" spans="1:17" x14ac:dyDescent="0.25">
      <c r="A834" s="19" t="s">
        <v>12</v>
      </c>
      <c r="C834" s="6">
        <v>21</v>
      </c>
      <c r="D834" s="6">
        <v>59</v>
      </c>
      <c r="F834" s="24">
        <v>2</v>
      </c>
      <c r="G834" s="24"/>
      <c r="H834" s="7">
        <f t="shared" si="149"/>
        <v>42</v>
      </c>
      <c r="I834" s="7">
        <f t="shared" si="149"/>
        <v>118</v>
      </c>
      <c r="K834" s="24"/>
      <c r="L834" s="24">
        <f>F834</f>
        <v>2</v>
      </c>
      <c r="M834" s="24"/>
      <c r="N834" s="7">
        <f t="shared" si="150"/>
        <v>118</v>
      </c>
      <c r="O834" s="57"/>
      <c r="P834" s="57"/>
    </row>
    <row r="835" spans="1:17" x14ac:dyDescent="0.25">
      <c r="A835" s="19" t="s">
        <v>81</v>
      </c>
      <c r="C835" s="6">
        <v>25513.264851485168</v>
      </c>
      <c r="D835" s="6">
        <v>94165</v>
      </c>
      <c r="F835" s="24">
        <v>4.04</v>
      </c>
      <c r="G835" s="24"/>
      <c r="H835" s="7">
        <f>ROUND($F835*C835,0)</f>
        <v>103074</v>
      </c>
      <c r="I835" s="7">
        <f>ROUND($F835*D835,0)</f>
        <v>380427</v>
      </c>
      <c r="K835" s="24"/>
      <c r="L835" s="24">
        <f t="shared" ref="L835:L839" si="151">L675</f>
        <v>3.99</v>
      </c>
      <c r="M835" s="24"/>
      <c r="N835" s="7">
        <f t="shared" si="150"/>
        <v>375718</v>
      </c>
      <c r="O835" s="57"/>
      <c r="P835" s="57"/>
    </row>
    <row r="836" spans="1:17" x14ac:dyDescent="0.25">
      <c r="A836" s="19" t="s">
        <v>82</v>
      </c>
      <c r="C836" s="6">
        <v>11239.792072758026</v>
      </c>
      <c r="D836" s="6">
        <v>40576</v>
      </c>
      <c r="F836" s="24"/>
      <c r="G836" s="24"/>
      <c r="K836" s="24"/>
      <c r="L836" s="24">
        <f t="shared" si="151"/>
        <v>13.27</v>
      </c>
      <c r="M836" s="24"/>
      <c r="N836" s="7">
        <f t="shared" si="150"/>
        <v>538444</v>
      </c>
      <c r="O836" s="57"/>
      <c r="P836" s="57"/>
    </row>
    <row r="837" spans="1:17" x14ac:dyDescent="0.25">
      <c r="A837" s="19" t="s">
        <v>83</v>
      </c>
      <c r="C837" s="6">
        <v>14273.476505122684</v>
      </c>
      <c r="D837" s="6">
        <v>53589</v>
      </c>
      <c r="F837" s="24"/>
      <c r="G837" s="24"/>
      <c r="K837" s="24"/>
      <c r="L837" s="24">
        <f t="shared" si="151"/>
        <v>11.74</v>
      </c>
      <c r="M837" s="24"/>
      <c r="N837" s="7">
        <f t="shared" si="150"/>
        <v>629135</v>
      </c>
      <c r="O837" s="57"/>
      <c r="P837" s="57"/>
    </row>
    <row r="838" spans="1:17" x14ac:dyDescent="0.25">
      <c r="A838" s="19" t="s">
        <v>84</v>
      </c>
      <c r="C838" s="6">
        <v>2917301.8660099008</v>
      </c>
      <c r="D838" s="6">
        <v>8593598.8227068186</v>
      </c>
      <c r="F838" s="100"/>
      <c r="G838" s="26"/>
      <c r="K838" s="100"/>
      <c r="L838" s="100">
        <f t="shared" si="151"/>
        <v>3.8877999999999999</v>
      </c>
      <c r="M838" s="26" t="s">
        <v>18</v>
      </c>
      <c r="N838" s="7">
        <f>ROUND($D838*L838/100,0)</f>
        <v>334102</v>
      </c>
      <c r="O838" s="207"/>
      <c r="P838" s="59"/>
    </row>
    <row r="839" spans="1:17" x14ac:dyDescent="0.25">
      <c r="A839" s="19" t="s">
        <v>85</v>
      </c>
      <c r="C839" s="6">
        <v>3833312.1309039872</v>
      </c>
      <c r="D839" s="6">
        <v>15566357.794983968</v>
      </c>
      <c r="F839" s="100"/>
      <c r="G839" s="26"/>
      <c r="K839" s="100"/>
      <c r="L839" s="100">
        <f t="shared" si="151"/>
        <v>3.4405000000000001</v>
      </c>
      <c r="M839" s="26" t="s">
        <v>18</v>
      </c>
      <c r="N839" s="7">
        <f>ROUND($D839*L839/100,0)</f>
        <v>535561</v>
      </c>
      <c r="O839" s="207"/>
      <c r="P839" s="59"/>
    </row>
    <row r="840" spans="1:17" x14ac:dyDescent="0.25">
      <c r="A840" s="19" t="s">
        <v>86</v>
      </c>
      <c r="C840" s="6">
        <v>12796.58755129959</v>
      </c>
      <c r="D840" s="6">
        <v>46788</v>
      </c>
      <c r="F840" s="24">
        <v>14.62</v>
      </c>
      <c r="G840" s="24"/>
      <c r="H840" s="7">
        <f t="shared" si="149"/>
        <v>187086</v>
      </c>
      <c r="I840" s="7">
        <f t="shared" si="149"/>
        <v>684041</v>
      </c>
      <c r="K840" s="24"/>
      <c r="L840" s="24"/>
      <c r="M840" s="24"/>
      <c r="O840" s="57"/>
      <c r="P840" s="57"/>
    </row>
    <row r="841" spans="1:17" x14ac:dyDescent="0.25">
      <c r="A841" s="19" t="s">
        <v>87</v>
      </c>
      <c r="C841" s="6">
        <v>12716.681026581118</v>
      </c>
      <c r="D841" s="6">
        <v>47377</v>
      </c>
      <c r="F841" s="24">
        <v>10.91</v>
      </c>
      <c r="G841" s="24"/>
      <c r="H841" s="7">
        <f t="shared" si="149"/>
        <v>138739</v>
      </c>
      <c r="I841" s="7">
        <f t="shared" si="149"/>
        <v>516883</v>
      </c>
      <c r="K841" s="24"/>
      <c r="L841" s="24"/>
      <c r="M841" s="24"/>
      <c r="O841" s="57"/>
      <c r="P841" s="57"/>
    </row>
    <row r="842" spans="1:17" x14ac:dyDescent="0.25">
      <c r="A842" s="19" t="s">
        <v>77</v>
      </c>
      <c r="C842" s="6">
        <v>0</v>
      </c>
      <c r="D842" s="6">
        <v>0</v>
      </c>
      <c r="F842" s="24">
        <v>-0.96</v>
      </c>
      <c r="G842" s="24"/>
      <c r="H842" s="7">
        <f t="shared" si="149"/>
        <v>0</v>
      </c>
      <c r="I842" s="7">
        <f t="shared" si="149"/>
        <v>0</v>
      </c>
      <c r="K842" s="24"/>
      <c r="L842" s="24">
        <f>L682</f>
        <v>-0.96</v>
      </c>
      <c r="M842" s="24"/>
      <c r="N842" s="7">
        <f>ROUND($D842*L842,0)</f>
        <v>0</v>
      </c>
      <c r="O842" s="57"/>
      <c r="P842" s="57"/>
    </row>
    <row r="843" spans="1:17" x14ac:dyDescent="0.25">
      <c r="A843" s="19" t="s">
        <v>88</v>
      </c>
      <c r="C843" s="6">
        <v>3253739.3356775618</v>
      </c>
      <c r="D843" s="6">
        <v>10344290.948182104</v>
      </c>
      <c r="F843" s="100">
        <v>3.8127</v>
      </c>
      <c r="G843" s="26" t="s">
        <v>18</v>
      </c>
      <c r="H843" s="7">
        <f>ROUND($F843*C843/100,0)</f>
        <v>124055</v>
      </c>
      <c r="I843" s="7">
        <f>ROUND($F843*D843/100,0)</f>
        <v>394397</v>
      </c>
      <c r="K843" s="100"/>
      <c r="L843" s="100"/>
      <c r="M843" s="26"/>
      <c r="O843" s="207"/>
      <c r="P843" s="59"/>
    </row>
    <row r="844" spans="1:17" x14ac:dyDescent="0.25">
      <c r="A844" s="19" t="s">
        <v>89</v>
      </c>
      <c r="C844" s="6">
        <v>3496874.6612363262</v>
      </c>
      <c r="D844" s="6">
        <v>13815665.669508683</v>
      </c>
      <c r="F844" s="100">
        <v>3.5143</v>
      </c>
      <c r="G844" s="26" t="s">
        <v>18</v>
      </c>
      <c r="H844" s="7">
        <f>ROUND($F844*C844/100,0)</f>
        <v>122891</v>
      </c>
      <c r="I844" s="7">
        <f>ROUND($F844*D844/100,0)</f>
        <v>485524</v>
      </c>
      <c r="K844" s="100"/>
      <c r="L844" s="100"/>
      <c r="M844" s="26"/>
      <c r="O844" s="207"/>
      <c r="P844" s="59"/>
    </row>
    <row r="845" spans="1:17" x14ac:dyDescent="0.25">
      <c r="A845" s="19" t="s">
        <v>33</v>
      </c>
      <c r="C845" s="36">
        <v>20121</v>
      </c>
      <c r="D845" s="36">
        <v>0</v>
      </c>
      <c r="H845" s="37">
        <f>H864+H883</f>
        <v>2719</v>
      </c>
      <c r="I845" s="37">
        <v>0</v>
      </c>
      <c r="N845" s="37">
        <v>0</v>
      </c>
      <c r="Q845" s="64"/>
    </row>
    <row r="846" spans="1:17" x14ac:dyDescent="0.25">
      <c r="A846" s="19" t="s">
        <v>34</v>
      </c>
      <c r="F846" s="23">
        <v>-3.61E-2</v>
      </c>
      <c r="G846" s="24"/>
      <c r="H846" s="7">
        <f>SUM(H840:H841,H843:H844)*$F846</f>
        <v>-20677.033100000001</v>
      </c>
      <c r="I846" s="7">
        <f>SUM(I840:I841,I843:I844)*$F846</f>
        <v>-75118.504499999995</v>
      </c>
      <c r="K846" s="93" t="str">
        <f>$K$43</f>
        <v>TAA 1 (1/1/2021)</v>
      </c>
      <c r="L846" s="23">
        <f>$L$687</f>
        <v>-2.6100000000000002E-2</v>
      </c>
      <c r="M846" s="24"/>
      <c r="N846" s="7">
        <f>L846*SUM(N836:N839)</f>
        <v>-53172.016200000005</v>
      </c>
      <c r="O846" s="65"/>
      <c r="P846" s="57"/>
    </row>
    <row r="847" spans="1:17" x14ac:dyDescent="0.25">
      <c r="A847" s="19"/>
      <c r="F847" s="23"/>
      <c r="G847" s="24"/>
      <c r="K847" s="93" t="str">
        <f>$K$44</f>
        <v>TAA 2 (1/1/2022)</v>
      </c>
      <c r="L847" s="23">
        <f>$L$688</f>
        <v>-1.2999999999999999E-2</v>
      </c>
      <c r="M847" s="24"/>
      <c r="N847" s="7">
        <f>L847*SUM(N836:N839)</f>
        <v>-26484.145999999997</v>
      </c>
      <c r="O847" s="65"/>
      <c r="P847" s="57"/>
    </row>
    <row r="848" spans="1:17" ht="16.5" thickBot="1" x14ac:dyDescent="0.3">
      <c r="A848" s="19" t="s">
        <v>36</v>
      </c>
      <c r="C848" s="101">
        <v>6770734.9969138876</v>
      </c>
      <c r="D848" s="101">
        <v>24159956.617690787</v>
      </c>
      <c r="F848" s="41"/>
      <c r="H848" s="95">
        <f>SUM(H832:H846)</f>
        <v>669848.9669</v>
      </c>
      <c r="I848" s="95">
        <f>SUM(I832:I846)</f>
        <v>2419265.4955000002</v>
      </c>
      <c r="K848" s="41"/>
      <c r="L848" s="41"/>
      <c r="N848" s="95">
        <f>SUM(N832:N845)</f>
        <v>2445461</v>
      </c>
      <c r="O848" s="68"/>
      <c r="Q848" s="208"/>
    </row>
    <row r="849" spans="1:17" ht="16.5" thickTop="1" x14ac:dyDescent="0.25"/>
    <row r="850" spans="1:17" x14ac:dyDescent="0.25">
      <c r="A850" s="15" t="s">
        <v>115</v>
      </c>
    </row>
    <row r="851" spans="1:17" x14ac:dyDescent="0.25">
      <c r="A851" s="19" t="s">
        <v>68</v>
      </c>
      <c r="C851" s="6">
        <v>215.66666666666669</v>
      </c>
      <c r="D851" s="6">
        <v>611</v>
      </c>
      <c r="F851" s="24">
        <v>54</v>
      </c>
      <c r="G851" s="24"/>
      <c r="H851" s="7">
        <f t="shared" ref="H851:I861" si="152">ROUND($F851*C851,0)</f>
        <v>11646</v>
      </c>
      <c r="I851" s="7">
        <f t="shared" si="152"/>
        <v>32994</v>
      </c>
      <c r="K851" s="24"/>
      <c r="L851" s="24">
        <f t="shared" ref="L851:L858" si="153">L832</f>
        <v>53</v>
      </c>
      <c r="M851" s="24"/>
      <c r="N851" s="7">
        <f t="shared" ref="N851:N856" si="154">ROUND($D851*L851,0)</f>
        <v>32383</v>
      </c>
      <c r="O851" s="57"/>
      <c r="P851" s="57"/>
    </row>
    <row r="852" spans="1:17" x14ac:dyDescent="0.25">
      <c r="A852" s="19" t="s">
        <v>79</v>
      </c>
      <c r="C852" s="6">
        <v>0</v>
      </c>
      <c r="D852" s="6">
        <v>0</v>
      </c>
      <c r="F852" s="24">
        <v>648</v>
      </c>
      <c r="G852" s="24"/>
      <c r="H852" s="7">
        <f t="shared" si="152"/>
        <v>0</v>
      </c>
      <c r="I852" s="7">
        <f t="shared" si="152"/>
        <v>0</v>
      </c>
      <c r="K852" s="24"/>
      <c r="L852" s="24">
        <f t="shared" si="153"/>
        <v>636</v>
      </c>
      <c r="M852" s="24"/>
      <c r="N852" s="7">
        <f t="shared" si="154"/>
        <v>0</v>
      </c>
      <c r="O852" s="57"/>
      <c r="P852" s="57"/>
    </row>
    <row r="853" spans="1:17" x14ac:dyDescent="0.25">
      <c r="A853" s="19" t="s">
        <v>12</v>
      </c>
      <c r="C853" s="6">
        <v>21</v>
      </c>
      <c r="D853" s="6">
        <v>59</v>
      </c>
      <c r="F853" s="24">
        <v>2</v>
      </c>
      <c r="G853" s="24"/>
      <c r="H853" s="7">
        <f t="shared" si="152"/>
        <v>42</v>
      </c>
      <c r="I853" s="7">
        <f t="shared" si="152"/>
        <v>118</v>
      </c>
      <c r="K853" s="24"/>
      <c r="L853" s="24">
        <f t="shared" si="153"/>
        <v>2</v>
      </c>
      <c r="M853" s="24"/>
      <c r="N853" s="7">
        <f t="shared" si="154"/>
        <v>118</v>
      </c>
      <c r="O853" s="57"/>
      <c r="P853" s="57"/>
    </row>
    <row r="854" spans="1:17" x14ac:dyDescent="0.25">
      <c r="A854" s="19" t="s">
        <v>81</v>
      </c>
      <c r="C854" s="6">
        <v>23596.9975247525</v>
      </c>
      <c r="D854" s="6">
        <v>94165</v>
      </c>
      <c r="F854" s="24">
        <v>4.04</v>
      </c>
      <c r="G854" s="24"/>
      <c r="H854" s="7">
        <f>ROUND($F854*C854,0)</f>
        <v>95332</v>
      </c>
      <c r="I854" s="7">
        <f>ROUND($F854*D854,0)</f>
        <v>380427</v>
      </c>
      <c r="K854" s="24"/>
      <c r="L854" s="24">
        <f t="shared" si="153"/>
        <v>3.99</v>
      </c>
      <c r="M854" s="24"/>
      <c r="N854" s="7">
        <f t="shared" si="154"/>
        <v>375718</v>
      </c>
      <c r="O854" s="57"/>
      <c r="P854" s="57"/>
    </row>
    <row r="855" spans="1:17" x14ac:dyDescent="0.25">
      <c r="A855" s="19" t="s">
        <v>82</v>
      </c>
      <c r="C855" s="6">
        <v>10167.939131581556</v>
      </c>
      <c r="D855" s="6">
        <v>40576</v>
      </c>
      <c r="F855" s="24"/>
      <c r="G855" s="24"/>
      <c r="K855" s="24"/>
      <c r="L855" s="24">
        <f t="shared" si="153"/>
        <v>13.27</v>
      </c>
      <c r="M855" s="24"/>
      <c r="N855" s="7">
        <f t="shared" si="154"/>
        <v>538444</v>
      </c>
      <c r="O855" s="57"/>
      <c r="P855" s="57"/>
    </row>
    <row r="856" spans="1:17" x14ac:dyDescent="0.25">
      <c r="A856" s="19" t="s">
        <v>83</v>
      </c>
      <c r="C856" s="6">
        <v>13429.063122904536</v>
      </c>
      <c r="D856" s="6">
        <v>53589</v>
      </c>
      <c r="F856" s="24"/>
      <c r="G856" s="24"/>
      <c r="K856" s="24"/>
      <c r="L856" s="24">
        <f t="shared" si="153"/>
        <v>11.74</v>
      </c>
      <c r="M856" s="24"/>
      <c r="N856" s="7">
        <f t="shared" si="154"/>
        <v>629135</v>
      </c>
      <c r="O856" s="57"/>
      <c r="P856" s="57"/>
    </row>
    <row r="857" spans="1:17" x14ac:dyDescent="0.25">
      <c r="A857" s="19" t="s">
        <v>84</v>
      </c>
      <c r="C857" s="6">
        <v>2502935.8660099008</v>
      </c>
      <c r="D857" s="6">
        <v>8593598.8227068186</v>
      </c>
      <c r="F857" s="100"/>
      <c r="G857" s="26"/>
      <c r="K857" s="100"/>
      <c r="L857" s="100">
        <f t="shared" si="153"/>
        <v>3.8877999999999999</v>
      </c>
      <c r="M857" s="26" t="s">
        <v>18</v>
      </c>
      <c r="N857" s="7">
        <f>ROUND($D857*L857/100,0)</f>
        <v>334102</v>
      </c>
      <c r="O857" s="207"/>
      <c r="P857" s="59"/>
    </row>
    <row r="858" spans="1:17" x14ac:dyDescent="0.25">
      <c r="A858" s="19" t="s">
        <v>85</v>
      </c>
      <c r="C858" s="6">
        <v>3519434.1309039872</v>
      </c>
      <c r="D858" s="6">
        <v>15566357.794983968</v>
      </c>
      <c r="F858" s="100"/>
      <c r="G858" s="26"/>
      <c r="K858" s="100"/>
      <c r="L858" s="100">
        <f t="shared" si="153"/>
        <v>3.4405000000000001</v>
      </c>
      <c r="M858" s="26" t="s">
        <v>18</v>
      </c>
      <c r="N858" s="7">
        <f>ROUND($D858*L858/100,0)</f>
        <v>535561</v>
      </c>
      <c r="O858" s="207"/>
      <c r="P858" s="59"/>
    </row>
    <row r="859" spans="1:17" x14ac:dyDescent="0.25">
      <c r="A859" s="19" t="s">
        <v>86</v>
      </c>
      <c r="C859" s="6">
        <v>11724.73461012312</v>
      </c>
      <c r="D859" s="6">
        <v>46788</v>
      </c>
      <c r="F859" s="24">
        <v>14.62</v>
      </c>
      <c r="G859" s="24"/>
      <c r="H859" s="7">
        <f t="shared" si="152"/>
        <v>171416</v>
      </c>
      <c r="I859" s="7">
        <f t="shared" si="152"/>
        <v>684041</v>
      </c>
      <c r="K859" s="24"/>
      <c r="L859" s="24"/>
      <c r="M859" s="24"/>
      <c r="O859" s="57"/>
      <c r="P859" s="57"/>
    </row>
    <row r="860" spans="1:17" x14ac:dyDescent="0.25">
      <c r="A860" s="19" t="s">
        <v>87</v>
      </c>
      <c r="C860" s="6">
        <v>11872.26764436297</v>
      </c>
      <c r="D860" s="6">
        <v>47377</v>
      </c>
      <c r="F860" s="24">
        <v>10.91</v>
      </c>
      <c r="G860" s="24"/>
      <c r="H860" s="7">
        <f t="shared" si="152"/>
        <v>129526</v>
      </c>
      <c r="I860" s="7">
        <f t="shared" si="152"/>
        <v>516883</v>
      </c>
      <c r="K860" s="24"/>
      <c r="L860" s="24"/>
      <c r="M860" s="24"/>
      <c r="O860" s="57"/>
      <c r="P860" s="57"/>
    </row>
    <row r="861" spans="1:17" x14ac:dyDescent="0.25">
      <c r="A861" s="19" t="s">
        <v>77</v>
      </c>
      <c r="C861" s="6">
        <v>0</v>
      </c>
      <c r="D861" s="6">
        <v>0</v>
      </c>
      <c r="F861" s="24">
        <v>-0.96</v>
      </c>
      <c r="G861" s="24"/>
      <c r="H861" s="7">
        <f t="shared" si="152"/>
        <v>0</v>
      </c>
      <c r="I861" s="7">
        <f t="shared" si="152"/>
        <v>0</v>
      </c>
      <c r="K861" s="24"/>
      <c r="L861" s="24">
        <f>L842</f>
        <v>-0.96</v>
      </c>
      <c r="M861" s="24"/>
      <c r="N861" s="7">
        <f>ROUND($D861*L861,0)</f>
        <v>0</v>
      </c>
      <c r="O861" s="57"/>
      <c r="P861" s="57"/>
    </row>
    <row r="862" spans="1:17" x14ac:dyDescent="0.25">
      <c r="A862" s="19" t="s">
        <v>88</v>
      </c>
      <c r="C862" s="6">
        <v>2839373.3356775618</v>
      </c>
      <c r="D862" s="6">
        <v>10344290.948182104</v>
      </c>
      <c r="F862" s="100">
        <v>3.8127</v>
      </c>
      <c r="G862" s="26" t="s">
        <v>18</v>
      </c>
      <c r="H862" s="7">
        <f>ROUND($F862*C862/100,0)</f>
        <v>108257</v>
      </c>
      <c r="I862" s="7">
        <f>ROUND($F862*D862/100,0)</f>
        <v>394397</v>
      </c>
      <c r="K862" s="100"/>
      <c r="L862" s="100"/>
      <c r="M862" s="26"/>
      <c r="O862" s="207"/>
      <c r="P862" s="59"/>
    </row>
    <row r="863" spans="1:17" x14ac:dyDescent="0.25">
      <c r="A863" s="19" t="s">
        <v>89</v>
      </c>
      <c r="C863" s="6">
        <v>3182996.6612363262</v>
      </c>
      <c r="D863" s="6">
        <v>13815665.669508683</v>
      </c>
      <c r="F863" s="100">
        <v>3.5143</v>
      </c>
      <c r="G863" s="26" t="s">
        <v>18</v>
      </c>
      <c r="H863" s="7">
        <f>ROUND($F863*C863/100,0)</f>
        <v>111860</v>
      </c>
      <c r="I863" s="7">
        <f>ROUND($F863*D863/100,0)</f>
        <v>485524</v>
      </c>
      <c r="K863" s="100"/>
      <c r="L863" s="100"/>
      <c r="M863" s="26"/>
      <c r="O863" s="207"/>
      <c r="P863" s="59"/>
    </row>
    <row r="864" spans="1:17" x14ac:dyDescent="0.25">
      <c r="A864" s="19" t="s">
        <v>33</v>
      </c>
      <c r="C864" s="36">
        <v>31926</v>
      </c>
      <c r="D864" s="36">
        <v>0</v>
      </c>
      <c r="H864" s="37">
        <v>3599</v>
      </c>
      <c r="I864" s="37">
        <v>0</v>
      </c>
      <c r="N864" s="37">
        <v>0</v>
      </c>
      <c r="Q864" s="64"/>
    </row>
    <row r="865" spans="1:17" x14ac:dyDescent="0.25">
      <c r="A865" s="19" t="s">
        <v>34</v>
      </c>
      <c r="F865" s="23">
        <v>-3.61E-2</v>
      </c>
      <c r="G865" s="24"/>
      <c r="H865" s="7">
        <f>SUM(H859:H860,H862:H863)*$F865</f>
        <v>-18810.229899999998</v>
      </c>
      <c r="I865" s="7">
        <f>SUM(I859:I860,I862:I863)*$F865</f>
        <v>-75118.504499999995</v>
      </c>
      <c r="K865" s="93" t="str">
        <f>$K$43</f>
        <v>TAA 1 (1/1/2021)</v>
      </c>
      <c r="L865" s="23">
        <f>$L$687</f>
        <v>-2.6100000000000002E-2</v>
      </c>
      <c r="M865" s="24"/>
      <c r="N865" s="7">
        <f>L865*SUM(N855:N858)</f>
        <v>-53172.016200000005</v>
      </c>
      <c r="O865" s="65"/>
      <c r="P865" s="57"/>
    </row>
    <row r="866" spans="1:17" x14ac:dyDescent="0.25">
      <c r="A866" s="19"/>
      <c r="F866" s="23"/>
      <c r="G866" s="24"/>
      <c r="K866" s="93" t="str">
        <f>$K$44</f>
        <v>TAA 2 (1/1/2022)</v>
      </c>
      <c r="L866" s="23">
        <f>$L$688</f>
        <v>-1.2999999999999999E-2</v>
      </c>
      <c r="M866" s="24"/>
      <c r="N866" s="7">
        <f>L866*SUM(N855:N858)</f>
        <v>-26484.145999999997</v>
      </c>
      <c r="O866" s="65"/>
      <c r="P866" s="57"/>
    </row>
    <row r="867" spans="1:17" ht="16.5" thickBot="1" x14ac:dyDescent="0.3">
      <c r="A867" s="19" t="s">
        <v>36</v>
      </c>
      <c r="C867" s="101">
        <v>6054295.9969138876</v>
      </c>
      <c r="D867" s="101">
        <v>24159956.617690787</v>
      </c>
      <c r="F867" s="41"/>
      <c r="H867" s="95">
        <f>SUM(H851:H865)</f>
        <v>612867.77009999997</v>
      </c>
      <c r="I867" s="95">
        <f>SUM(I851:I865)</f>
        <v>2419265.4955000002</v>
      </c>
      <c r="K867" s="41"/>
      <c r="L867" s="41"/>
      <c r="N867" s="95">
        <f>SUM(N851:N864)</f>
        <v>2445461</v>
      </c>
      <c r="O867" s="68"/>
      <c r="Q867" s="208"/>
    </row>
    <row r="868" spans="1:17" ht="16.5" thickTop="1" x14ac:dyDescent="0.25"/>
    <row r="869" spans="1:17" x14ac:dyDescent="0.25">
      <c r="A869" s="15" t="s">
        <v>116</v>
      </c>
    </row>
    <row r="870" spans="1:17" x14ac:dyDescent="0.25">
      <c r="A870" s="19" t="s">
        <v>68</v>
      </c>
      <c r="C870" s="6">
        <v>5.06666666666667</v>
      </c>
      <c r="D870" s="6">
        <v>0</v>
      </c>
      <c r="F870" s="24">
        <v>54</v>
      </c>
      <c r="G870" s="24"/>
      <c r="H870" s="7">
        <f t="shared" ref="H870:I880" si="155">ROUND($F870*C870,0)</f>
        <v>274</v>
      </c>
      <c r="I870" s="7">
        <f t="shared" si="155"/>
        <v>0</v>
      </c>
      <c r="K870" s="24"/>
      <c r="L870" s="24">
        <f t="shared" ref="L870:L877" si="156">L832</f>
        <v>53</v>
      </c>
      <c r="M870" s="24"/>
      <c r="N870" s="7">
        <f t="shared" ref="N870:N875" si="157">ROUND($D870*L870,0)</f>
        <v>0</v>
      </c>
      <c r="O870" s="57"/>
      <c r="P870" s="57"/>
    </row>
    <row r="871" spans="1:17" x14ac:dyDescent="0.25">
      <c r="A871" s="19" t="s">
        <v>79</v>
      </c>
      <c r="C871" s="6">
        <v>0</v>
      </c>
      <c r="D871" s="6">
        <v>0</v>
      </c>
      <c r="F871" s="24">
        <v>648</v>
      </c>
      <c r="G871" s="24"/>
      <c r="H871" s="7">
        <f t="shared" si="155"/>
        <v>0</v>
      </c>
      <c r="I871" s="7">
        <f t="shared" si="155"/>
        <v>0</v>
      </c>
      <c r="K871" s="24"/>
      <c r="L871" s="24">
        <f t="shared" si="156"/>
        <v>636</v>
      </c>
      <c r="M871" s="24"/>
      <c r="N871" s="7">
        <f t="shared" si="157"/>
        <v>0</v>
      </c>
      <c r="O871" s="57"/>
      <c r="P871" s="57"/>
    </row>
    <row r="872" spans="1:17" x14ac:dyDescent="0.25">
      <c r="A872" s="19" t="s">
        <v>12</v>
      </c>
      <c r="C872" s="6">
        <v>0</v>
      </c>
      <c r="D872" s="6">
        <v>0</v>
      </c>
      <c r="F872" s="24">
        <v>2</v>
      </c>
      <c r="G872" s="24"/>
      <c r="H872" s="7">
        <f t="shared" si="155"/>
        <v>0</v>
      </c>
      <c r="I872" s="7">
        <f t="shared" si="155"/>
        <v>0</v>
      </c>
      <c r="K872" s="24"/>
      <c r="L872" s="24">
        <f t="shared" si="156"/>
        <v>2</v>
      </c>
      <c r="M872" s="24"/>
      <c r="N872" s="7">
        <f t="shared" si="157"/>
        <v>0</v>
      </c>
      <c r="O872" s="57"/>
      <c r="P872" s="57"/>
    </row>
    <row r="873" spans="1:17" x14ac:dyDescent="0.25">
      <c r="A873" s="19" t="s">
        <v>81</v>
      </c>
      <c r="C873" s="6">
        <v>1916.26732673267</v>
      </c>
      <c r="D873" s="6">
        <v>0</v>
      </c>
      <c r="F873" s="24">
        <v>4.04</v>
      </c>
      <c r="G873" s="24"/>
      <c r="H873" s="7">
        <f>ROUND($F873*C873,0)</f>
        <v>7742</v>
      </c>
      <c r="I873" s="7">
        <f>ROUND($F873*D873,0)</f>
        <v>0</v>
      </c>
      <c r="K873" s="24"/>
      <c r="L873" s="24">
        <f t="shared" si="156"/>
        <v>3.99</v>
      </c>
      <c r="M873" s="24"/>
      <c r="N873" s="7">
        <f t="shared" si="157"/>
        <v>0</v>
      </c>
      <c r="O873" s="57"/>
      <c r="P873" s="57"/>
    </row>
    <row r="874" spans="1:17" x14ac:dyDescent="0.25">
      <c r="A874" s="19" t="s">
        <v>82</v>
      </c>
      <c r="C874" s="6">
        <v>1071.85294117647</v>
      </c>
      <c r="F874" s="24"/>
      <c r="G874" s="24"/>
      <c r="K874" s="24"/>
      <c r="L874" s="24">
        <f t="shared" si="156"/>
        <v>13.27</v>
      </c>
      <c r="M874" s="24"/>
      <c r="N874" s="7">
        <f t="shared" si="157"/>
        <v>0</v>
      </c>
      <c r="O874" s="57"/>
      <c r="P874" s="57"/>
    </row>
    <row r="875" spans="1:17" x14ac:dyDescent="0.25">
      <c r="A875" s="19" t="s">
        <v>83</v>
      </c>
      <c r="C875" s="6">
        <v>844.41338221814897</v>
      </c>
      <c r="F875" s="24"/>
      <c r="G875" s="24"/>
      <c r="K875" s="24"/>
      <c r="L875" s="24">
        <f t="shared" si="156"/>
        <v>11.74</v>
      </c>
      <c r="M875" s="24"/>
      <c r="N875" s="7">
        <f t="shared" si="157"/>
        <v>0</v>
      </c>
      <c r="O875" s="57"/>
      <c r="P875" s="57"/>
    </row>
    <row r="876" spans="1:17" x14ac:dyDescent="0.25">
      <c r="A876" s="19" t="s">
        <v>84</v>
      </c>
      <c r="C876" s="6">
        <v>414366</v>
      </c>
      <c r="F876" s="100"/>
      <c r="G876" s="26"/>
      <c r="K876" s="100"/>
      <c r="L876" s="100">
        <f t="shared" si="156"/>
        <v>3.8877999999999999</v>
      </c>
      <c r="M876" s="26" t="s">
        <v>18</v>
      </c>
      <c r="N876" s="7">
        <f>ROUND($D876*L876/100,0)</f>
        <v>0</v>
      </c>
      <c r="O876" s="207"/>
      <c r="P876" s="59"/>
    </row>
    <row r="877" spans="1:17" x14ac:dyDescent="0.25">
      <c r="A877" s="19" t="s">
        <v>85</v>
      </c>
      <c r="C877" s="6">
        <v>313878</v>
      </c>
      <c r="F877" s="100"/>
      <c r="G877" s="26"/>
      <c r="K877" s="100"/>
      <c r="L877" s="100">
        <f t="shared" si="156"/>
        <v>3.4405000000000001</v>
      </c>
      <c r="M877" s="26" t="s">
        <v>18</v>
      </c>
      <c r="N877" s="7">
        <f>ROUND($D877*L877/100,0)</f>
        <v>0</v>
      </c>
      <c r="O877" s="207"/>
      <c r="P877" s="59"/>
    </row>
    <row r="878" spans="1:17" x14ac:dyDescent="0.25">
      <c r="A878" s="19" t="s">
        <v>86</v>
      </c>
      <c r="C878" s="6">
        <v>1071.85294117647</v>
      </c>
      <c r="D878" s="6">
        <v>0</v>
      </c>
      <c r="F878" s="24">
        <v>14.62</v>
      </c>
      <c r="G878" s="24"/>
      <c r="H878" s="7">
        <f t="shared" si="155"/>
        <v>15670</v>
      </c>
      <c r="I878" s="7">
        <f t="shared" si="155"/>
        <v>0</v>
      </c>
      <c r="K878" s="24"/>
      <c r="L878" s="24"/>
      <c r="M878" s="24"/>
      <c r="O878" s="57"/>
      <c r="P878" s="57"/>
    </row>
    <row r="879" spans="1:17" x14ac:dyDescent="0.25">
      <c r="A879" s="19" t="s">
        <v>87</v>
      </c>
      <c r="C879" s="6">
        <v>844.41338221814897</v>
      </c>
      <c r="D879" s="6">
        <v>0</v>
      </c>
      <c r="F879" s="24">
        <v>10.91</v>
      </c>
      <c r="G879" s="24"/>
      <c r="H879" s="7">
        <f t="shared" si="155"/>
        <v>9213</v>
      </c>
      <c r="I879" s="7">
        <f t="shared" si="155"/>
        <v>0</v>
      </c>
      <c r="K879" s="24"/>
      <c r="L879" s="24"/>
      <c r="M879" s="24"/>
      <c r="O879" s="57"/>
      <c r="P879" s="57"/>
    </row>
    <row r="880" spans="1:17" x14ac:dyDescent="0.25">
      <c r="A880" s="19" t="s">
        <v>77</v>
      </c>
      <c r="C880" s="6">
        <v>0</v>
      </c>
      <c r="D880" s="6">
        <v>0</v>
      </c>
      <c r="F880" s="24">
        <v>-0.96</v>
      </c>
      <c r="G880" s="24"/>
      <c r="H880" s="7">
        <f t="shared" si="155"/>
        <v>0</v>
      </c>
      <c r="I880" s="7">
        <f t="shared" si="155"/>
        <v>0</v>
      </c>
      <c r="K880" s="24"/>
      <c r="L880" s="24">
        <f>L842</f>
        <v>-0.96</v>
      </c>
      <c r="M880" s="24"/>
      <c r="N880" s="7">
        <f>ROUND($D880*L880,0)</f>
        <v>0</v>
      </c>
      <c r="O880" s="57"/>
      <c r="P880" s="57"/>
    </row>
    <row r="881" spans="1:17" x14ac:dyDescent="0.25">
      <c r="A881" s="19" t="s">
        <v>88</v>
      </c>
      <c r="C881" s="6">
        <v>414366</v>
      </c>
      <c r="D881" s="6">
        <v>0</v>
      </c>
      <c r="F881" s="100">
        <v>3.8127</v>
      </c>
      <c r="G881" s="26" t="s">
        <v>18</v>
      </c>
      <c r="H881" s="7">
        <f>ROUND($F881*C881/100,0)</f>
        <v>15799</v>
      </c>
      <c r="I881" s="7">
        <f>ROUND($F881*D881/100,0)</f>
        <v>0</v>
      </c>
      <c r="K881" s="100"/>
      <c r="L881" s="100"/>
      <c r="M881" s="26"/>
      <c r="O881" s="207"/>
      <c r="P881" s="59"/>
    </row>
    <row r="882" spans="1:17" x14ac:dyDescent="0.25">
      <c r="A882" s="19" t="s">
        <v>89</v>
      </c>
      <c r="C882" s="6">
        <v>313878</v>
      </c>
      <c r="D882" s="6">
        <v>0</v>
      </c>
      <c r="F882" s="100">
        <v>3.5143</v>
      </c>
      <c r="G882" s="26" t="s">
        <v>18</v>
      </c>
      <c r="H882" s="7">
        <f>ROUND($F882*C882/100,0)</f>
        <v>11031</v>
      </c>
      <c r="I882" s="7">
        <f>ROUND($F882*D882/100,0)</f>
        <v>0</v>
      </c>
      <c r="K882" s="100"/>
      <c r="L882" s="100"/>
      <c r="M882" s="26"/>
      <c r="O882" s="207"/>
      <c r="P882" s="59"/>
    </row>
    <row r="883" spans="1:17" x14ac:dyDescent="0.25">
      <c r="A883" s="19" t="s">
        <v>33</v>
      </c>
      <c r="C883" s="36">
        <v>-11805</v>
      </c>
      <c r="D883" s="36">
        <v>0</v>
      </c>
      <c r="H883" s="37">
        <v>-880</v>
      </c>
      <c r="I883" s="37">
        <v>0</v>
      </c>
      <c r="N883" s="37">
        <v>0</v>
      </c>
      <c r="Q883" s="64"/>
    </row>
    <row r="884" spans="1:17" x14ac:dyDescent="0.25">
      <c r="A884" s="19" t="s">
        <v>34</v>
      </c>
      <c r="F884" s="23">
        <v>-3.61E-2</v>
      </c>
      <c r="G884" s="24"/>
      <c r="H884" s="7">
        <f>SUM(H878:H879,H881:H882)*$F884</f>
        <v>-1866.8393000000001</v>
      </c>
      <c r="I884" s="7">
        <f>SUM(I878:I879,I881:I882)*$F884</f>
        <v>0</v>
      </c>
      <c r="K884" s="93" t="str">
        <f>$K$43</f>
        <v>TAA 1 (1/1/2021)</v>
      </c>
      <c r="L884" s="23">
        <f>$L$687</f>
        <v>-2.6100000000000002E-2</v>
      </c>
      <c r="M884" s="24"/>
      <c r="N884" s="7">
        <f>L884*SUM(N874:N877)</f>
        <v>0</v>
      </c>
      <c r="O884" s="65"/>
      <c r="P884" s="57"/>
    </row>
    <row r="885" spans="1:17" x14ac:dyDescent="0.25">
      <c r="A885" s="19"/>
      <c r="F885" s="23"/>
      <c r="G885" s="24"/>
      <c r="K885" s="93" t="str">
        <f>$K$44</f>
        <v>TAA 2 (1/1/2022)</v>
      </c>
      <c r="L885" s="23">
        <f>$L$688</f>
        <v>-1.2999999999999999E-2</v>
      </c>
      <c r="M885" s="24"/>
      <c r="N885" s="7">
        <f>L885*SUM(N874:N877)</f>
        <v>0</v>
      </c>
      <c r="O885" s="65"/>
      <c r="P885" s="57"/>
    </row>
    <row r="886" spans="1:17" ht="16.5" thickBot="1" x14ac:dyDescent="0.3">
      <c r="A886" s="19" t="s">
        <v>36</v>
      </c>
      <c r="C886" s="101">
        <v>716439</v>
      </c>
      <c r="D886" s="101">
        <v>0</v>
      </c>
      <c r="F886" s="41"/>
      <c r="H886" s="95">
        <f>SUM(H870:H884)</f>
        <v>56982.1607</v>
      </c>
      <c r="I886" s="95">
        <f>SUM(I870:I884)</f>
        <v>0</v>
      </c>
      <c r="K886" s="41"/>
      <c r="L886" s="41"/>
      <c r="N886" s="95">
        <f>SUM(N870:N883)</f>
        <v>0</v>
      </c>
      <c r="O886" s="68"/>
      <c r="Q886" s="208"/>
    </row>
    <row r="887" spans="1:17" ht="16.5" thickTop="1" x14ac:dyDescent="0.25"/>
    <row r="888" spans="1:17" x14ac:dyDescent="0.25">
      <c r="A888" s="15" t="s">
        <v>117</v>
      </c>
      <c r="E888" s="24"/>
      <c r="J888" s="24"/>
    </row>
    <row r="889" spans="1:17" x14ac:dyDescent="0.25">
      <c r="A889" s="19" t="s">
        <v>68</v>
      </c>
      <c r="C889" s="6">
        <v>186</v>
      </c>
      <c r="D889" s="6">
        <v>192</v>
      </c>
      <c r="F889" s="20">
        <v>54</v>
      </c>
      <c r="G889" s="20"/>
      <c r="H889" s="7">
        <f t="shared" ref="H889:I898" si="158">ROUND($F889*C889,0)</f>
        <v>10044</v>
      </c>
      <c r="I889" s="7">
        <f t="shared" si="158"/>
        <v>10368</v>
      </c>
      <c r="K889" s="20"/>
      <c r="L889" s="20">
        <f>L672</f>
        <v>53</v>
      </c>
      <c r="M889" s="20"/>
      <c r="N889" s="7">
        <f>ROUND($D889*L889,0)</f>
        <v>10176</v>
      </c>
      <c r="O889" s="55"/>
      <c r="P889" s="55"/>
    </row>
    <row r="890" spans="1:17" x14ac:dyDescent="0.25">
      <c r="A890" s="19" t="s">
        <v>79</v>
      </c>
      <c r="C890" s="6">
        <v>0</v>
      </c>
      <c r="D890" s="6">
        <v>0</v>
      </c>
      <c r="E890" s="24"/>
      <c r="F890" s="20">
        <v>648</v>
      </c>
      <c r="G890" s="20"/>
      <c r="H890" s="7">
        <f t="shared" si="158"/>
        <v>0</v>
      </c>
      <c r="I890" s="7">
        <f t="shared" si="158"/>
        <v>0</v>
      </c>
      <c r="J890" s="24"/>
      <c r="K890" s="20"/>
      <c r="L890" s="20">
        <f>L673</f>
        <v>636</v>
      </c>
      <c r="M890" s="20"/>
      <c r="N890" s="7">
        <f>ROUND($D890*L890,0)</f>
        <v>0</v>
      </c>
      <c r="O890" s="55"/>
      <c r="P890" s="55"/>
    </row>
    <row r="891" spans="1:17" x14ac:dyDescent="0.25">
      <c r="A891" s="19" t="s">
        <v>81</v>
      </c>
      <c r="C891" s="6">
        <v>14257</v>
      </c>
      <c r="D891" s="6">
        <v>14844</v>
      </c>
      <c r="F891" s="20">
        <v>4.04</v>
      </c>
      <c r="G891" s="20"/>
      <c r="H891" s="7">
        <f>ROUND($F891*C891,0)</f>
        <v>57598</v>
      </c>
      <c r="I891" s="7">
        <f>ROUND($F891*D891,0)</f>
        <v>59970</v>
      </c>
      <c r="K891" s="20"/>
      <c r="L891" s="20">
        <f t="shared" ref="L891:L895" si="159">L675</f>
        <v>3.99</v>
      </c>
      <c r="M891" s="20"/>
      <c r="N891" s="7">
        <f>ROUND($D891*L891,0)</f>
        <v>59228</v>
      </c>
      <c r="O891" s="55"/>
      <c r="P891" s="55"/>
    </row>
    <row r="892" spans="1:17" x14ac:dyDescent="0.25">
      <c r="A892" s="19" t="s">
        <v>99</v>
      </c>
      <c r="C892" s="6">
        <v>4160.3301148008668</v>
      </c>
      <c r="D892" s="6">
        <v>4915</v>
      </c>
      <c r="F892" s="24"/>
      <c r="G892" s="24"/>
      <c r="K892" s="24"/>
      <c r="L892" s="24">
        <f t="shared" si="159"/>
        <v>13.27</v>
      </c>
      <c r="M892" s="24"/>
      <c r="N892" s="7">
        <f>ROUND($D892*L892,0)</f>
        <v>65222</v>
      </c>
      <c r="O892" s="57"/>
      <c r="P892" s="57"/>
    </row>
    <row r="893" spans="1:17" x14ac:dyDescent="0.25">
      <c r="A893" s="19" t="s">
        <v>100</v>
      </c>
      <c r="C893" s="6">
        <v>7102.6696538572614</v>
      </c>
      <c r="D893" s="6">
        <v>6971</v>
      </c>
      <c r="F893" s="24"/>
      <c r="G893" s="24"/>
      <c r="K893" s="24"/>
      <c r="L893" s="24">
        <f t="shared" si="159"/>
        <v>11.74</v>
      </c>
      <c r="M893" s="24"/>
      <c r="N893" s="7">
        <f>ROUND($D893*L893,0)</f>
        <v>81840</v>
      </c>
      <c r="O893" s="57"/>
      <c r="P893" s="57"/>
    </row>
    <row r="894" spans="1:17" x14ac:dyDescent="0.25">
      <c r="A894" s="19" t="s">
        <v>84</v>
      </c>
      <c r="C894" s="6">
        <v>1116494.5635641532</v>
      </c>
      <c r="D894" s="6">
        <v>1281170</v>
      </c>
      <c r="F894" s="100"/>
      <c r="G894" s="26"/>
      <c r="K894" s="100"/>
      <c r="L894" s="100">
        <f t="shared" si="159"/>
        <v>3.8877999999999999</v>
      </c>
      <c r="M894" s="26" t="s">
        <v>18</v>
      </c>
      <c r="N894" s="7">
        <f>ROUND($D894*L894/100,0)</f>
        <v>49809</v>
      </c>
      <c r="O894" s="207"/>
      <c r="P894" s="59"/>
    </row>
    <row r="895" spans="1:17" x14ac:dyDescent="0.25">
      <c r="A895" s="19" t="s">
        <v>85</v>
      </c>
      <c r="C895" s="6">
        <v>2191180.143108299</v>
      </c>
      <c r="D895" s="6">
        <v>2099521</v>
      </c>
      <c r="F895" s="100"/>
      <c r="G895" s="26"/>
      <c r="K895" s="100"/>
      <c r="L895" s="100">
        <f t="shared" si="159"/>
        <v>3.4405000000000001</v>
      </c>
      <c r="M895" s="26" t="s">
        <v>18</v>
      </c>
      <c r="N895" s="7">
        <f>ROUND($D895*L895/100,0)</f>
        <v>72234</v>
      </c>
      <c r="O895" s="207"/>
      <c r="P895" s="59"/>
    </row>
    <row r="896" spans="1:17" x14ac:dyDescent="0.25">
      <c r="A896" s="19" t="s">
        <v>101</v>
      </c>
      <c r="C896" s="6">
        <v>5006.6367989056098</v>
      </c>
      <c r="D896" s="6">
        <v>5072</v>
      </c>
      <c r="F896" s="20">
        <v>14.62</v>
      </c>
      <c r="G896" s="20"/>
      <c r="H896" s="7">
        <f t="shared" si="158"/>
        <v>73197</v>
      </c>
      <c r="I896" s="7">
        <f t="shared" si="158"/>
        <v>74153</v>
      </c>
      <c r="K896" s="20"/>
      <c r="L896" s="20"/>
      <c r="M896" s="20"/>
      <c r="O896" s="55"/>
      <c r="P896" s="55"/>
    </row>
    <row r="897" spans="1:17" x14ac:dyDescent="0.25">
      <c r="A897" s="19" t="s">
        <v>102</v>
      </c>
      <c r="C897" s="6">
        <v>6256.3629697525175</v>
      </c>
      <c r="D897" s="6">
        <v>6688</v>
      </c>
      <c r="F897" s="20">
        <v>10.91</v>
      </c>
      <c r="G897" s="20"/>
      <c r="H897" s="7">
        <f t="shared" si="158"/>
        <v>68257</v>
      </c>
      <c r="I897" s="7">
        <f t="shared" si="158"/>
        <v>72966</v>
      </c>
      <c r="K897" s="20"/>
      <c r="L897" s="20"/>
      <c r="M897" s="20"/>
      <c r="O897" s="55"/>
      <c r="P897" s="55"/>
    </row>
    <row r="898" spans="1:17" x14ac:dyDescent="0.25">
      <c r="A898" s="19" t="s">
        <v>77</v>
      </c>
      <c r="C898" s="6">
        <v>0</v>
      </c>
      <c r="D898" s="6">
        <v>0</v>
      </c>
      <c r="F898" s="20">
        <v>-0.96</v>
      </c>
      <c r="G898" s="20"/>
      <c r="H898" s="7">
        <f t="shared" si="158"/>
        <v>0</v>
      </c>
      <c r="I898" s="7">
        <f t="shared" si="158"/>
        <v>0</v>
      </c>
      <c r="K898" s="20"/>
      <c r="L898" s="20">
        <f>L682</f>
        <v>-0.96</v>
      </c>
      <c r="M898" s="20"/>
      <c r="N898" s="7">
        <f>ROUND($D898*L898,0)</f>
        <v>0</v>
      </c>
      <c r="O898" s="55"/>
      <c r="P898" s="55"/>
    </row>
    <row r="899" spans="1:17" x14ac:dyDescent="0.25">
      <c r="A899" s="19" t="s">
        <v>88</v>
      </c>
      <c r="C899" s="6">
        <v>1374894.8539157421</v>
      </c>
      <c r="D899" s="6">
        <v>1563144</v>
      </c>
      <c r="F899" s="100">
        <v>3.8127</v>
      </c>
      <c r="G899" s="26" t="s">
        <v>18</v>
      </c>
      <c r="H899" s="7">
        <f>ROUND($F899*C899/100,0)</f>
        <v>52421</v>
      </c>
      <c r="I899" s="7">
        <f>ROUND($F899*D899/100,0)</f>
        <v>59598</v>
      </c>
      <c r="K899" s="100"/>
      <c r="L899" s="100"/>
      <c r="M899" s="26"/>
      <c r="O899" s="207"/>
      <c r="P899" s="59"/>
    </row>
    <row r="900" spans="1:17" x14ac:dyDescent="0.25">
      <c r="A900" s="19" t="s">
        <v>89</v>
      </c>
      <c r="C900" s="6">
        <v>1932779.8527567103</v>
      </c>
      <c r="D900" s="6">
        <v>1817547</v>
      </c>
      <c r="F900" s="100">
        <v>3.5143</v>
      </c>
      <c r="G900" s="26" t="s">
        <v>18</v>
      </c>
      <c r="H900" s="7">
        <f>ROUND($F900*C900/100,0)</f>
        <v>67924</v>
      </c>
      <c r="I900" s="7">
        <f>ROUND($F900*D900/100,0)</f>
        <v>63874</v>
      </c>
      <c r="K900" s="100"/>
      <c r="L900" s="100"/>
      <c r="M900" s="26"/>
      <c r="O900" s="207"/>
      <c r="P900" s="59"/>
    </row>
    <row r="901" spans="1:17" x14ac:dyDescent="0.25">
      <c r="A901" s="19" t="s">
        <v>33</v>
      </c>
      <c r="C901" s="36">
        <v>17379</v>
      </c>
      <c r="D901" s="36">
        <v>0</v>
      </c>
      <c r="H901" s="37">
        <f>H919+H937+H955</f>
        <v>1831</v>
      </c>
      <c r="I901" s="37">
        <f>I919+I937+I955</f>
        <v>0</v>
      </c>
      <c r="N901" s="37">
        <f>N919+N937+N955</f>
        <v>0</v>
      </c>
      <c r="Q901" s="64"/>
    </row>
    <row r="902" spans="1:17" x14ac:dyDescent="0.25">
      <c r="A902" s="19" t="s">
        <v>34</v>
      </c>
      <c r="F902" s="23">
        <v>-3.61E-2</v>
      </c>
      <c r="G902" s="24"/>
      <c r="H902" s="7">
        <f>SUM(H896:H897,H899:H900)*$F902</f>
        <v>-9450.9439000000002</v>
      </c>
      <c r="I902" s="7">
        <f>SUM(I896:I897,I899:I900)*$F902</f>
        <v>-9768.3351000000002</v>
      </c>
      <c r="K902" s="93" t="str">
        <f>$K$43</f>
        <v>TAA 1 (1/1/2021)</v>
      </c>
      <c r="L902" s="23">
        <f>$L$687</f>
        <v>-2.6100000000000002E-2</v>
      </c>
      <c r="M902" s="24"/>
      <c r="N902" s="7">
        <f>L902*SUM(N892:N895)</f>
        <v>-7023.6405000000004</v>
      </c>
      <c r="O902" s="65"/>
      <c r="P902" s="57"/>
    </row>
    <row r="903" spans="1:17" x14ac:dyDescent="0.25">
      <c r="A903" s="19"/>
      <c r="F903" s="23"/>
      <c r="G903" s="24"/>
      <c r="K903" s="93" t="str">
        <f>$K$44</f>
        <v>TAA 2 (1/1/2022)</v>
      </c>
      <c r="L903" s="23">
        <f>$L$688</f>
        <v>-1.2999999999999999E-2</v>
      </c>
      <c r="M903" s="24"/>
      <c r="N903" s="7">
        <f>L903*SUM(N892:N895)</f>
        <v>-3498.3649999999998</v>
      </c>
      <c r="O903" s="65"/>
      <c r="P903" s="57"/>
    </row>
    <row r="904" spans="1:17" ht="16.5" thickBot="1" x14ac:dyDescent="0.3">
      <c r="A904" s="19" t="s">
        <v>36</v>
      </c>
      <c r="C904" s="101">
        <v>3325053.7066724524</v>
      </c>
      <c r="D904" s="101">
        <v>3380691</v>
      </c>
      <c r="F904" s="41"/>
      <c r="H904" s="95">
        <f>SUM(H889:H902)</f>
        <v>321821.05609999999</v>
      </c>
      <c r="I904" s="95">
        <f>SUM(I889:I902)</f>
        <v>331160.66489999997</v>
      </c>
      <c r="K904" s="41"/>
      <c r="L904" s="41"/>
      <c r="N904" s="95">
        <f>SUM(N889:N901)</f>
        <v>338509</v>
      </c>
      <c r="O904" s="68"/>
      <c r="Q904" s="208"/>
    </row>
    <row r="905" spans="1:17" ht="16.5" thickTop="1" x14ac:dyDescent="0.25"/>
    <row r="906" spans="1:17" x14ac:dyDescent="0.25">
      <c r="A906" s="15" t="s">
        <v>118</v>
      </c>
    </row>
    <row r="907" spans="1:17" x14ac:dyDescent="0.25">
      <c r="A907" s="102" t="s">
        <v>68</v>
      </c>
      <c r="C907" s="6">
        <v>14</v>
      </c>
      <c r="D907" s="6">
        <v>12</v>
      </c>
      <c r="F907" s="20">
        <v>54</v>
      </c>
      <c r="G907" s="20"/>
      <c r="H907" s="7">
        <f t="shared" ref="H907:I916" si="160">ROUND($F907*C907,0)</f>
        <v>756</v>
      </c>
      <c r="I907" s="7">
        <f t="shared" si="160"/>
        <v>648</v>
      </c>
      <c r="K907" s="20"/>
      <c r="L907" s="20">
        <f t="shared" ref="L907:L913" si="161">L889</f>
        <v>53</v>
      </c>
      <c r="M907" s="20"/>
      <c r="N907" s="7">
        <f>ROUND($D907*L907,0)</f>
        <v>636</v>
      </c>
      <c r="O907" s="55"/>
      <c r="P907" s="55"/>
    </row>
    <row r="908" spans="1:17" x14ac:dyDescent="0.25">
      <c r="A908" s="19" t="s">
        <v>79</v>
      </c>
      <c r="C908" s="6">
        <v>0</v>
      </c>
      <c r="D908" s="6">
        <v>0</v>
      </c>
      <c r="E908" s="24"/>
      <c r="F908" s="20">
        <v>648</v>
      </c>
      <c r="G908" s="20"/>
      <c r="H908" s="7">
        <f t="shared" si="160"/>
        <v>0</v>
      </c>
      <c r="I908" s="7">
        <f t="shared" si="160"/>
        <v>0</v>
      </c>
      <c r="J908" s="24"/>
      <c r="K908" s="20"/>
      <c r="L908" s="20">
        <f t="shared" si="161"/>
        <v>636</v>
      </c>
      <c r="M908" s="20"/>
      <c r="N908" s="7">
        <f>ROUND($D908*L908,0)</f>
        <v>0</v>
      </c>
      <c r="O908" s="55"/>
      <c r="P908" s="55"/>
    </row>
    <row r="909" spans="1:17" x14ac:dyDescent="0.25">
      <c r="A909" s="19" t="s">
        <v>81</v>
      </c>
      <c r="C909" s="6">
        <v>279</v>
      </c>
      <c r="D909" s="6">
        <v>363</v>
      </c>
      <c r="F909" s="20">
        <v>4.04</v>
      </c>
      <c r="G909" s="20"/>
      <c r="H909" s="7">
        <f>ROUND($F909*C909,0)</f>
        <v>1127</v>
      </c>
      <c r="I909" s="7">
        <f>ROUND($F909*D909,0)</f>
        <v>1467</v>
      </c>
      <c r="K909" s="20"/>
      <c r="L909" s="20">
        <f t="shared" si="161"/>
        <v>3.99</v>
      </c>
      <c r="M909" s="20"/>
      <c r="N909" s="7">
        <f>ROUND($D909*L909,0)</f>
        <v>1448</v>
      </c>
      <c r="O909" s="55"/>
      <c r="P909" s="55"/>
    </row>
    <row r="910" spans="1:17" x14ac:dyDescent="0.25">
      <c r="A910" s="19" t="s">
        <v>99</v>
      </c>
      <c r="C910" s="6">
        <v>58.024799757320203</v>
      </c>
      <c r="D910" s="6">
        <v>77</v>
      </c>
      <c r="F910" s="24"/>
      <c r="G910" s="24"/>
      <c r="K910" s="24"/>
      <c r="L910" s="24">
        <f t="shared" si="161"/>
        <v>13.27</v>
      </c>
      <c r="M910" s="24"/>
      <c r="N910" s="7">
        <f>ROUND($D910*L910,0)</f>
        <v>1022</v>
      </c>
      <c r="O910" s="57"/>
      <c r="P910" s="57"/>
    </row>
    <row r="911" spans="1:17" x14ac:dyDescent="0.25">
      <c r="A911" s="19" t="s">
        <v>100</v>
      </c>
      <c r="C911" s="6">
        <v>11.97507610801749</v>
      </c>
      <c r="D911" s="6">
        <v>15</v>
      </c>
      <c r="F911" s="24"/>
      <c r="G911" s="24"/>
      <c r="K911" s="24"/>
      <c r="L911" s="24">
        <f t="shared" si="161"/>
        <v>11.74</v>
      </c>
      <c r="M911" s="24"/>
      <c r="N911" s="7">
        <f>ROUND($D911*L911,0)</f>
        <v>176</v>
      </c>
      <c r="O911" s="57"/>
      <c r="P911" s="57"/>
    </row>
    <row r="912" spans="1:17" x14ac:dyDescent="0.25">
      <c r="A912" s="19" t="s">
        <v>84</v>
      </c>
      <c r="C912" s="6">
        <v>19258.837638376383</v>
      </c>
      <c r="D912" s="6">
        <v>25685</v>
      </c>
      <c r="F912" s="100"/>
      <c r="G912" s="26"/>
      <c r="K912" s="100"/>
      <c r="L912" s="100">
        <f t="shared" si="161"/>
        <v>3.8877999999999999</v>
      </c>
      <c r="M912" s="26" t="s">
        <v>18</v>
      </c>
      <c r="N912" s="7">
        <f>ROUND($D912*L912/100,0)</f>
        <v>999</v>
      </c>
      <c r="O912" s="207"/>
      <c r="P912" s="59"/>
    </row>
    <row r="913" spans="1:17" x14ac:dyDescent="0.25">
      <c r="A913" s="19" t="s">
        <v>85</v>
      </c>
      <c r="C913" s="6">
        <v>6265.1623616236157</v>
      </c>
      <c r="D913" s="6">
        <v>7681</v>
      </c>
      <c r="F913" s="100"/>
      <c r="G913" s="26"/>
      <c r="K913" s="100"/>
      <c r="L913" s="100">
        <f t="shared" si="161"/>
        <v>3.4405000000000001</v>
      </c>
      <c r="M913" s="26" t="s">
        <v>18</v>
      </c>
      <c r="N913" s="7">
        <f>ROUND($D913*L913/100,0)</f>
        <v>264</v>
      </c>
      <c r="O913" s="207"/>
      <c r="P913" s="59"/>
    </row>
    <row r="914" spans="1:17" x14ac:dyDescent="0.25">
      <c r="A914" s="19" t="s">
        <v>101</v>
      </c>
      <c r="C914" s="6">
        <v>59.024623803009597</v>
      </c>
      <c r="D914" s="6">
        <v>77</v>
      </c>
      <c r="F914" s="20">
        <v>14.62</v>
      </c>
      <c r="G914" s="20"/>
      <c r="H914" s="7">
        <f t="shared" si="160"/>
        <v>863</v>
      </c>
      <c r="I914" s="7">
        <f t="shared" si="160"/>
        <v>1126</v>
      </c>
      <c r="K914" s="20"/>
      <c r="L914" s="20"/>
      <c r="M914" s="20"/>
      <c r="O914" s="55"/>
      <c r="P914" s="55"/>
    </row>
    <row r="915" spans="1:17" x14ac:dyDescent="0.25">
      <c r="A915" s="19" t="s">
        <v>102</v>
      </c>
      <c r="C915" s="6">
        <v>10.975252062328099</v>
      </c>
      <c r="D915" s="6">
        <v>14</v>
      </c>
      <c r="F915" s="20">
        <v>10.91</v>
      </c>
      <c r="G915" s="20"/>
      <c r="H915" s="7">
        <f t="shared" si="160"/>
        <v>120</v>
      </c>
      <c r="I915" s="7">
        <f t="shared" si="160"/>
        <v>153</v>
      </c>
      <c r="K915" s="20"/>
      <c r="L915" s="20"/>
      <c r="M915" s="20"/>
      <c r="O915" s="55"/>
      <c r="P915" s="55"/>
    </row>
    <row r="916" spans="1:17" x14ac:dyDescent="0.25">
      <c r="A916" s="19" t="s">
        <v>77</v>
      </c>
      <c r="C916" s="6">
        <v>0</v>
      </c>
      <c r="D916" s="6">
        <v>0</v>
      </c>
      <c r="F916" s="20">
        <v>-0.96</v>
      </c>
      <c r="G916" s="20"/>
      <c r="H916" s="7">
        <f t="shared" si="160"/>
        <v>0</v>
      </c>
      <c r="I916" s="7">
        <f t="shared" si="160"/>
        <v>0</v>
      </c>
      <c r="K916" s="20"/>
      <c r="L916" s="20">
        <f>L898</f>
        <v>-0.96</v>
      </c>
      <c r="M916" s="20"/>
      <c r="N916" s="7">
        <f>ROUND($D916*L916,0)</f>
        <v>0</v>
      </c>
      <c r="O916" s="55"/>
      <c r="P916" s="55"/>
    </row>
    <row r="917" spans="1:17" x14ac:dyDescent="0.25">
      <c r="A917" s="19" t="s">
        <v>88</v>
      </c>
      <c r="C917" s="6">
        <v>20340</v>
      </c>
      <c r="D917" s="6">
        <v>26592</v>
      </c>
      <c r="F917" s="100">
        <v>3.8127</v>
      </c>
      <c r="G917" s="26" t="s">
        <v>18</v>
      </c>
      <c r="H917" s="7">
        <f>ROUND($F917*C917/100,0)</f>
        <v>776</v>
      </c>
      <c r="I917" s="7">
        <f>ROUND($F917*D917/100,0)</f>
        <v>1014</v>
      </c>
      <c r="K917" s="100"/>
      <c r="L917" s="100"/>
      <c r="M917" s="26"/>
      <c r="O917" s="207"/>
      <c r="P917" s="59"/>
    </row>
    <row r="918" spans="1:17" x14ac:dyDescent="0.25">
      <c r="A918" s="19" t="s">
        <v>89</v>
      </c>
      <c r="C918" s="6">
        <v>5184</v>
      </c>
      <c r="D918" s="6">
        <v>6774</v>
      </c>
      <c r="F918" s="100">
        <v>3.5143</v>
      </c>
      <c r="G918" s="26" t="s">
        <v>18</v>
      </c>
      <c r="H918" s="7">
        <f>ROUND($F918*C918/100,0)</f>
        <v>182</v>
      </c>
      <c r="I918" s="7">
        <f>ROUND($F918*D918/100,0)</f>
        <v>238</v>
      </c>
      <c r="K918" s="100"/>
      <c r="L918" s="100"/>
      <c r="M918" s="26"/>
      <c r="O918" s="207"/>
      <c r="P918" s="59"/>
    </row>
    <row r="919" spans="1:17" x14ac:dyDescent="0.25">
      <c r="A919" s="19" t="s">
        <v>33</v>
      </c>
      <c r="C919" s="36">
        <v>144</v>
      </c>
      <c r="D919" s="36">
        <v>0</v>
      </c>
      <c r="H919" s="37">
        <v>23</v>
      </c>
      <c r="I919" s="37">
        <v>0</v>
      </c>
      <c r="N919" s="37">
        <v>0</v>
      </c>
      <c r="Q919" s="64"/>
    </row>
    <row r="920" spans="1:17" x14ac:dyDescent="0.25">
      <c r="A920" s="19" t="s">
        <v>34</v>
      </c>
      <c r="F920" s="23">
        <v>-3.61E-2</v>
      </c>
      <c r="G920" s="24"/>
      <c r="H920" s="7">
        <f>SUM(H914:H915,H917:H918)*$F920</f>
        <v>-70.070099999999996</v>
      </c>
      <c r="I920" s="7">
        <f>SUM(I914:I915,I917:I918)*$F920</f>
        <v>-91.369100000000003</v>
      </c>
      <c r="K920" s="93" t="str">
        <f>$K$43</f>
        <v>TAA 1 (1/1/2021)</v>
      </c>
      <c r="L920" s="23">
        <f>$L$687</f>
        <v>-2.6100000000000002E-2</v>
      </c>
      <c r="M920" s="24"/>
      <c r="N920" s="7">
        <f>L920*SUM(N910:N913)</f>
        <v>-64.232100000000003</v>
      </c>
      <c r="O920" s="65"/>
      <c r="P920" s="57"/>
    </row>
    <row r="921" spans="1:17" x14ac:dyDescent="0.25">
      <c r="A921" s="19"/>
      <c r="F921" s="23"/>
      <c r="G921" s="24"/>
      <c r="K921" s="93" t="str">
        <f>$K$44</f>
        <v>TAA 2 (1/1/2022)</v>
      </c>
      <c r="L921" s="23">
        <f>$L$688</f>
        <v>-1.2999999999999999E-2</v>
      </c>
      <c r="M921" s="24"/>
      <c r="N921" s="7">
        <f>L921*SUM(N910:N913)</f>
        <v>-31.992999999999999</v>
      </c>
      <c r="O921" s="65"/>
      <c r="P921" s="57"/>
    </row>
    <row r="922" spans="1:17" ht="16.5" thickBot="1" x14ac:dyDescent="0.3">
      <c r="A922" s="19" t="s">
        <v>36</v>
      </c>
      <c r="C922" s="101">
        <v>25668</v>
      </c>
      <c r="D922" s="101">
        <v>33366</v>
      </c>
      <c r="F922" s="41"/>
      <c r="H922" s="95">
        <f>SUM(H907:H920)</f>
        <v>3776.9299000000001</v>
      </c>
      <c r="I922" s="95">
        <f>SUM(I907:I920)</f>
        <v>4554.6309000000001</v>
      </c>
      <c r="K922" s="41"/>
      <c r="L922" s="41"/>
      <c r="N922" s="95">
        <f>SUM(N907:N919)</f>
        <v>4545</v>
      </c>
      <c r="O922" s="68"/>
      <c r="Q922" s="208"/>
    </row>
    <row r="923" spans="1:17" ht="16.5" thickTop="1" x14ac:dyDescent="0.25"/>
    <row r="924" spans="1:17" x14ac:dyDescent="0.25">
      <c r="A924" s="15" t="s">
        <v>119</v>
      </c>
      <c r="E924" s="24"/>
      <c r="J924" s="24"/>
    </row>
    <row r="925" spans="1:17" x14ac:dyDescent="0.25">
      <c r="A925" s="19" t="s">
        <v>68</v>
      </c>
      <c r="C925" s="6">
        <v>168</v>
      </c>
      <c r="D925" s="6">
        <v>168</v>
      </c>
      <c r="F925" s="20">
        <v>54</v>
      </c>
      <c r="G925" s="20"/>
      <c r="H925" s="7">
        <f t="shared" ref="H925:I934" si="162">ROUND($F925*C925,0)</f>
        <v>9072</v>
      </c>
      <c r="I925" s="7">
        <f t="shared" si="162"/>
        <v>9072</v>
      </c>
      <c r="K925" s="20"/>
      <c r="L925" s="20">
        <f t="shared" ref="L925:L931" si="163">L889</f>
        <v>53</v>
      </c>
      <c r="M925" s="20"/>
      <c r="N925" s="7">
        <f>ROUND($D925*L925,0)</f>
        <v>8904</v>
      </c>
      <c r="O925" s="55"/>
      <c r="P925" s="55"/>
    </row>
    <row r="926" spans="1:17" x14ac:dyDescent="0.25">
      <c r="A926" s="19" t="s">
        <v>79</v>
      </c>
      <c r="C926" s="6">
        <v>0</v>
      </c>
      <c r="D926" s="6">
        <v>0</v>
      </c>
      <c r="E926" s="24"/>
      <c r="F926" s="20">
        <v>648</v>
      </c>
      <c r="G926" s="20"/>
      <c r="H926" s="7">
        <f t="shared" si="162"/>
        <v>0</v>
      </c>
      <c r="I926" s="7">
        <f t="shared" si="162"/>
        <v>0</v>
      </c>
      <c r="J926" s="24"/>
      <c r="K926" s="20"/>
      <c r="L926" s="20">
        <f t="shared" si="163"/>
        <v>636</v>
      </c>
      <c r="M926" s="20"/>
      <c r="N926" s="7">
        <f>ROUND($D926*L926,0)</f>
        <v>0</v>
      </c>
      <c r="O926" s="55"/>
      <c r="P926" s="55"/>
    </row>
    <row r="927" spans="1:17" x14ac:dyDescent="0.25">
      <c r="A927" s="19" t="s">
        <v>81</v>
      </c>
      <c r="C927" s="6">
        <v>13820</v>
      </c>
      <c r="D927" s="6">
        <v>13953</v>
      </c>
      <c r="F927" s="20">
        <v>4.04</v>
      </c>
      <c r="G927" s="20"/>
      <c r="H927" s="7">
        <f>ROUND($F927*C927,0)</f>
        <v>55833</v>
      </c>
      <c r="I927" s="7">
        <f>ROUND($F927*D927,0)</f>
        <v>56370</v>
      </c>
      <c r="K927" s="20"/>
      <c r="L927" s="20">
        <f t="shared" si="163"/>
        <v>3.99</v>
      </c>
      <c r="M927" s="20"/>
      <c r="N927" s="7">
        <f>ROUND($D927*L927,0)</f>
        <v>55672</v>
      </c>
      <c r="O927" s="55"/>
      <c r="P927" s="55"/>
    </row>
    <row r="928" spans="1:17" x14ac:dyDescent="0.25">
      <c r="A928" s="19" t="s">
        <v>99</v>
      </c>
      <c r="C928" s="6">
        <v>4102.3053150435462</v>
      </c>
      <c r="D928" s="6">
        <v>4665</v>
      </c>
      <c r="F928" s="24"/>
      <c r="G928" s="24"/>
      <c r="K928" s="24"/>
      <c r="L928" s="24">
        <f t="shared" si="163"/>
        <v>13.27</v>
      </c>
      <c r="M928" s="24"/>
      <c r="N928" s="7">
        <f>ROUND($D928*L928,0)</f>
        <v>61905</v>
      </c>
      <c r="O928" s="57"/>
      <c r="P928" s="57"/>
    </row>
    <row r="929" spans="1:17" x14ac:dyDescent="0.25">
      <c r="A929" s="19" t="s">
        <v>100</v>
      </c>
      <c r="C929" s="6">
        <v>6932.6945777492438</v>
      </c>
      <c r="D929" s="6">
        <v>6610</v>
      </c>
      <c r="F929" s="24"/>
      <c r="G929" s="24"/>
      <c r="K929" s="24"/>
      <c r="L929" s="24">
        <f t="shared" si="163"/>
        <v>11.74</v>
      </c>
      <c r="M929" s="24"/>
      <c r="N929" s="7">
        <f>ROUND($D929*L929,0)</f>
        <v>77601</v>
      </c>
      <c r="O929" s="57"/>
      <c r="P929" s="57"/>
    </row>
    <row r="930" spans="1:17" x14ac:dyDescent="0.25">
      <c r="A930" s="19" t="s">
        <v>84</v>
      </c>
      <c r="C930" s="6">
        <v>1097235.7259257769</v>
      </c>
      <c r="D930" s="6">
        <v>1247725</v>
      </c>
      <c r="F930" s="100"/>
      <c r="G930" s="26"/>
      <c r="K930" s="100"/>
      <c r="L930" s="100">
        <f t="shared" si="163"/>
        <v>3.8877999999999999</v>
      </c>
      <c r="M930" s="26" t="s">
        <v>18</v>
      </c>
      <c r="N930" s="7">
        <f>ROUND($D930*L930/100,0)</f>
        <v>48509</v>
      </c>
      <c r="O930" s="207"/>
      <c r="P930" s="59"/>
    </row>
    <row r="931" spans="1:17" x14ac:dyDescent="0.25">
      <c r="A931" s="19" t="s">
        <v>85</v>
      </c>
      <c r="C931" s="6">
        <v>2177828.9807466753</v>
      </c>
      <c r="D931" s="6">
        <v>2076320</v>
      </c>
      <c r="F931" s="100"/>
      <c r="G931" s="26"/>
      <c r="K931" s="100"/>
      <c r="L931" s="100">
        <f t="shared" si="163"/>
        <v>3.4405000000000001</v>
      </c>
      <c r="M931" s="26" t="s">
        <v>18</v>
      </c>
      <c r="N931" s="7">
        <f>ROUND($D931*L931/100,0)</f>
        <v>71436</v>
      </c>
      <c r="O931" s="207"/>
      <c r="P931" s="59"/>
    </row>
    <row r="932" spans="1:17" x14ac:dyDescent="0.25">
      <c r="A932" s="19" t="s">
        <v>101</v>
      </c>
      <c r="C932" s="6">
        <v>4947.6121751026003</v>
      </c>
      <c r="D932" s="6">
        <v>4995</v>
      </c>
      <c r="F932" s="20">
        <v>14.62</v>
      </c>
      <c r="G932" s="20"/>
      <c r="H932" s="7">
        <f t="shared" si="162"/>
        <v>72334</v>
      </c>
      <c r="I932" s="7">
        <f t="shared" si="162"/>
        <v>73027</v>
      </c>
      <c r="K932" s="20"/>
      <c r="L932" s="20"/>
      <c r="M932" s="20"/>
      <c r="O932" s="55"/>
      <c r="P932" s="55"/>
    </row>
    <row r="933" spans="1:17" x14ac:dyDescent="0.25">
      <c r="A933" s="19" t="s">
        <v>102</v>
      </c>
      <c r="C933" s="6">
        <v>6087.3877176901897</v>
      </c>
      <c r="D933" s="6">
        <v>6146</v>
      </c>
      <c r="F933" s="20">
        <v>10.91</v>
      </c>
      <c r="G933" s="20"/>
      <c r="H933" s="7">
        <f t="shared" si="162"/>
        <v>66413</v>
      </c>
      <c r="I933" s="7">
        <f t="shared" si="162"/>
        <v>67053</v>
      </c>
      <c r="K933" s="20"/>
      <c r="L933" s="20"/>
      <c r="M933" s="20"/>
      <c r="O933" s="55"/>
      <c r="P933" s="55"/>
    </row>
    <row r="934" spans="1:17" x14ac:dyDescent="0.25">
      <c r="A934" s="19" t="s">
        <v>77</v>
      </c>
      <c r="C934" s="6">
        <v>0</v>
      </c>
      <c r="D934" s="6">
        <v>0</v>
      </c>
      <c r="F934" s="20">
        <v>-0.96</v>
      </c>
      <c r="G934" s="20"/>
      <c r="H934" s="7">
        <f t="shared" si="162"/>
        <v>0</v>
      </c>
      <c r="I934" s="7">
        <f t="shared" si="162"/>
        <v>0</v>
      </c>
      <c r="K934" s="20"/>
      <c r="L934" s="20">
        <f>L898</f>
        <v>-0.96</v>
      </c>
      <c r="M934" s="20"/>
      <c r="N934" s="7">
        <f>ROUND($D934*L934,0)</f>
        <v>0</v>
      </c>
      <c r="O934" s="55"/>
      <c r="P934" s="55"/>
    </row>
    <row r="935" spans="1:17" x14ac:dyDescent="0.25">
      <c r="A935" s="19" t="s">
        <v>88</v>
      </c>
      <c r="C935" s="6">
        <v>1354554.8539157421</v>
      </c>
      <c r="D935" s="6">
        <v>1526852</v>
      </c>
      <c r="F935" s="100">
        <v>3.8127</v>
      </c>
      <c r="G935" s="26" t="s">
        <v>18</v>
      </c>
      <c r="H935" s="7">
        <f>ROUND($F935*C935/100,0)</f>
        <v>51645</v>
      </c>
      <c r="I935" s="7">
        <f>ROUND($F935*D935/100,0)</f>
        <v>58214</v>
      </c>
      <c r="K935" s="100"/>
      <c r="L935" s="100"/>
      <c r="M935" s="26"/>
      <c r="O935" s="207"/>
      <c r="P935" s="59"/>
    </row>
    <row r="936" spans="1:17" x14ac:dyDescent="0.25">
      <c r="A936" s="19" t="s">
        <v>89</v>
      </c>
      <c r="C936" s="6">
        <v>1920509.8527567103</v>
      </c>
      <c r="D936" s="6">
        <v>1797193</v>
      </c>
      <c r="F936" s="100">
        <v>3.5143</v>
      </c>
      <c r="G936" s="26" t="s">
        <v>18</v>
      </c>
      <c r="H936" s="7">
        <f>ROUND($F936*C936/100,0)</f>
        <v>67492</v>
      </c>
      <c r="I936" s="7">
        <f>ROUND($F936*D936/100,0)</f>
        <v>63159</v>
      </c>
      <c r="K936" s="100"/>
      <c r="L936" s="100"/>
      <c r="M936" s="26"/>
      <c r="O936" s="207"/>
      <c r="P936" s="59"/>
    </row>
    <row r="937" spans="1:17" x14ac:dyDescent="0.25">
      <c r="A937" s="19" t="s">
        <v>33</v>
      </c>
      <c r="C937" s="36">
        <v>17350</v>
      </c>
      <c r="D937" s="36">
        <v>0</v>
      </c>
      <c r="H937" s="37">
        <v>1850</v>
      </c>
      <c r="I937" s="37">
        <v>0</v>
      </c>
      <c r="N937" s="37">
        <v>0</v>
      </c>
      <c r="Q937" s="64"/>
    </row>
    <row r="938" spans="1:17" x14ac:dyDescent="0.25">
      <c r="A938" s="19" t="s">
        <v>34</v>
      </c>
      <c r="F938" s="23">
        <v>-3.61E-2</v>
      </c>
      <c r="G938" s="24"/>
      <c r="H938" s="7">
        <f>SUM(H932:H933,H935:H936)*$F938</f>
        <v>-9309.6124</v>
      </c>
      <c r="I938" s="7">
        <f>SUM(I932:I933,I935:I936)*$F938</f>
        <v>-9438.4532999999992</v>
      </c>
      <c r="K938" s="93" t="str">
        <f>$K$43</f>
        <v>TAA 1 (1/1/2021)</v>
      </c>
      <c r="L938" s="23">
        <f>$L$687</f>
        <v>-2.6100000000000002E-2</v>
      </c>
      <c r="M938" s="24"/>
      <c r="N938" s="7">
        <f>L938*SUM(N928:N931)</f>
        <v>-6771.6711000000005</v>
      </c>
      <c r="O938" s="65"/>
      <c r="P938" s="57"/>
    </row>
    <row r="939" spans="1:17" x14ac:dyDescent="0.25">
      <c r="A939" s="19"/>
      <c r="F939" s="23"/>
      <c r="G939" s="24"/>
      <c r="K939" s="93" t="str">
        <f>$K$44</f>
        <v>TAA 2 (1/1/2022)</v>
      </c>
      <c r="L939" s="23">
        <f>$L$688</f>
        <v>-1.2999999999999999E-2</v>
      </c>
      <c r="M939" s="24"/>
      <c r="N939" s="7">
        <f>L939*SUM(N928:N931)</f>
        <v>-3372.8629999999998</v>
      </c>
      <c r="O939" s="65"/>
      <c r="P939" s="57"/>
    </row>
    <row r="940" spans="1:17" ht="16.5" thickBot="1" x14ac:dyDescent="0.3">
      <c r="A940" s="19" t="s">
        <v>36</v>
      </c>
      <c r="C940" s="101">
        <v>3292414.7066724524</v>
      </c>
      <c r="D940" s="101">
        <v>3324045</v>
      </c>
      <c r="F940" s="41"/>
      <c r="H940" s="95">
        <f>SUM(H925:H938)</f>
        <v>315329.38760000002</v>
      </c>
      <c r="I940" s="95">
        <f>SUM(I925:I938)</f>
        <v>317456.54670000001</v>
      </c>
      <c r="K940" s="41"/>
      <c r="L940" s="41"/>
      <c r="N940" s="95">
        <f>SUM(N925:N937)</f>
        <v>324027</v>
      </c>
      <c r="O940" s="68"/>
      <c r="Q940" s="208"/>
    </row>
    <row r="941" spans="1:17" ht="16.5" thickTop="1" x14ac:dyDescent="0.25"/>
    <row r="942" spans="1:17" x14ac:dyDescent="0.25">
      <c r="A942" s="15" t="s">
        <v>120</v>
      </c>
    </row>
    <row r="943" spans="1:17" x14ac:dyDescent="0.25">
      <c r="A943" s="102" t="s">
        <v>68</v>
      </c>
      <c r="C943" s="6">
        <v>4</v>
      </c>
      <c r="D943" s="6">
        <v>12</v>
      </c>
      <c r="F943" s="20">
        <v>54</v>
      </c>
      <c r="G943" s="20"/>
      <c r="H943" s="7">
        <f t="shared" ref="H943:I952" si="164">ROUND($F943*C943,0)</f>
        <v>216</v>
      </c>
      <c r="I943" s="7">
        <f t="shared" si="164"/>
        <v>648</v>
      </c>
      <c r="K943" s="20"/>
      <c r="L943" s="20">
        <f t="shared" ref="L943:L949" si="165">L889</f>
        <v>53</v>
      </c>
      <c r="M943" s="20"/>
      <c r="N943" s="7">
        <f>ROUND($D943*L943,0)</f>
        <v>636</v>
      </c>
      <c r="O943" s="55"/>
      <c r="P943" s="55"/>
    </row>
    <row r="944" spans="1:17" x14ac:dyDescent="0.25">
      <c r="A944" s="19" t="s">
        <v>79</v>
      </c>
      <c r="C944" s="6">
        <v>0</v>
      </c>
      <c r="D944" s="6">
        <v>0</v>
      </c>
      <c r="E944" s="24"/>
      <c r="F944" s="20">
        <v>648</v>
      </c>
      <c r="G944" s="20"/>
      <c r="H944" s="7">
        <f t="shared" si="164"/>
        <v>0</v>
      </c>
      <c r="I944" s="7">
        <f t="shared" si="164"/>
        <v>0</v>
      </c>
      <c r="J944" s="24"/>
      <c r="K944" s="20"/>
      <c r="L944" s="20">
        <f t="shared" si="165"/>
        <v>636</v>
      </c>
      <c r="M944" s="20"/>
      <c r="N944" s="7">
        <f>ROUND($D944*L944,0)</f>
        <v>0</v>
      </c>
      <c r="O944" s="55"/>
      <c r="P944" s="55"/>
    </row>
    <row r="945" spans="1:17" x14ac:dyDescent="0.25">
      <c r="A945" s="19" t="s">
        <v>81</v>
      </c>
      <c r="C945" s="6">
        <v>158</v>
      </c>
      <c r="D945" s="6">
        <v>528</v>
      </c>
      <c r="F945" s="20">
        <v>4.04</v>
      </c>
      <c r="G945" s="20"/>
      <c r="H945" s="7">
        <f>ROUND($F945*C945,0)</f>
        <v>638</v>
      </c>
      <c r="I945" s="7">
        <f>ROUND($F945*D945,0)</f>
        <v>2133</v>
      </c>
      <c r="K945" s="20"/>
      <c r="L945" s="20">
        <f t="shared" si="165"/>
        <v>3.99</v>
      </c>
      <c r="M945" s="20"/>
      <c r="N945" s="7">
        <f>ROUND($D945*L945,0)</f>
        <v>2107</v>
      </c>
      <c r="O945" s="55"/>
      <c r="P945" s="55"/>
    </row>
    <row r="946" spans="1:17" x14ac:dyDescent="0.25">
      <c r="A946" s="19" t="s">
        <v>99</v>
      </c>
      <c r="C946" s="6">
        <v>0</v>
      </c>
      <c r="D946" s="6">
        <v>173</v>
      </c>
      <c r="F946" s="24"/>
      <c r="G946" s="24"/>
      <c r="K946" s="24"/>
      <c r="L946" s="24">
        <f t="shared" si="165"/>
        <v>13.27</v>
      </c>
      <c r="M946" s="24"/>
      <c r="N946" s="7">
        <f>ROUND($D946*L946,0)</f>
        <v>2296</v>
      </c>
      <c r="O946" s="57"/>
      <c r="P946" s="57"/>
    </row>
    <row r="947" spans="1:17" x14ac:dyDescent="0.25">
      <c r="A947" s="19" t="s">
        <v>100</v>
      </c>
      <c r="C947" s="6">
        <v>158</v>
      </c>
      <c r="D947" s="6">
        <v>346</v>
      </c>
      <c r="F947" s="24"/>
      <c r="G947" s="24"/>
      <c r="K947" s="24"/>
      <c r="L947" s="24">
        <f t="shared" si="165"/>
        <v>11.74</v>
      </c>
      <c r="M947" s="24"/>
      <c r="N947" s="7">
        <f>ROUND($D947*L947,0)</f>
        <v>4062</v>
      </c>
      <c r="O947" s="57"/>
      <c r="P947" s="57"/>
    </row>
    <row r="948" spans="1:17" x14ac:dyDescent="0.25">
      <c r="A948" s="19" t="s">
        <v>84</v>
      </c>
      <c r="C948" s="6">
        <v>0</v>
      </c>
      <c r="D948" s="6">
        <v>7760</v>
      </c>
      <c r="F948" s="100"/>
      <c r="G948" s="26"/>
      <c r="K948" s="100"/>
      <c r="L948" s="100">
        <f t="shared" si="165"/>
        <v>3.8877999999999999</v>
      </c>
      <c r="M948" s="26" t="s">
        <v>18</v>
      </c>
      <c r="N948" s="7">
        <f>ROUND($D948*L948/100,0)</f>
        <v>302</v>
      </c>
      <c r="O948" s="207"/>
      <c r="P948" s="59"/>
    </row>
    <row r="949" spans="1:17" x14ac:dyDescent="0.25">
      <c r="A949" s="19" t="s">
        <v>85</v>
      </c>
      <c r="C949" s="6">
        <v>7086</v>
      </c>
      <c r="D949" s="6">
        <v>15520</v>
      </c>
      <c r="F949" s="100"/>
      <c r="G949" s="26"/>
      <c r="K949" s="100"/>
      <c r="L949" s="100">
        <f t="shared" si="165"/>
        <v>3.4405000000000001</v>
      </c>
      <c r="M949" s="26" t="s">
        <v>18</v>
      </c>
      <c r="N949" s="7">
        <f>ROUND($D949*L949/100,0)</f>
        <v>534</v>
      </c>
      <c r="O949" s="207"/>
      <c r="P949" s="59"/>
    </row>
    <row r="950" spans="1:17" x14ac:dyDescent="0.25">
      <c r="A950" s="19" t="s">
        <v>101</v>
      </c>
      <c r="C950" s="6">
        <v>0</v>
      </c>
      <c r="D950" s="6">
        <v>0</v>
      </c>
      <c r="F950" s="20">
        <v>14.62</v>
      </c>
      <c r="G950" s="20"/>
      <c r="H950" s="7">
        <f t="shared" si="164"/>
        <v>0</v>
      </c>
      <c r="I950" s="7">
        <f t="shared" si="164"/>
        <v>0</v>
      </c>
      <c r="K950" s="20"/>
      <c r="L950" s="20"/>
      <c r="M950" s="20"/>
      <c r="O950" s="55"/>
      <c r="P950" s="55"/>
    </row>
    <row r="951" spans="1:17" x14ac:dyDescent="0.25">
      <c r="A951" s="19" t="s">
        <v>102</v>
      </c>
      <c r="C951" s="6">
        <v>158</v>
      </c>
      <c r="D951" s="6">
        <v>528</v>
      </c>
      <c r="F951" s="20">
        <v>10.91</v>
      </c>
      <c r="G951" s="20"/>
      <c r="H951" s="7">
        <f t="shared" si="164"/>
        <v>1724</v>
      </c>
      <c r="I951" s="7">
        <f t="shared" si="164"/>
        <v>5760</v>
      </c>
      <c r="K951" s="20"/>
      <c r="L951" s="20"/>
      <c r="M951" s="20"/>
      <c r="O951" s="55"/>
      <c r="P951" s="55"/>
    </row>
    <row r="952" spans="1:17" x14ac:dyDescent="0.25">
      <c r="A952" s="19" t="s">
        <v>77</v>
      </c>
      <c r="C952" s="6">
        <v>0</v>
      </c>
      <c r="D952" s="6">
        <v>0</v>
      </c>
      <c r="F952" s="20">
        <v>-0.96</v>
      </c>
      <c r="G952" s="20"/>
      <c r="H952" s="7">
        <f t="shared" si="164"/>
        <v>0</v>
      </c>
      <c r="I952" s="7">
        <f t="shared" si="164"/>
        <v>0</v>
      </c>
      <c r="K952" s="20"/>
      <c r="L952" s="20">
        <f>L898</f>
        <v>-0.96</v>
      </c>
      <c r="M952" s="20"/>
      <c r="N952" s="7">
        <f>ROUND($D952*L952,0)</f>
        <v>0</v>
      </c>
      <c r="O952" s="55"/>
      <c r="P952" s="55"/>
    </row>
    <row r="953" spans="1:17" x14ac:dyDescent="0.25">
      <c r="A953" s="19" t="s">
        <v>88</v>
      </c>
      <c r="C953" s="6">
        <v>0</v>
      </c>
      <c r="D953" s="6">
        <v>9700</v>
      </c>
      <c r="F953" s="100">
        <v>3.8127</v>
      </c>
      <c r="G953" s="26" t="s">
        <v>18</v>
      </c>
      <c r="H953" s="7">
        <f>ROUND($F953*C953/100,0)</f>
        <v>0</v>
      </c>
      <c r="I953" s="7">
        <f>ROUND($F953*D953/100,0)</f>
        <v>370</v>
      </c>
      <c r="K953" s="100"/>
      <c r="L953" s="100"/>
      <c r="M953" s="26"/>
      <c r="O953" s="207"/>
      <c r="P953" s="59"/>
    </row>
    <row r="954" spans="1:17" x14ac:dyDescent="0.25">
      <c r="A954" s="19" t="s">
        <v>89</v>
      </c>
      <c r="C954" s="6">
        <v>7086</v>
      </c>
      <c r="D954" s="6">
        <v>13580</v>
      </c>
      <c r="F954" s="100">
        <v>3.5143</v>
      </c>
      <c r="G954" s="26" t="s">
        <v>18</v>
      </c>
      <c r="H954" s="7">
        <f>ROUND($F954*C954/100,0)</f>
        <v>249</v>
      </c>
      <c r="I954" s="7">
        <f>ROUND($F954*D954/100,0)</f>
        <v>477</v>
      </c>
      <c r="K954" s="100"/>
      <c r="L954" s="100"/>
      <c r="M954" s="26"/>
      <c r="O954" s="207"/>
      <c r="P954" s="59"/>
    </row>
    <row r="955" spans="1:17" x14ac:dyDescent="0.25">
      <c r="A955" s="19" t="s">
        <v>33</v>
      </c>
      <c r="C955" s="36">
        <v>-115</v>
      </c>
      <c r="D955" s="36">
        <v>0</v>
      </c>
      <c r="H955" s="37">
        <v>-42</v>
      </c>
      <c r="I955" s="37">
        <v>0</v>
      </c>
      <c r="N955" s="37">
        <v>0</v>
      </c>
      <c r="Q955" s="64"/>
    </row>
    <row r="956" spans="1:17" x14ac:dyDescent="0.25">
      <c r="A956" s="19" t="s">
        <v>34</v>
      </c>
      <c r="F956" s="23">
        <v>-3.61E-2</v>
      </c>
      <c r="G956" s="24"/>
      <c r="H956" s="7">
        <f>SUM(H950:H951,H953:H954)*$F956</f>
        <v>-71.225300000000004</v>
      </c>
      <c r="I956" s="7">
        <f>SUM(I950:I951,I953:I954)*$F956</f>
        <v>-238.5127</v>
      </c>
      <c r="K956" s="93" t="str">
        <f>$K$43</f>
        <v>TAA 1 (1/1/2021)</v>
      </c>
      <c r="L956" s="23">
        <f>$L$687</f>
        <v>-2.6100000000000002E-2</v>
      </c>
      <c r="M956" s="24"/>
      <c r="N956" s="7">
        <f>L956*SUM(N946:N949)</f>
        <v>-187.76340000000002</v>
      </c>
      <c r="O956" s="65"/>
      <c r="P956" s="57"/>
    </row>
    <row r="957" spans="1:17" x14ac:dyDescent="0.25">
      <c r="A957" s="19"/>
      <c r="F957" s="23"/>
      <c r="G957" s="24"/>
      <c r="K957" s="93" t="str">
        <f>$K$44</f>
        <v>TAA 2 (1/1/2022)</v>
      </c>
      <c r="L957" s="23">
        <f>$L$688</f>
        <v>-1.2999999999999999E-2</v>
      </c>
      <c r="M957" s="24"/>
      <c r="N957" s="7">
        <f>L957*SUM(N946:N949)</f>
        <v>-93.521999999999991</v>
      </c>
      <c r="O957" s="65"/>
      <c r="P957" s="57"/>
    </row>
    <row r="958" spans="1:17" ht="16.5" thickBot="1" x14ac:dyDescent="0.3">
      <c r="A958" s="19" t="s">
        <v>36</v>
      </c>
      <c r="C958" s="101">
        <v>6971</v>
      </c>
      <c r="D958" s="101">
        <v>23280</v>
      </c>
      <c r="F958" s="41"/>
      <c r="H958" s="95">
        <f>SUM(H943:H956)</f>
        <v>2713.7746999999999</v>
      </c>
      <c r="I958" s="95">
        <f>SUM(I943:I956)</f>
        <v>9149.4873000000007</v>
      </c>
      <c r="K958" s="41"/>
      <c r="L958" s="41"/>
      <c r="N958" s="95">
        <f>SUM(N943:N955)</f>
        <v>9937</v>
      </c>
      <c r="O958" s="68"/>
      <c r="Q958" s="208"/>
    </row>
    <row r="959" spans="1:17" ht="16.5" thickTop="1" x14ac:dyDescent="0.25"/>
    <row r="960" spans="1:17" x14ac:dyDescent="0.25">
      <c r="A960" s="15" t="s">
        <v>121</v>
      </c>
      <c r="F960" s="100"/>
      <c r="G960" s="100"/>
      <c r="K960" s="100"/>
      <c r="L960" s="100"/>
      <c r="M960" s="100"/>
      <c r="O960" s="207"/>
      <c r="P960" s="207"/>
    </row>
    <row r="961" spans="1:16" x14ac:dyDescent="0.25">
      <c r="A961" s="19" t="s">
        <v>69</v>
      </c>
      <c r="C961" s="6">
        <v>19779189.087820396</v>
      </c>
      <c r="D961" s="6">
        <v>44585441.124639124</v>
      </c>
      <c r="E961" s="24"/>
      <c r="F961" s="99"/>
      <c r="G961" s="26"/>
      <c r="J961" s="24"/>
      <c r="K961" s="25"/>
      <c r="L961" s="99">
        <v>22.156199999999998</v>
      </c>
      <c r="M961" s="26" t="s">
        <v>18</v>
      </c>
      <c r="N961" s="7">
        <f t="shared" ref="N961:N968" si="166">ROUND($D961*L961/100,0)</f>
        <v>9878440</v>
      </c>
      <c r="O961" s="206"/>
      <c r="P961" s="59"/>
    </row>
    <row r="962" spans="1:16" x14ac:dyDescent="0.25">
      <c r="A962" s="19" t="s">
        <v>70</v>
      </c>
      <c r="C962" s="6">
        <v>35655696.16045028</v>
      </c>
      <c r="D962" s="6">
        <v>80754202</v>
      </c>
      <c r="E962" s="24"/>
      <c r="F962" s="99"/>
      <c r="G962" s="26"/>
      <c r="J962" s="24"/>
      <c r="K962" s="25"/>
      <c r="L962" s="99">
        <v>4.309899999999999</v>
      </c>
      <c r="M962" s="26" t="s">
        <v>18</v>
      </c>
      <c r="N962" s="7">
        <f t="shared" si="166"/>
        <v>3480425</v>
      </c>
      <c r="O962" s="206"/>
      <c r="P962" s="59"/>
    </row>
    <row r="963" spans="1:16" x14ac:dyDescent="0.25">
      <c r="A963" s="19" t="s">
        <v>71</v>
      </c>
      <c r="C963" s="6">
        <v>34405474.716320619</v>
      </c>
      <c r="D963" s="6">
        <v>73546803</v>
      </c>
      <c r="E963" s="24"/>
      <c r="F963" s="99"/>
      <c r="G963" s="26"/>
      <c r="J963" s="24"/>
      <c r="K963" s="25"/>
      <c r="L963" s="99">
        <v>19.607299999999999</v>
      </c>
      <c r="M963" s="26" t="s">
        <v>18</v>
      </c>
      <c r="N963" s="7">
        <f t="shared" si="166"/>
        <v>14420542</v>
      </c>
      <c r="O963" s="206"/>
      <c r="P963" s="59"/>
    </row>
    <row r="964" spans="1:16" x14ac:dyDescent="0.25">
      <c r="A964" s="19" t="s">
        <v>72</v>
      </c>
      <c r="C964" s="6">
        <v>72036642.888999879</v>
      </c>
      <c r="D964" s="6">
        <v>153778261</v>
      </c>
      <c r="E964" s="24"/>
      <c r="F964" s="99"/>
      <c r="G964" s="26"/>
      <c r="J964" s="24"/>
      <c r="K964" s="25"/>
      <c r="L964" s="99">
        <v>3.8140999999999989</v>
      </c>
      <c r="M964" s="26" t="s">
        <v>18</v>
      </c>
      <c r="N964" s="7">
        <f t="shared" si="166"/>
        <v>5865257</v>
      </c>
      <c r="O964" s="206"/>
      <c r="P964" s="59"/>
    </row>
    <row r="965" spans="1:16" x14ac:dyDescent="0.25">
      <c r="A965" s="19" t="s">
        <v>73</v>
      </c>
      <c r="C965" s="6">
        <v>28929914.642585691</v>
      </c>
      <c r="D965" s="6">
        <v>65422495.124639124</v>
      </c>
      <c r="E965" s="24"/>
      <c r="F965" s="99"/>
      <c r="G965" s="26"/>
      <c r="J965" s="24"/>
      <c r="K965" s="25"/>
      <c r="L965" s="105">
        <v>6</v>
      </c>
      <c r="M965" s="26" t="s">
        <v>18</v>
      </c>
      <c r="N965" s="7">
        <f t="shared" si="166"/>
        <v>3925350</v>
      </c>
      <c r="O965" s="209"/>
      <c r="P965" s="59"/>
    </row>
    <row r="966" spans="1:16" x14ac:dyDescent="0.25">
      <c r="A966" s="19" t="s">
        <v>74</v>
      </c>
      <c r="C966" s="6">
        <v>26504970.605684984</v>
      </c>
      <c r="D966" s="6">
        <v>59917149</v>
      </c>
      <c r="E966" s="24"/>
      <c r="F966" s="99"/>
      <c r="G966" s="26"/>
      <c r="J966" s="24"/>
      <c r="K966" s="25"/>
      <c r="L966" s="99">
        <v>-2.335799999999999</v>
      </c>
      <c r="M966" s="26" t="s">
        <v>18</v>
      </c>
      <c r="N966" s="7">
        <f t="shared" si="166"/>
        <v>-1399545</v>
      </c>
      <c r="O966" s="206"/>
      <c r="P966" s="59"/>
    </row>
    <row r="967" spans="1:16" x14ac:dyDescent="0.25">
      <c r="A967" s="19" t="s">
        <v>75</v>
      </c>
      <c r="C967" s="6">
        <v>58020904.957487509</v>
      </c>
      <c r="D967" s="6">
        <v>124025012</v>
      </c>
      <c r="E967" s="24"/>
      <c r="F967" s="99"/>
      <c r="G967" s="26"/>
      <c r="J967" s="24"/>
      <c r="K967" s="25"/>
      <c r="L967" s="105">
        <v>5.3097000000000003</v>
      </c>
      <c r="M967" s="26" t="s">
        <v>18</v>
      </c>
      <c r="N967" s="7">
        <f t="shared" si="166"/>
        <v>6585356</v>
      </c>
      <c r="O967" s="209"/>
      <c r="P967" s="59"/>
    </row>
    <row r="968" spans="1:16" x14ac:dyDescent="0.25">
      <c r="A968" s="19" t="s">
        <v>76</v>
      </c>
      <c r="C968" s="6">
        <v>48421212.647832997</v>
      </c>
      <c r="D968" s="6">
        <v>103300051</v>
      </c>
      <c r="E968" s="24"/>
      <c r="F968" s="99"/>
      <c r="G968" s="26"/>
      <c r="J968" s="24"/>
      <c r="K968" s="25"/>
      <c r="L968" s="99">
        <v>-2.0670999999999999</v>
      </c>
      <c r="M968" s="26" t="s">
        <v>18</v>
      </c>
      <c r="N968" s="7">
        <f t="shared" si="166"/>
        <v>-2135315</v>
      </c>
      <c r="O968" s="206"/>
      <c r="P968" s="59"/>
    </row>
    <row r="969" spans="1:16" x14ac:dyDescent="0.25">
      <c r="A969" s="19" t="s">
        <v>68</v>
      </c>
      <c r="C969" s="6">
        <v>30591.066666666738</v>
      </c>
      <c r="D969" s="6">
        <v>31870</v>
      </c>
      <c r="F969" s="20">
        <v>54</v>
      </c>
      <c r="G969" s="20"/>
      <c r="H969" s="7">
        <f t="shared" ref="H969:I972" si="167">ROUND($F969*C969,0)</f>
        <v>1651918</v>
      </c>
      <c r="I969" s="7">
        <f t="shared" si="167"/>
        <v>1720980</v>
      </c>
      <c r="K969" s="20"/>
      <c r="L969" s="20">
        <f>L672</f>
        <v>53</v>
      </c>
      <c r="M969" s="20"/>
      <c r="N969" s="7">
        <f>ROUND($D969*L969,0)</f>
        <v>1689110</v>
      </c>
      <c r="O969" s="55"/>
      <c r="P969" s="55"/>
    </row>
    <row r="970" spans="1:16" x14ac:dyDescent="0.25">
      <c r="A970" s="19" t="s">
        <v>122</v>
      </c>
      <c r="C970" s="6">
        <v>1056197.9999999977</v>
      </c>
      <c r="D970" s="6">
        <v>1149761</v>
      </c>
      <c r="E970" s="24"/>
      <c r="F970" s="20">
        <v>6.52</v>
      </c>
      <c r="G970" s="20"/>
      <c r="H970" s="7">
        <f t="shared" si="167"/>
        <v>6886411</v>
      </c>
      <c r="I970" s="7">
        <f t="shared" si="167"/>
        <v>7496442</v>
      </c>
      <c r="J970" s="24"/>
      <c r="K970" s="20"/>
      <c r="L970" s="20"/>
      <c r="M970" s="20"/>
      <c r="O970" s="55"/>
      <c r="P970" s="55"/>
    </row>
    <row r="971" spans="1:16" x14ac:dyDescent="0.25">
      <c r="A971" s="19" t="s">
        <v>123</v>
      </c>
      <c r="C971" s="6">
        <v>1254506.3692870212</v>
      </c>
      <c r="D971" s="6">
        <v>1365599</v>
      </c>
      <c r="E971" s="24"/>
      <c r="F971" s="20">
        <v>5.47</v>
      </c>
      <c r="G971" s="20"/>
      <c r="H971" s="7">
        <f t="shared" si="167"/>
        <v>6862150</v>
      </c>
      <c r="I971" s="7">
        <f t="shared" si="167"/>
        <v>7469827</v>
      </c>
      <c r="J971" s="24"/>
      <c r="K971" s="20"/>
      <c r="L971" s="20"/>
      <c r="M971" s="20"/>
      <c r="O971" s="55"/>
      <c r="P971" s="55"/>
    </row>
    <row r="972" spans="1:16" x14ac:dyDescent="0.25">
      <c r="A972" s="19" t="s">
        <v>77</v>
      </c>
      <c r="C972" s="6">
        <v>188556.63934426199</v>
      </c>
      <c r="D972" s="6">
        <v>203454</v>
      </c>
      <c r="E972" s="24"/>
      <c r="F972" s="20">
        <v>-0.61</v>
      </c>
      <c r="G972" s="20"/>
      <c r="H972" s="7">
        <f t="shared" si="167"/>
        <v>-115020</v>
      </c>
      <c r="I972" s="7">
        <f t="shared" si="167"/>
        <v>-124107</v>
      </c>
      <c r="J972" s="24"/>
      <c r="K972" s="20"/>
      <c r="L972" s="20">
        <f>F972</f>
        <v>-0.61</v>
      </c>
      <c r="M972" s="20"/>
      <c r="N972" s="7">
        <f>ROUND($D972*L972,0)</f>
        <v>-124107</v>
      </c>
      <c r="O972" s="55"/>
      <c r="P972" s="55"/>
    </row>
    <row r="973" spans="1:16" x14ac:dyDescent="0.25">
      <c r="A973" s="19" t="s">
        <v>25</v>
      </c>
      <c r="C973" s="6">
        <v>72211859.805493146</v>
      </c>
      <c r="D973" s="6">
        <v>79326838.124639124</v>
      </c>
      <c r="E973" s="24"/>
      <c r="F973" s="25">
        <v>11.926600000000001</v>
      </c>
      <c r="G973" s="26" t="s">
        <v>18</v>
      </c>
      <c r="H973" s="7">
        <f t="shared" ref="H973:I977" si="168">ROUND($F973*C973/100,0)</f>
        <v>8612420</v>
      </c>
      <c r="I973" s="7">
        <f t="shared" si="168"/>
        <v>9460995</v>
      </c>
      <c r="J973" s="24"/>
      <c r="K973" s="25"/>
      <c r="L973" s="25"/>
      <c r="M973" s="26"/>
      <c r="O973" s="58"/>
      <c r="P973" s="59"/>
    </row>
    <row r="974" spans="1:16" x14ac:dyDescent="0.25">
      <c r="A974" s="19" t="s">
        <v>26</v>
      </c>
      <c r="C974" s="6">
        <v>63753636.726301193</v>
      </c>
      <c r="D974" s="6">
        <v>70006450</v>
      </c>
      <c r="E974" s="24"/>
      <c r="F974" s="25">
        <v>3.5908000000000002</v>
      </c>
      <c r="G974" s="26" t="s">
        <v>18</v>
      </c>
      <c r="H974" s="7">
        <f t="shared" si="168"/>
        <v>2289266</v>
      </c>
      <c r="I974" s="7">
        <f t="shared" si="168"/>
        <v>2513792</v>
      </c>
      <c r="J974" s="24"/>
      <c r="K974" s="25"/>
      <c r="L974" s="25"/>
      <c r="M974" s="26"/>
      <c r="O974" s="58"/>
      <c r="P974" s="59"/>
    </row>
    <row r="975" spans="1:16" x14ac:dyDescent="0.25">
      <c r="A975" s="19" t="s">
        <v>124</v>
      </c>
      <c r="C975" s="6">
        <v>101525113.29458006</v>
      </c>
      <c r="D975" s="6">
        <v>110209144</v>
      </c>
      <c r="E975" s="24"/>
      <c r="F975" s="25">
        <v>9.9693000000000005</v>
      </c>
      <c r="G975" s="26" t="s">
        <v>18</v>
      </c>
      <c r="H975" s="7">
        <f t="shared" si="168"/>
        <v>10121343</v>
      </c>
      <c r="I975" s="7">
        <f t="shared" si="168"/>
        <v>10987080</v>
      </c>
      <c r="J975" s="24"/>
      <c r="K975" s="25"/>
      <c r="L975" s="25"/>
      <c r="M975" s="26"/>
      <c r="O975" s="58"/>
      <c r="P975" s="59"/>
    </row>
    <row r="976" spans="1:16" x14ac:dyDescent="0.25">
      <c r="A976" s="19" t="s">
        <v>125</v>
      </c>
      <c r="C976" s="6">
        <v>85966694.527216792</v>
      </c>
      <c r="D976" s="6">
        <v>93122275</v>
      </c>
      <c r="E976" s="24"/>
      <c r="F976" s="25">
        <v>3.0059999999999998</v>
      </c>
      <c r="G976" s="26" t="s">
        <v>18</v>
      </c>
      <c r="H976" s="7">
        <f t="shared" si="168"/>
        <v>2584159</v>
      </c>
      <c r="I976" s="7">
        <f t="shared" si="168"/>
        <v>2799256</v>
      </c>
      <c r="J976" s="24"/>
      <c r="K976" s="25"/>
      <c r="L976" s="25"/>
      <c r="M976" s="26"/>
      <c r="O976" s="58"/>
      <c r="P976" s="59"/>
    </row>
    <row r="977" spans="1:17" x14ac:dyDescent="0.25">
      <c r="A977" s="32" t="s">
        <v>32</v>
      </c>
      <c r="C977" s="6">
        <v>26996026</v>
      </c>
      <c r="D977" s="6">
        <v>29568815</v>
      </c>
      <c r="F977" s="100">
        <v>7.125</v>
      </c>
      <c r="G977" s="26" t="s">
        <v>18</v>
      </c>
      <c r="H977" s="7">
        <f t="shared" si="168"/>
        <v>1923467</v>
      </c>
      <c r="I977" s="7">
        <f t="shared" si="168"/>
        <v>2106778</v>
      </c>
      <c r="K977" s="25"/>
      <c r="L977" s="100">
        <f>F977</f>
        <v>7.125</v>
      </c>
      <c r="M977" s="26" t="s">
        <v>18</v>
      </c>
      <c r="N977" s="7">
        <f>ROUND($D977*L977/100,0)</f>
        <v>2106778</v>
      </c>
      <c r="O977" s="207"/>
      <c r="P977" s="59"/>
    </row>
    <row r="978" spans="1:17" x14ac:dyDescent="0.25">
      <c r="A978" s="19" t="s">
        <v>33</v>
      </c>
      <c r="C978" s="36">
        <v>662780</v>
      </c>
      <c r="D978" s="36">
        <v>0</v>
      </c>
      <c r="H978" s="37">
        <f>H1002+H1026+H1050</f>
        <v>97502</v>
      </c>
      <c r="I978" s="37">
        <f t="shared" ref="I978" si="169">I1002+I1026+I1050</f>
        <v>0</v>
      </c>
      <c r="N978" s="37"/>
      <c r="Q978" s="64"/>
    </row>
    <row r="979" spans="1:17" x14ac:dyDescent="0.25">
      <c r="A979" s="19" t="s">
        <v>34</v>
      </c>
      <c r="F979" s="23">
        <v>-4.99E-2</v>
      </c>
      <c r="G979" s="24"/>
      <c r="H979" s="7">
        <f>SUM(H973:H977)*$F979</f>
        <v>-1273979.6845</v>
      </c>
      <c r="I979" s="7">
        <f>SUM(I973:I977)*$F979</f>
        <v>-1390608.2598999999</v>
      </c>
      <c r="K979" s="93" t="str">
        <f>$K$43</f>
        <v>TAA 1 (1/1/2021)</v>
      </c>
      <c r="L979" s="23">
        <v>-2.9100000000000001E-2</v>
      </c>
      <c r="M979" s="24"/>
      <c r="N979" s="7">
        <f>L979*SUM(N961:N964,N977)</f>
        <v>-1040366.9622000001</v>
      </c>
      <c r="O979" s="65"/>
      <c r="P979" s="57"/>
    </row>
    <row r="980" spans="1:17" x14ac:dyDescent="0.25">
      <c r="A980" s="19"/>
      <c r="F980" s="23"/>
      <c r="G980" s="24"/>
      <c r="K980" s="93" t="str">
        <f>$K$44</f>
        <v>TAA 2 (1/1/2022)</v>
      </c>
      <c r="L980" s="23">
        <v>-1.46E-2</v>
      </c>
      <c r="M980" s="24"/>
      <c r="N980" s="7">
        <f>L980*SUM(N961:N964,N977)</f>
        <v>-521971.05320000002</v>
      </c>
      <c r="O980" s="65"/>
      <c r="P980" s="57"/>
    </row>
    <row r="981" spans="1:17" x14ac:dyDescent="0.25">
      <c r="A981" s="32" t="s">
        <v>35</v>
      </c>
      <c r="C981" s="6">
        <v>-1494890</v>
      </c>
      <c r="D981" s="6">
        <v>-1649518</v>
      </c>
      <c r="F981" s="23"/>
      <c r="G981" s="24"/>
      <c r="K981" s="23"/>
      <c r="L981" s="23"/>
      <c r="M981" s="24"/>
      <c r="O981" s="65"/>
      <c r="P981" s="57"/>
    </row>
    <row r="982" spans="1:17" ht="16.5" thickBot="1" x14ac:dyDescent="0.3">
      <c r="A982" s="19" t="s">
        <v>36</v>
      </c>
      <c r="C982" s="101">
        <v>349621220.3535912</v>
      </c>
      <c r="D982" s="101">
        <v>380584004.12463915</v>
      </c>
      <c r="F982" s="41"/>
      <c r="H982" s="95">
        <f>SUM(H969:H979)</f>
        <v>39639636.315499999</v>
      </c>
      <c r="I982" s="95">
        <f>SUM(I969:I979)</f>
        <v>43040434.740099996</v>
      </c>
      <c r="K982" s="41"/>
      <c r="L982" s="41"/>
      <c r="N982" s="40">
        <f>SUM(N961:N978)</f>
        <v>44292291</v>
      </c>
      <c r="O982" s="68"/>
      <c r="Q982" s="67"/>
    </row>
    <row r="983" spans="1:17" ht="16.5" thickTop="1" x14ac:dyDescent="0.25"/>
    <row r="984" spans="1:17" x14ac:dyDescent="0.25">
      <c r="A984" s="15" t="s">
        <v>126</v>
      </c>
      <c r="F984" s="100"/>
      <c r="G984" s="100"/>
      <c r="K984" s="100"/>
      <c r="L984" s="100"/>
      <c r="M984" s="100"/>
      <c r="O984" s="207"/>
      <c r="P984" s="207"/>
    </row>
    <row r="985" spans="1:17" x14ac:dyDescent="0.25">
      <c r="A985" s="19" t="s">
        <v>69</v>
      </c>
      <c r="C985" s="6">
        <v>195834</v>
      </c>
      <c r="D985" s="6">
        <v>476420</v>
      </c>
      <c r="E985" s="24"/>
      <c r="F985" s="99"/>
      <c r="G985" s="26"/>
      <c r="J985" s="24"/>
      <c r="K985" s="99"/>
      <c r="L985" s="99">
        <f t="shared" ref="L985:L993" si="170">L961</f>
        <v>22.156199999999998</v>
      </c>
      <c r="M985" s="26" t="s">
        <v>18</v>
      </c>
      <c r="N985" s="7">
        <f t="shared" ref="N985:N992" si="171">ROUND($D985*L985/100,0)</f>
        <v>105557</v>
      </c>
      <c r="O985" s="206"/>
      <c r="P985" s="59"/>
    </row>
    <row r="986" spans="1:17" x14ac:dyDescent="0.25">
      <c r="A986" s="19" t="s">
        <v>70</v>
      </c>
      <c r="C986" s="6">
        <v>1401051</v>
      </c>
      <c r="D986" s="6">
        <v>3408441</v>
      </c>
      <c r="E986" s="24"/>
      <c r="F986" s="99"/>
      <c r="G986" s="26"/>
      <c r="J986" s="24"/>
      <c r="K986" s="99"/>
      <c r="L986" s="99">
        <f t="shared" si="170"/>
        <v>4.309899999999999</v>
      </c>
      <c r="M986" s="26" t="s">
        <v>18</v>
      </c>
      <c r="N986" s="7">
        <f t="shared" si="171"/>
        <v>146900</v>
      </c>
      <c r="O986" s="206"/>
      <c r="P986" s="59"/>
    </row>
    <row r="987" spans="1:17" x14ac:dyDescent="0.25">
      <c r="A987" s="19" t="s">
        <v>71</v>
      </c>
      <c r="C987" s="6">
        <v>338106.98885443184</v>
      </c>
      <c r="D987" s="6">
        <v>714796</v>
      </c>
      <c r="E987" s="24"/>
      <c r="F987" s="99"/>
      <c r="G987" s="26"/>
      <c r="J987" s="24"/>
      <c r="K987" s="99"/>
      <c r="L987" s="99">
        <f t="shared" si="170"/>
        <v>19.607299999999999</v>
      </c>
      <c r="M987" s="26" t="s">
        <v>18</v>
      </c>
      <c r="N987" s="7">
        <f t="shared" si="171"/>
        <v>140152</v>
      </c>
      <c r="O987" s="206"/>
      <c r="P987" s="59"/>
    </row>
    <row r="988" spans="1:17" x14ac:dyDescent="0.25">
      <c r="A988" s="19" t="s">
        <v>72</v>
      </c>
      <c r="C988" s="6">
        <v>2623727.011145568</v>
      </c>
      <c r="D988" s="6">
        <v>5546852</v>
      </c>
      <c r="E988" s="24"/>
      <c r="F988" s="99"/>
      <c r="G988" s="26"/>
      <c r="J988" s="24"/>
      <c r="K988" s="99"/>
      <c r="L988" s="99">
        <f t="shared" si="170"/>
        <v>3.8140999999999989</v>
      </c>
      <c r="M988" s="26" t="s">
        <v>18</v>
      </c>
      <c r="N988" s="7">
        <f t="shared" si="171"/>
        <v>211562</v>
      </c>
      <c r="O988" s="206"/>
      <c r="P988" s="59"/>
    </row>
    <row r="989" spans="1:17" x14ac:dyDescent="0.25">
      <c r="A989" s="19" t="s">
        <v>73</v>
      </c>
      <c r="C989" s="6">
        <v>830941</v>
      </c>
      <c r="D989" s="6">
        <v>2021492</v>
      </c>
      <c r="E989" s="24"/>
      <c r="F989" s="99"/>
      <c r="G989" s="26"/>
      <c r="J989" s="24"/>
      <c r="K989" s="99"/>
      <c r="L989" s="99">
        <f t="shared" si="170"/>
        <v>6</v>
      </c>
      <c r="M989" s="26" t="s">
        <v>18</v>
      </c>
      <c r="N989" s="7">
        <f t="shared" si="171"/>
        <v>121290</v>
      </c>
      <c r="O989" s="206"/>
      <c r="P989" s="59"/>
    </row>
    <row r="990" spans="1:17" x14ac:dyDescent="0.25">
      <c r="A990" s="19" t="s">
        <v>74</v>
      </c>
      <c r="C990" s="6">
        <v>765944</v>
      </c>
      <c r="D990" s="6">
        <v>1863369</v>
      </c>
      <c r="E990" s="24"/>
      <c r="F990" s="99"/>
      <c r="G990" s="26"/>
      <c r="J990" s="24"/>
      <c r="K990" s="99"/>
      <c r="L990" s="99">
        <f t="shared" si="170"/>
        <v>-2.335799999999999</v>
      </c>
      <c r="M990" s="26" t="s">
        <v>18</v>
      </c>
      <c r="N990" s="7">
        <f t="shared" si="171"/>
        <v>-43525</v>
      </c>
      <c r="O990" s="206"/>
      <c r="P990" s="59"/>
    </row>
    <row r="991" spans="1:17" x14ac:dyDescent="0.25">
      <c r="A991" s="19" t="s">
        <v>75</v>
      </c>
      <c r="C991" s="6">
        <v>1469173.5</v>
      </c>
      <c r="D991" s="6">
        <v>3105997</v>
      </c>
      <c r="E991" s="24"/>
      <c r="F991" s="99"/>
      <c r="G991" s="26"/>
      <c r="J991" s="24"/>
      <c r="K991" s="99"/>
      <c r="L991" s="99">
        <f t="shared" si="170"/>
        <v>5.3097000000000003</v>
      </c>
      <c r="M991" s="26" t="s">
        <v>18</v>
      </c>
      <c r="N991" s="7">
        <f t="shared" si="171"/>
        <v>164919</v>
      </c>
      <c r="O991" s="206"/>
      <c r="P991" s="59"/>
    </row>
    <row r="992" spans="1:17" x14ac:dyDescent="0.25">
      <c r="A992" s="19" t="s">
        <v>76</v>
      </c>
      <c r="C992" s="6">
        <v>1492660.5</v>
      </c>
      <c r="D992" s="6">
        <v>3155651</v>
      </c>
      <c r="E992" s="24"/>
      <c r="F992" s="99"/>
      <c r="G992" s="26"/>
      <c r="J992" s="24"/>
      <c r="K992" s="99"/>
      <c r="L992" s="99">
        <f t="shared" si="170"/>
        <v>-2.0670999999999999</v>
      </c>
      <c r="M992" s="26" t="s">
        <v>18</v>
      </c>
      <c r="N992" s="7">
        <f t="shared" si="171"/>
        <v>-65230</v>
      </c>
      <c r="O992" s="206"/>
      <c r="P992" s="59"/>
    </row>
    <row r="993" spans="1:17" x14ac:dyDescent="0.25">
      <c r="A993" s="19" t="s">
        <v>68</v>
      </c>
      <c r="C993" s="6">
        <v>336.86666666666702</v>
      </c>
      <c r="D993" s="6">
        <v>348</v>
      </c>
      <c r="F993" s="24">
        <v>54</v>
      </c>
      <c r="G993" s="24"/>
      <c r="H993" s="7">
        <f t="shared" ref="H993:I996" si="172">ROUND($F993*C993,0)</f>
        <v>18191</v>
      </c>
      <c r="I993" s="7">
        <f t="shared" si="172"/>
        <v>18792</v>
      </c>
      <c r="K993" s="20"/>
      <c r="L993" s="20">
        <f t="shared" si="170"/>
        <v>53</v>
      </c>
      <c r="M993" s="20"/>
      <c r="N993" s="7">
        <f>ROUND($D993*L993,0)</f>
        <v>18444</v>
      </c>
      <c r="O993" s="55"/>
      <c r="P993" s="55"/>
    </row>
    <row r="994" spans="1:17" x14ac:dyDescent="0.25">
      <c r="A994" s="19" t="s">
        <v>122</v>
      </c>
      <c r="C994" s="6">
        <v>10419.506134969301</v>
      </c>
      <c r="D994" s="6">
        <v>11530</v>
      </c>
      <c r="F994" s="24">
        <v>6.52</v>
      </c>
      <c r="G994" s="24"/>
      <c r="H994" s="7">
        <f t="shared" si="172"/>
        <v>67935</v>
      </c>
      <c r="I994" s="7">
        <f t="shared" si="172"/>
        <v>75176</v>
      </c>
      <c r="K994" s="24"/>
      <c r="L994" s="24"/>
      <c r="M994" s="24"/>
      <c r="O994" s="57"/>
      <c r="P994" s="57"/>
    </row>
    <row r="995" spans="1:17" x14ac:dyDescent="0.25">
      <c r="A995" s="19" t="s">
        <v>123</v>
      </c>
      <c r="C995" s="6">
        <v>12416.2285191956</v>
      </c>
      <c r="D995" s="6">
        <v>13740</v>
      </c>
      <c r="F995" s="24">
        <v>5.47</v>
      </c>
      <c r="G995" s="24"/>
      <c r="H995" s="7">
        <f t="shared" si="172"/>
        <v>67917</v>
      </c>
      <c r="I995" s="7">
        <f t="shared" si="172"/>
        <v>75158</v>
      </c>
      <c r="K995" s="24"/>
      <c r="L995" s="24"/>
      <c r="M995" s="24"/>
      <c r="O995" s="57"/>
      <c r="P995" s="57"/>
    </row>
    <row r="996" spans="1:17" x14ac:dyDescent="0.25">
      <c r="A996" s="19" t="s">
        <v>77</v>
      </c>
      <c r="C996" s="6">
        <v>0</v>
      </c>
      <c r="D996" s="6">
        <v>0</v>
      </c>
      <c r="E996" s="24"/>
      <c r="F996" s="24">
        <v>-0.61</v>
      </c>
      <c r="G996" s="24"/>
      <c r="H996" s="7">
        <f t="shared" si="172"/>
        <v>0</v>
      </c>
      <c r="I996" s="7">
        <f t="shared" si="172"/>
        <v>0</v>
      </c>
      <c r="J996" s="24"/>
      <c r="K996" s="24"/>
      <c r="L996" s="24">
        <f t="shared" ref="L996" si="173">L972</f>
        <v>-0.61</v>
      </c>
      <c r="M996" s="24"/>
      <c r="N996" s="7">
        <f>ROUND($D996*L996,0)</f>
        <v>0</v>
      </c>
      <c r="O996" s="57"/>
      <c r="P996" s="57"/>
    </row>
    <row r="997" spans="1:17" x14ac:dyDescent="0.25">
      <c r="A997" s="19" t="s">
        <v>25</v>
      </c>
      <c r="C997" s="6">
        <v>2029544</v>
      </c>
      <c r="D997" s="6">
        <v>2379892</v>
      </c>
      <c r="E997" s="24"/>
      <c r="F997" s="99">
        <v>11.926600000000001</v>
      </c>
      <c r="G997" s="26" t="s">
        <v>18</v>
      </c>
      <c r="H997" s="7">
        <f t="shared" ref="H997:I1001" si="174">ROUND($F997*C997/100,0)</f>
        <v>242056</v>
      </c>
      <c r="I997" s="7">
        <f t="shared" si="174"/>
        <v>283840</v>
      </c>
      <c r="J997" s="24"/>
      <c r="K997" s="99"/>
      <c r="L997" s="99"/>
      <c r="M997" s="26"/>
      <c r="O997" s="206"/>
      <c r="P997" s="59"/>
    </row>
    <row r="998" spans="1:17" x14ac:dyDescent="0.25">
      <c r="A998" s="19" t="s">
        <v>26</v>
      </c>
      <c r="C998" s="6">
        <v>1892228</v>
      </c>
      <c r="D998" s="6">
        <v>2218872</v>
      </c>
      <c r="E998" s="24"/>
      <c r="F998" s="99">
        <v>3.5908000000000002</v>
      </c>
      <c r="G998" s="26" t="s">
        <v>18</v>
      </c>
      <c r="H998" s="7">
        <f t="shared" si="174"/>
        <v>67946</v>
      </c>
      <c r="I998" s="7">
        <f t="shared" si="174"/>
        <v>79675</v>
      </c>
      <c r="J998" s="24"/>
      <c r="K998" s="99"/>
      <c r="L998" s="99"/>
      <c r="M998" s="26"/>
      <c r="O998" s="206"/>
      <c r="P998" s="59"/>
    </row>
    <row r="999" spans="1:17" x14ac:dyDescent="0.25">
      <c r="A999" s="19" t="s">
        <v>124</v>
      </c>
      <c r="C999" s="6">
        <v>2570685</v>
      </c>
      <c r="D999" s="6">
        <v>2744885</v>
      </c>
      <c r="E999" s="24"/>
      <c r="F999" s="99">
        <v>9.9693000000000005</v>
      </c>
      <c r="G999" s="26" t="s">
        <v>18</v>
      </c>
      <c r="H999" s="7">
        <f t="shared" si="174"/>
        <v>256279</v>
      </c>
      <c r="I999" s="7">
        <f t="shared" si="174"/>
        <v>273646</v>
      </c>
      <c r="J999" s="24"/>
      <c r="K999" s="99"/>
      <c r="L999" s="99"/>
      <c r="M999" s="26"/>
      <c r="O999" s="206"/>
      <c r="P999" s="59"/>
    </row>
    <row r="1000" spans="1:17" x14ac:dyDescent="0.25">
      <c r="A1000" s="19" t="s">
        <v>125</v>
      </c>
      <c r="C1000" s="6">
        <v>2624981</v>
      </c>
      <c r="D1000" s="6">
        <v>2802860</v>
      </c>
      <c r="E1000" s="24"/>
      <c r="F1000" s="99">
        <v>3.0059999999999998</v>
      </c>
      <c r="G1000" s="26" t="s">
        <v>18</v>
      </c>
      <c r="H1000" s="7">
        <f t="shared" si="174"/>
        <v>78907</v>
      </c>
      <c r="I1000" s="7">
        <f t="shared" si="174"/>
        <v>84254</v>
      </c>
      <c r="J1000" s="24"/>
      <c r="K1000" s="99"/>
      <c r="L1000" s="99"/>
      <c r="M1000" s="26"/>
      <c r="O1000" s="206"/>
      <c r="P1000" s="59"/>
    </row>
    <row r="1001" spans="1:17" x14ac:dyDescent="0.25">
      <c r="A1001" s="32" t="s">
        <v>32</v>
      </c>
      <c r="C1001" s="6">
        <v>0</v>
      </c>
      <c r="D1001" s="6">
        <v>0</v>
      </c>
      <c r="F1001" s="100">
        <v>7.125</v>
      </c>
      <c r="G1001" s="26" t="s">
        <v>18</v>
      </c>
      <c r="H1001" s="7">
        <f t="shared" si="174"/>
        <v>0</v>
      </c>
      <c r="I1001" s="7">
        <f t="shared" si="174"/>
        <v>0</v>
      </c>
      <c r="K1001" s="100"/>
      <c r="L1001" s="100">
        <f t="shared" ref="L1001" si="175">L977</f>
        <v>7.125</v>
      </c>
      <c r="M1001" s="26" t="s">
        <v>18</v>
      </c>
      <c r="N1001" s="7">
        <f>ROUND($D1001*L1001/100,0)</f>
        <v>0</v>
      </c>
      <c r="O1001" s="207"/>
      <c r="P1001" s="59"/>
    </row>
    <row r="1002" spans="1:17" x14ac:dyDescent="0.25">
      <c r="A1002" s="19" t="s">
        <v>33</v>
      </c>
      <c r="C1002" s="36">
        <v>51579</v>
      </c>
      <c r="D1002" s="36">
        <v>0</v>
      </c>
      <c r="H1002" s="37">
        <v>4715</v>
      </c>
      <c r="I1002" s="37">
        <v>0</v>
      </c>
      <c r="N1002" s="37"/>
      <c r="Q1002" s="64"/>
    </row>
    <row r="1003" spans="1:17" x14ac:dyDescent="0.25">
      <c r="A1003" s="19" t="s">
        <v>34</v>
      </c>
      <c r="F1003" s="23">
        <v>-4.99E-2</v>
      </c>
      <c r="G1003" s="24"/>
      <c r="H1003" s="7">
        <f>SUM(H997:H1001)*$F1003</f>
        <v>-32194.8812</v>
      </c>
      <c r="I1003" s="7">
        <f>SUM(I997:I1001)*$F1003</f>
        <v>-35998.608500000002</v>
      </c>
      <c r="K1003" s="93" t="str">
        <f>$K$43</f>
        <v>TAA 1 (1/1/2021)</v>
      </c>
      <c r="L1003" s="23">
        <f>$L$979</f>
        <v>-2.9100000000000001E-2</v>
      </c>
      <c r="M1003" s="24"/>
      <c r="N1003" s="7">
        <f>L1003*SUM(N985:N988,N1001)</f>
        <v>-17581.376100000001</v>
      </c>
      <c r="O1003" s="65"/>
      <c r="P1003" s="57"/>
    </row>
    <row r="1004" spans="1:17" x14ac:dyDescent="0.25">
      <c r="A1004" s="19"/>
      <c r="F1004" s="23"/>
      <c r="G1004" s="24"/>
      <c r="K1004" s="93" t="str">
        <f>$K$44</f>
        <v>TAA 2 (1/1/2022)</v>
      </c>
      <c r="L1004" s="23">
        <f>$L$980</f>
        <v>-1.46E-2</v>
      </c>
      <c r="M1004" s="24"/>
      <c r="N1004" s="7">
        <f>L1004*SUM(N985:N988,N1001)</f>
        <v>-8820.8966</v>
      </c>
      <c r="O1004" s="65"/>
      <c r="P1004" s="57"/>
    </row>
    <row r="1005" spans="1:17" x14ac:dyDescent="0.25">
      <c r="A1005" s="32" t="s">
        <v>35</v>
      </c>
      <c r="C1005" s="6">
        <v>0</v>
      </c>
      <c r="D1005" s="6">
        <v>0</v>
      </c>
      <c r="F1005" s="23"/>
      <c r="G1005" s="24"/>
      <c r="K1005" s="23"/>
      <c r="L1005" s="23"/>
      <c r="M1005" s="24"/>
      <c r="O1005" s="65"/>
      <c r="P1005" s="57"/>
    </row>
    <row r="1006" spans="1:17" ht="16.5" thickBot="1" x14ac:dyDescent="0.3">
      <c r="A1006" s="19" t="s">
        <v>36</v>
      </c>
      <c r="C1006" s="101">
        <v>9169017</v>
      </c>
      <c r="D1006" s="101">
        <v>10146509</v>
      </c>
      <c r="E1006" s="24"/>
      <c r="F1006" s="41"/>
      <c r="H1006" s="95">
        <f>SUM(H993:H1003)</f>
        <v>771751.11880000005</v>
      </c>
      <c r="I1006" s="95">
        <f>SUM(I993:I1003)</f>
        <v>854542.39150000003</v>
      </c>
      <c r="J1006" s="24"/>
      <c r="K1006" s="41"/>
      <c r="L1006" s="41"/>
      <c r="N1006" s="95">
        <f>SUM(N985:N1002)</f>
        <v>800069</v>
      </c>
      <c r="O1006" s="68"/>
      <c r="Q1006" s="208"/>
    </row>
    <row r="1007" spans="1:17" ht="16.5" thickTop="1" x14ac:dyDescent="0.25">
      <c r="E1007" s="24"/>
      <c r="J1007" s="24"/>
    </row>
    <row r="1008" spans="1:17" x14ac:dyDescent="0.25">
      <c r="A1008" s="15" t="s">
        <v>127</v>
      </c>
      <c r="F1008" s="100"/>
      <c r="G1008" s="100"/>
      <c r="K1008" s="100"/>
      <c r="L1008" s="100"/>
      <c r="M1008" s="100"/>
      <c r="O1008" s="207"/>
      <c r="P1008" s="207"/>
    </row>
    <row r="1009" spans="1:16" x14ac:dyDescent="0.25">
      <c r="A1009" s="19" t="s">
        <v>69</v>
      </c>
      <c r="C1009" s="6">
        <v>16432592.288788307</v>
      </c>
      <c r="D1009" s="6">
        <v>36693479.025227547</v>
      </c>
      <c r="E1009" s="24"/>
      <c r="F1009" s="99"/>
      <c r="G1009" s="26"/>
      <c r="J1009" s="24"/>
      <c r="K1009" s="99"/>
      <c r="L1009" s="99">
        <f t="shared" ref="L1009:L1017" si="176">L961</f>
        <v>22.156199999999998</v>
      </c>
      <c r="M1009" s="26" t="s">
        <v>18</v>
      </c>
      <c r="N1009" s="7">
        <f t="shared" ref="N1009:N1016" si="177">ROUND($D1009*L1009/100,0)</f>
        <v>8129881</v>
      </c>
      <c r="O1009" s="206"/>
      <c r="P1009" s="59"/>
    </row>
    <row r="1010" spans="1:16" x14ac:dyDescent="0.25">
      <c r="A1010" s="19" t="s">
        <v>70</v>
      </c>
      <c r="C1010" s="6">
        <v>27155370.959482368</v>
      </c>
      <c r="D1010" s="6">
        <v>60637118</v>
      </c>
      <c r="E1010" s="24"/>
      <c r="F1010" s="99"/>
      <c r="G1010" s="26"/>
      <c r="J1010" s="24"/>
      <c r="K1010" s="99"/>
      <c r="L1010" s="99">
        <f t="shared" si="176"/>
        <v>4.309899999999999</v>
      </c>
      <c r="M1010" s="26" t="s">
        <v>18</v>
      </c>
      <c r="N1010" s="7">
        <f t="shared" si="177"/>
        <v>2613399</v>
      </c>
      <c r="O1010" s="206"/>
      <c r="P1010" s="59"/>
    </row>
    <row r="1011" spans="1:16" x14ac:dyDescent="0.25">
      <c r="A1011" s="19" t="s">
        <v>71</v>
      </c>
      <c r="C1011" s="6">
        <v>28847444.946726855</v>
      </c>
      <c r="D1011" s="6">
        <v>61197596</v>
      </c>
      <c r="E1011" s="24"/>
      <c r="F1011" s="99"/>
      <c r="G1011" s="26"/>
      <c r="J1011" s="24"/>
      <c r="K1011" s="99"/>
      <c r="L1011" s="99">
        <f t="shared" si="176"/>
        <v>19.607299999999999</v>
      </c>
      <c r="M1011" s="26" t="s">
        <v>18</v>
      </c>
      <c r="N1011" s="7">
        <f t="shared" si="177"/>
        <v>11999196</v>
      </c>
      <c r="O1011" s="206"/>
      <c r="P1011" s="59"/>
    </row>
    <row r="1012" spans="1:16" x14ac:dyDescent="0.25">
      <c r="A1012" s="19" t="s">
        <v>72</v>
      </c>
      <c r="C1012" s="6">
        <v>60315072.658593655</v>
      </c>
      <c r="D1012" s="6">
        <v>127953706</v>
      </c>
      <c r="E1012" s="24"/>
      <c r="F1012" s="99"/>
      <c r="G1012" s="26"/>
      <c r="J1012" s="24"/>
      <c r="K1012" s="99"/>
      <c r="L1012" s="99">
        <f t="shared" si="176"/>
        <v>3.8140999999999989</v>
      </c>
      <c r="M1012" s="26" t="s">
        <v>18</v>
      </c>
      <c r="N1012" s="7">
        <f t="shared" si="177"/>
        <v>4880282</v>
      </c>
      <c r="O1012" s="206"/>
      <c r="P1012" s="59"/>
    </row>
    <row r="1013" spans="1:16" x14ac:dyDescent="0.25">
      <c r="A1013" s="19" t="s">
        <v>73</v>
      </c>
      <c r="C1013" s="6">
        <v>22652511.642585691</v>
      </c>
      <c r="D1013" s="6">
        <v>50582370.025227547</v>
      </c>
      <c r="E1013" s="24"/>
      <c r="F1013" s="99"/>
      <c r="G1013" s="26"/>
      <c r="J1013" s="24"/>
      <c r="K1013" s="99"/>
      <c r="L1013" s="99">
        <f t="shared" si="176"/>
        <v>6</v>
      </c>
      <c r="M1013" s="26" t="s">
        <v>18</v>
      </c>
      <c r="N1013" s="7">
        <f t="shared" si="177"/>
        <v>3034942</v>
      </c>
      <c r="O1013" s="206"/>
      <c r="P1013" s="59"/>
    </row>
    <row r="1014" spans="1:16" x14ac:dyDescent="0.25">
      <c r="A1014" s="19" t="s">
        <v>74</v>
      </c>
      <c r="C1014" s="6">
        <v>20935451.605684984</v>
      </c>
      <c r="D1014" s="6">
        <v>46748227</v>
      </c>
      <c r="E1014" s="24"/>
      <c r="F1014" s="99"/>
      <c r="G1014" s="26"/>
      <c r="J1014" s="24"/>
      <c r="K1014" s="99"/>
      <c r="L1014" s="99">
        <f t="shared" si="176"/>
        <v>-2.335799999999999</v>
      </c>
      <c r="M1014" s="26" t="s">
        <v>18</v>
      </c>
      <c r="N1014" s="7">
        <f t="shared" si="177"/>
        <v>-1091945</v>
      </c>
      <c r="O1014" s="206"/>
      <c r="P1014" s="59"/>
    </row>
    <row r="1015" spans="1:16" x14ac:dyDescent="0.25">
      <c r="A1015" s="19" t="s">
        <v>75</v>
      </c>
      <c r="C1015" s="6">
        <v>47718230.957487509</v>
      </c>
      <c r="D1015" s="6">
        <v>101230492</v>
      </c>
      <c r="E1015" s="24"/>
      <c r="F1015" s="99"/>
      <c r="G1015" s="26"/>
      <c r="J1015" s="24"/>
      <c r="K1015" s="99"/>
      <c r="L1015" s="99">
        <f t="shared" si="176"/>
        <v>5.3097000000000003</v>
      </c>
      <c r="M1015" s="26" t="s">
        <v>18</v>
      </c>
      <c r="N1015" s="7">
        <f t="shared" si="177"/>
        <v>5375035</v>
      </c>
      <c r="O1015" s="206"/>
      <c r="P1015" s="59"/>
    </row>
    <row r="1016" spans="1:16" x14ac:dyDescent="0.25">
      <c r="A1016" s="19" t="s">
        <v>76</v>
      </c>
      <c r="C1016" s="6">
        <v>41444286.647832997</v>
      </c>
      <c r="D1016" s="6">
        <v>87920810</v>
      </c>
      <c r="E1016" s="24"/>
      <c r="F1016" s="99"/>
      <c r="G1016" s="26"/>
      <c r="J1016" s="24"/>
      <c r="K1016" s="99"/>
      <c r="L1016" s="99">
        <f t="shared" si="176"/>
        <v>-2.0670999999999999</v>
      </c>
      <c r="M1016" s="26" t="s">
        <v>18</v>
      </c>
      <c r="N1016" s="7">
        <f t="shared" si="177"/>
        <v>-1817411</v>
      </c>
      <c r="O1016" s="206"/>
      <c r="P1016" s="59"/>
    </row>
    <row r="1017" spans="1:16" x14ac:dyDescent="0.25">
      <c r="A1017" s="19" t="s">
        <v>68</v>
      </c>
      <c r="C1017" s="6">
        <v>27150.133333333401</v>
      </c>
      <c r="D1017" s="6">
        <v>28366</v>
      </c>
      <c r="F1017" s="24">
        <v>54</v>
      </c>
      <c r="G1017" s="24"/>
      <c r="H1017" s="7">
        <f t="shared" ref="H1017:I1020" si="178">ROUND($F1017*C1017,0)</f>
        <v>1466107</v>
      </c>
      <c r="I1017" s="7">
        <f t="shared" si="178"/>
        <v>1531764</v>
      </c>
      <c r="K1017" s="24"/>
      <c r="L1017" s="24">
        <f t="shared" si="176"/>
        <v>53</v>
      </c>
      <c r="M1017" s="24"/>
      <c r="N1017" s="7">
        <f>ROUND($D1017*L1017,0)</f>
        <v>1503398</v>
      </c>
      <c r="O1017" s="57"/>
      <c r="P1017" s="57"/>
    </row>
    <row r="1018" spans="1:16" x14ac:dyDescent="0.25">
      <c r="A1018" s="19" t="s">
        <v>122</v>
      </c>
      <c r="C1018" s="6">
        <v>874539.542944783</v>
      </c>
      <c r="D1018" s="6">
        <v>939725</v>
      </c>
      <c r="F1018" s="24">
        <v>6.52</v>
      </c>
      <c r="G1018" s="24"/>
      <c r="H1018" s="7">
        <f t="shared" si="178"/>
        <v>5701998</v>
      </c>
      <c r="I1018" s="7">
        <f t="shared" si="178"/>
        <v>6127007</v>
      </c>
      <c r="K1018" s="24"/>
      <c r="L1018" s="24"/>
      <c r="M1018" s="24"/>
      <c r="O1018" s="57"/>
      <c r="P1018" s="57"/>
    </row>
    <row r="1019" spans="1:16" x14ac:dyDescent="0.25">
      <c r="A1019" s="19" t="s">
        <v>123</v>
      </c>
      <c r="C1019" s="6">
        <v>1039150.685557588</v>
      </c>
      <c r="D1019" s="6">
        <v>1116605</v>
      </c>
      <c r="F1019" s="24">
        <v>5.47</v>
      </c>
      <c r="G1019" s="24"/>
      <c r="H1019" s="7">
        <f t="shared" si="178"/>
        <v>5684154</v>
      </c>
      <c r="I1019" s="7">
        <f t="shared" si="178"/>
        <v>6107829</v>
      </c>
      <c r="K1019" s="24"/>
      <c r="L1019" s="24"/>
      <c r="M1019" s="24"/>
      <c r="O1019" s="57"/>
      <c r="P1019" s="57"/>
    </row>
    <row r="1020" spans="1:16" x14ac:dyDescent="0.25">
      <c r="A1020" s="19" t="s">
        <v>77</v>
      </c>
      <c r="C1020" s="6">
        <v>178611.63934426199</v>
      </c>
      <c r="D1020" s="6">
        <v>191925</v>
      </c>
      <c r="F1020" s="24">
        <v>-0.61</v>
      </c>
      <c r="G1020" s="24"/>
      <c r="H1020" s="7">
        <f t="shared" si="178"/>
        <v>-108953</v>
      </c>
      <c r="I1020" s="7">
        <f t="shared" si="178"/>
        <v>-117074</v>
      </c>
      <c r="K1020" s="24"/>
      <c r="L1020" s="24">
        <f t="shared" ref="L1020" si="179">L972</f>
        <v>-0.61</v>
      </c>
      <c r="M1020" s="24"/>
      <c r="N1020" s="7">
        <f>ROUND($D1020*L1020,0)</f>
        <v>-117074</v>
      </c>
      <c r="O1020" s="57"/>
      <c r="P1020" s="57"/>
    </row>
    <row r="1021" spans="1:16" x14ac:dyDescent="0.25">
      <c r="A1021" s="19" t="s">
        <v>25</v>
      </c>
      <c r="C1021" s="6">
        <v>56775991.805493139</v>
      </c>
      <c r="D1021" s="6">
        <v>61555077.025227547</v>
      </c>
      <c r="F1021" s="99">
        <v>11.926600000000001</v>
      </c>
      <c r="G1021" s="26" t="s">
        <v>18</v>
      </c>
      <c r="H1021" s="7">
        <f t="shared" ref="H1021:I1025" si="180">ROUND($F1021*C1021/100,0)</f>
        <v>6771445</v>
      </c>
      <c r="I1021" s="7">
        <f t="shared" si="180"/>
        <v>7341428</v>
      </c>
      <c r="K1021" s="99"/>
      <c r="L1021" s="99"/>
      <c r="M1021" s="26"/>
      <c r="O1021" s="206"/>
      <c r="P1021" s="59"/>
    </row>
    <row r="1022" spans="1:16" x14ac:dyDescent="0.25">
      <c r="A1022" s="19" t="s">
        <v>26</v>
      </c>
      <c r="C1022" s="6">
        <v>50614516.726301193</v>
      </c>
      <c r="D1022" s="6">
        <v>54874963</v>
      </c>
      <c r="E1022" s="24"/>
      <c r="F1022" s="99">
        <v>3.5908000000000002</v>
      </c>
      <c r="G1022" s="26" t="s">
        <v>18</v>
      </c>
      <c r="H1022" s="7">
        <f t="shared" si="180"/>
        <v>1817466</v>
      </c>
      <c r="I1022" s="7">
        <f t="shared" si="180"/>
        <v>1970450</v>
      </c>
      <c r="J1022" s="24"/>
      <c r="K1022" s="99"/>
      <c r="L1022" s="99"/>
      <c r="M1022" s="26"/>
      <c r="O1022" s="206"/>
      <c r="P1022" s="59"/>
    </row>
    <row r="1023" spans="1:16" x14ac:dyDescent="0.25">
      <c r="A1023" s="19" t="s">
        <v>124</v>
      </c>
      <c r="C1023" s="6">
        <v>83800827.294580057</v>
      </c>
      <c r="D1023" s="6">
        <v>90299396</v>
      </c>
      <c r="F1023" s="99">
        <v>9.9693000000000005</v>
      </c>
      <c r="G1023" s="26" t="s">
        <v>18</v>
      </c>
      <c r="H1023" s="7">
        <f t="shared" si="180"/>
        <v>8354356</v>
      </c>
      <c r="I1023" s="7">
        <f t="shared" si="180"/>
        <v>9002218</v>
      </c>
      <c r="K1023" s="99"/>
      <c r="L1023" s="99"/>
      <c r="M1023" s="26"/>
      <c r="O1023" s="206"/>
      <c r="P1023" s="59"/>
    </row>
    <row r="1024" spans="1:16" x14ac:dyDescent="0.25">
      <c r="A1024" s="19" t="s">
        <v>125</v>
      </c>
      <c r="C1024" s="6">
        <v>74012924.527216792</v>
      </c>
      <c r="D1024" s="6">
        <v>79752463</v>
      </c>
      <c r="E1024" s="24"/>
      <c r="F1024" s="99">
        <v>3.0059999999999998</v>
      </c>
      <c r="G1024" s="26" t="s">
        <v>18</v>
      </c>
      <c r="H1024" s="7">
        <f t="shared" si="180"/>
        <v>2224829</v>
      </c>
      <c r="I1024" s="7">
        <f t="shared" si="180"/>
        <v>2397359</v>
      </c>
      <c r="J1024" s="24"/>
      <c r="K1024" s="99"/>
      <c r="L1024" s="99"/>
      <c r="M1024" s="26"/>
      <c r="O1024" s="206"/>
      <c r="P1024" s="59"/>
    </row>
    <row r="1025" spans="1:17" x14ac:dyDescent="0.25">
      <c r="A1025" s="32" t="s">
        <v>32</v>
      </c>
      <c r="C1025" s="6">
        <v>20238626</v>
      </c>
      <c r="D1025" s="6">
        <v>21862394</v>
      </c>
      <c r="F1025" s="100">
        <v>7.125</v>
      </c>
      <c r="G1025" s="26" t="s">
        <v>18</v>
      </c>
      <c r="H1025" s="7">
        <f t="shared" si="180"/>
        <v>1442002</v>
      </c>
      <c r="I1025" s="7">
        <f t="shared" si="180"/>
        <v>1557696</v>
      </c>
      <c r="K1025" s="100"/>
      <c r="L1025" s="100">
        <f t="shared" ref="L1025" si="181">L977</f>
        <v>7.125</v>
      </c>
      <c r="M1025" s="26" t="s">
        <v>18</v>
      </c>
      <c r="N1025" s="7">
        <f>ROUND($D1025*L1025/100,0)</f>
        <v>1557696</v>
      </c>
      <c r="O1025" s="207"/>
      <c r="P1025" s="59"/>
    </row>
    <row r="1026" spans="1:17" x14ac:dyDescent="0.25">
      <c r="A1026" s="19" t="s">
        <v>33</v>
      </c>
      <c r="C1026" s="36">
        <v>1507907</v>
      </c>
      <c r="D1026" s="36">
        <v>0</v>
      </c>
      <c r="H1026" s="37">
        <v>190811</v>
      </c>
      <c r="I1026" s="37">
        <v>0</v>
      </c>
      <c r="N1026" s="37"/>
      <c r="Q1026" s="64"/>
    </row>
    <row r="1027" spans="1:17" x14ac:dyDescent="0.25">
      <c r="A1027" s="19" t="s">
        <v>34</v>
      </c>
      <c r="F1027" s="23">
        <v>-4.99E-2</v>
      </c>
      <c r="G1027" s="24"/>
      <c r="H1027" s="7">
        <f>SUM(H1021:H1025)*$F$1027</f>
        <v>-1028443.8902</v>
      </c>
      <c r="I1027" s="7">
        <f>SUM(I1021:I1025)*$F$1027</f>
        <v>-1111230.6348999999</v>
      </c>
      <c r="K1027" s="93" t="str">
        <f>$K$43</f>
        <v>TAA 1 (1/1/2021)</v>
      </c>
      <c r="L1027" s="23">
        <f>$L$979</f>
        <v>-2.9100000000000001E-2</v>
      </c>
      <c r="M1027" s="24"/>
      <c r="N1027" s="7">
        <f>L1027*SUM(N1009:N1012,N1025)</f>
        <v>-849151.21140000003</v>
      </c>
      <c r="O1027" s="65"/>
      <c r="P1027" s="57"/>
    </row>
    <row r="1028" spans="1:17" x14ac:dyDescent="0.25">
      <c r="A1028" s="19"/>
      <c r="F1028" s="23"/>
      <c r="G1028" s="24"/>
      <c r="K1028" s="93" t="str">
        <f>$K$44</f>
        <v>TAA 2 (1/1/2022)</v>
      </c>
      <c r="L1028" s="23">
        <f>$L$980</f>
        <v>-1.46E-2</v>
      </c>
      <c r="M1028" s="24"/>
      <c r="N1028" s="7">
        <f>L1028*SUM(N1009:N1012,N1025)</f>
        <v>-426034.62839999999</v>
      </c>
      <c r="O1028" s="65"/>
      <c r="P1028" s="57"/>
    </row>
    <row r="1029" spans="1:17" x14ac:dyDescent="0.25">
      <c r="A1029" s="32" t="s">
        <v>35</v>
      </c>
      <c r="C1029" s="6">
        <v>-918722</v>
      </c>
      <c r="D1029" s="6">
        <v>-992432</v>
      </c>
      <c r="F1029" s="23"/>
      <c r="G1029" s="24"/>
      <c r="K1029" s="23"/>
      <c r="L1029" s="23"/>
      <c r="M1029" s="24"/>
      <c r="O1029" s="65"/>
      <c r="P1029" s="57"/>
    </row>
    <row r="1030" spans="1:17" ht="16.5" thickBot="1" x14ac:dyDescent="0.3">
      <c r="A1030" s="19" t="s">
        <v>36</v>
      </c>
      <c r="C1030" s="101">
        <v>286032071.3535912</v>
      </c>
      <c r="D1030" s="101">
        <v>307351861.02522755</v>
      </c>
      <c r="F1030" s="41"/>
      <c r="H1030" s="95">
        <f>SUM(H1017:H1027)</f>
        <v>32515771.1098</v>
      </c>
      <c r="I1030" s="95">
        <f>SUM(I1017:I1027)</f>
        <v>34807446.365099996</v>
      </c>
      <c r="K1030" s="41"/>
      <c r="L1030" s="41"/>
      <c r="N1030" s="95">
        <f>SUM(N1009:N1026)</f>
        <v>36067399</v>
      </c>
      <c r="O1030" s="68"/>
      <c r="Q1030" s="208"/>
    </row>
    <row r="1031" spans="1:17" ht="16.5" thickTop="1" x14ac:dyDescent="0.25"/>
    <row r="1032" spans="1:17" x14ac:dyDescent="0.25">
      <c r="A1032" s="15" t="s">
        <v>128</v>
      </c>
      <c r="F1032" s="100"/>
      <c r="G1032" s="100"/>
      <c r="K1032" s="100"/>
      <c r="L1032" s="100"/>
      <c r="M1032" s="100"/>
      <c r="O1032" s="207"/>
      <c r="P1032" s="207"/>
    </row>
    <row r="1033" spans="1:17" x14ac:dyDescent="0.25">
      <c r="A1033" s="19" t="s">
        <v>69</v>
      </c>
      <c r="C1033" s="6">
        <v>3150762.7990320884</v>
      </c>
      <c r="D1033" s="6">
        <v>7415542.099411577</v>
      </c>
      <c r="E1033" s="24"/>
      <c r="F1033" s="99"/>
      <c r="G1033" s="26"/>
      <c r="J1033" s="24"/>
      <c r="K1033" s="99"/>
      <c r="L1033" s="99">
        <f t="shared" ref="L1033:L1041" si="182">L961</f>
        <v>22.156199999999998</v>
      </c>
      <c r="M1033" s="26" t="s">
        <v>18</v>
      </c>
      <c r="N1033" s="7">
        <f t="shared" ref="N1033:N1040" si="183">ROUND($D1033*L1033/100,0)</f>
        <v>1643002</v>
      </c>
      <c r="O1033" s="206"/>
      <c r="P1033" s="59"/>
    </row>
    <row r="1034" spans="1:17" x14ac:dyDescent="0.25">
      <c r="A1034" s="19" t="s">
        <v>70</v>
      </c>
      <c r="C1034" s="6">
        <v>7099274.2009679126</v>
      </c>
      <c r="D1034" s="6">
        <v>16708643</v>
      </c>
      <c r="E1034" s="24"/>
      <c r="F1034" s="99"/>
      <c r="G1034" s="26"/>
      <c r="J1034" s="24"/>
      <c r="K1034" s="99"/>
      <c r="L1034" s="99">
        <f t="shared" si="182"/>
        <v>4.309899999999999</v>
      </c>
      <c r="M1034" s="26" t="s">
        <v>18</v>
      </c>
      <c r="N1034" s="7">
        <f t="shared" si="183"/>
        <v>720126</v>
      </c>
      <c r="O1034" s="206"/>
      <c r="P1034" s="59"/>
    </row>
    <row r="1035" spans="1:17" x14ac:dyDescent="0.25">
      <c r="A1035" s="19" t="s">
        <v>71</v>
      </c>
      <c r="C1035" s="6">
        <v>5219922.7807393372</v>
      </c>
      <c r="D1035" s="6">
        <v>11634411</v>
      </c>
      <c r="E1035" s="24"/>
      <c r="F1035" s="99"/>
      <c r="G1035" s="26"/>
      <c r="J1035" s="24"/>
      <c r="K1035" s="99"/>
      <c r="L1035" s="99">
        <f t="shared" si="182"/>
        <v>19.607299999999999</v>
      </c>
      <c r="M1035" s="26" t="s">
        <v>18</v>
      </c>
      <c r="N1035" s="7">
        <f t="shared" si="183"/>
        <v>2281194</v>
      </c>
      <c r="O1035" s="206"/>
      <c r="P1035" s="59"/>
    </row>
    <row r="1036" spans="1:17" x14ac:dyDescent="0.25">
      <c r="A1036" s="19" t="s">
        <v>72</v>
      </c>
      <c r="C1036" s="6">
        <v>9097843.2192606572</v>
      </c>
      <c r="D1036" s="6">
        <v>20277703</v>
      </c>
      <c r="E1036" s="24"/>
      <c r="F1036" s="99"/>
      <c r="G1036" s="26"/>
      <c r="J1036" s="24"/>
      <c r="K1036" s="99"/>
      <c r="L1036" s="99">
        <f t="shared" si="182"/>
        <v>3.8140999999999989</v>
      </c>
      <c r="M1036" s="26" t="s">
        <v>18</v>
      </c>
      <c r="N1036" s="7">
        <f t="shared" si="183"/>
        <v>773412</v>
      </c>
      <c r="O1036" s="206"/>
      <c r="P1036" s="59"/>
    </row>
    <row r="1037" spans="1:17" x14ac:dyDescent="0.25">
      <c r="A1037" s="19" t="s">
        <v>73</v>
      </c>
      <c r="C1037" s="6">
        <v>5446462</v>
      </c>
      <c r="D1037" s="6">
        <v>12818633.099411577</v>
      </c>
      <c r="E1037" s="24"/>
      <c r="F1037" s="99"/>
      <c r="G1037" s="26"/>
      <c r="J1037" s="24"/>
      <c r="K1037" s="99"/>
      <c r="L1037" s="99">
        <f t="shared" si="182"/>
        <v>6</v>
      </c>
      <c r="M1037" s="26" t="s">
        <v>18</v>
      </c>
      <c r="N1037" s="7">
        <f t="shared" si="183"/>
        <v>769118</v>
      </c>
      <c r="O1037" s="206"/>
      <c r="P1037" s="59"/>
    </row>
    <row r="1038" spans="1:17" x14ac:dyDescent="0.25">
      <c r="A1038" s="19" t="s">
        <v>74</v>
      </c>
      <c r="C1038" s="6">
        <v>4803575</v>
      </c>
      <c r="D1038" s="6">
        <v>11305553</v>
      </c>
      <c r="E1038" s="24"/>
      <c r="F1038" s="99"/>
      <c r="G1038" s="26"/>
      <c r="J1038" s="24"/>
      <c r="K1038" s="99"/>
      <c r="L1038" s="99">
        <f t="shared" si="182"/>
        <v>-2.335799999999999</v>
      </c>
      <c r="M1038" s="26" t="s">
        <v>18</v>
      </c>
      <c r="N1038" s="7">
        <f t="shared" si="183"/>
        <v>-264075</v>
      </c>
      <c r="O1038" s="206"/>
      <c r="P1038" s="59"/>
    </row>
    <row r="1039" spans="1:17" x14ac:dyDescent="0.25">
      <c r="A1039" s="19" t="s">
        <v>75</v>
      </c>
      <c r="C1039" s="6">
        <v>8833500.5</v>
      </c>
      <c r="D1039" s="6">
        <v>19688523</v>
      </c>
      <c r="E1039" s="24"/>
      <c r="F1039" s="99"/>
      <c r="G1039" s="26"/>
      <c r="J1039" s="24"/>
      <c r="K1039" s="99"/>
      <c r="L1039" s="99">
        <f t="shared" si="182"/>
        <v>5.3097000000000003</v>
      </c>
      <c r="M1039" s="26" t="s">
        <v>18</v>
      </c>
      <c r="N1039" s="7">
        <f t="shared" si="183"/>
        <v>1045402</v>
      </c>
      <c r="O1039" s="206"/>
      <c r="P1039" s="59"/>
    </row>
    <row r="1040" spans="1:17" x14ac:dyDescent="0.25">
      <c r="A1040" s="19" t="s">
        <v>76</v>
      </c>
      <c r="C1040" s="6">
        <v>5484265.5</v>
      </c>
      <c r="D1040" s="6">
        <v>12223590</v>
      </c>
      <c r="E1040" s="24"/>
      <c r="F1040" s="99"/>
      <c r="G1040" s="26"/>
      <c r="J1040" s="24"/>
      <c r="K1040" s="99"/>
      <c r="L1040" s="99">
        <f t="shared" si="182"/>
        <v>-2.0670999999999999</v>
      </c>
      <c r="M1040" s="26" t="s">
        <v>18</v>
      </c>
      <c r="N1040" s="7">
        <f t="shared" si="183"/>
        <v>-252674</v>
      </c>
      <c r="O1040" s="206"/>
      <c r="P1040" s="59"/>
    </row>
    <row r="1041" spans="1:17" x14ac:dyDescent="0.25">
      <c r="A1041" s="19" t="s">
        <v>68</v>
      </c>
      <c r="C1041" s="6">
        <v>3104.0666666666698</v>
      </c>
      <c r="D1041" s="6">
        <v>3156</v>
      </c>
      <c r="F1041" s="24">
        <v>54</v>
      </c>
      <c r="G1041" s="24"/>
      <c r="H1041" s="7">
        <f t="shared" ref="H1041:I1044" si="184">ROUND($F1041*C1041,0)</f>
        <v>167620</v>
      </c>
      <c r="I1041" s="7">
        <f t="shared" si="184"/>
        <v>170424</v>
      </c>
      <c r="K1041" s="24"/>
      <c r="L1041" s="24">
        <f t="shared" si="182"/>
        <v>53</v>
      </c>
      <c r="M1041" s="24"/>
      <c r="N1041" s="7">
        <f>ROUND($D1041*L1041,0)</f>
        <v>167268</v>
      </c>
      <c r="O1041" s="57"/>
      <c r="P1041" s="57"/>
    </row>
    <row r="1042" spans="1:17" x14ac:dyDescent="0.25">
      <c r="A1042" s="19" t="s">
        <v>122</v>
      </c>
      <c r="C1042" s="6">
        <v>171238.95092024549</v>
      </c>
      <c r="D1042" s="6">
        <v>198506</v>
      </c>
      <c r="F1042" s="24">
        <v>6.52</v>
      </c>
      <c r="G1042" s="24"/>
      <c r="H1042" s="7">
        <f t="shared" si="184"/>
        <v>1116478</v>
      </c>
      <c r="I1042" s="7">
        <f t="shared" si="184"/>
        <v>1294259</v>
      </c>
      <c r="K1042" s="24"/>
      <c r="L1042" s="24"/>
      <c r="M1042" s="24"/>
      <c r="O1042" s="57"/>
      <c r="P1042" s="57"/>
    </row>
    <row r="1043" spans="1:17" x14ac:dyDescent="0.25">
      <c r="A1043" s="19" t="s">
        <v>123</v>
      </c>
      <c r="C1043" s="6">
        <v>202939.45521023759</v>
      </c>
      <c r="D1043" s="6">
        <v>235254</v>
      </c>
      <c r="F1043" s="24">
        <v>5.47</v>
      </c>
      <c r="G1043" s="24"/>
      <c r="H1043" s="7">
        <f t="shared" si="184"/>
        <v>1110079</v>
      </c>
      <c r="I1043" s="7">
        <f t="shared" si="184"/>
        <v>1286839</v>
      </c>
      <c r="K1043" s="24"/>
      <c r="L1043" s="24"/>
      <c r="M1043" s="24"/>
      <c r="O1043" s="57"/>
      <c r="P1043" s="57"/>
    </row>
    <row r="1044" spans="1:17" x14ac:dyDescent="0.25">
      <c r="A1044" s="19" t="s">
        <v>77</v>
      </c>
      <c r="C1044" s="6">
        <v>9945</v>
      </c>
      <c r="D1044" s="6">
        <v>11529</v>
      </c>
      <c r="E1044" s="24"/>
      <c r="F1044" s="24">
        <v>-0.61</v>
      </c>
      <c r="G1044" s="24"/>
      <c r="H1044" s="7">
        <f t="shared" si="184"/>
        <v>-6066</v>
      </c>
      <c r="I1044" s="7">
        <f t="shared" si="184"/>
        <v>-7033</v>
      </c>
      <c r="J1044" s="24"/>
      <c r="K1044" s="24"/>
      <c r="L1044" s="24">
        <f t="shared" ref="L1044" si="185">L972</f>
        <v>-0.61</v>
      </c>
      <c r="M1044" s="24"/>
      <c r="N1044" s="7">
        <f>ROUND($D1044*L1044,0)</f>
        <v>-7033</v>
      </c>
      <c r="O1044" s="57"/>
      <c r="P1044" s="57"/>
    </row>
    <row r="1045" spans="1:17" x14ac:dyDescent="0.25">
      <c r="A1045" s="19" t="s">
        <v>25</v>
      </c>
      <c r="C1045" s="6">
        <v>13406324</v>
      </c>
      <c r="D1045" s="6">
        <v>15391869.099411577</v>
      </c>
      <c r="E1045" s="24"/>
      <c r="F1045" s="99">
        <v>11.926600000000001</v>
      </c>
      <c r="G1045" s="26" t="s">
        <v>18</v>
      </c>
      <c r="H1045" s="7">
        <f t="shared" ref="H1045:I1049" si="186">ROUND($F1045*C1045/100,0)</f>
        <v>1598919</v>
      </c>
      <c r="I1045" s="7">
        <f t="shared" si="186"/>
        <v>1835727</v>
      </c>
      <c r="J1045" s="24"/>
      <c r="K1045" s="99"/>
      <c r="L1045" s="99"/>
      <c r="M1045" s="26"/>
      <c r="O1045" s="206"/>
      <c r="P1045" s="59"/>
    </row>
    <row r="1046" spans="1:17" x14ac:dyDescent="0.25">
      <c r="A1046" s="19" t="s">
        <v>26</v>
      </c>
      <c r="C1046" s="6">
        <v>11246892</v>
      </c>
      <c r="D1046" s="6">
        <v>12912615</v>
      </c>
      <c r="E1046" s="24"/>
      <c r="F1046" s="99">
        <v>3.5908000000000002</v>
      </c>
      <c r="G1046" s="26" t="s">
        <v>18</v>
      </c>
      <c r="H1046" s="7">
        <f t="shared" si="186"/>
        <v>403853</v>
      </c>
      <c r="I1046" s="7">
        <f t="shared" si="186"/>
        <v>463666</v>
      </c>
      <c r="J1046" s="24"/>
      <c r="K1046" s="99"/>
      <c r="L1046" s="99"/>
      <c r="M1046" s="26"/>
      <c r="O1046" s="206"/>
      <c r="P1046" s="59"/>
    </row>
    <row r="1047" spans="1:17" x14ac:dyDescent="0.25">
      <c r="A1047" s="19" t="s">
        <v>124</v>
      </c>
      <c r="C1047" s="6">
        <v>15153601</v>
      </c>
      <c r="D1047" s="6">
        <v>17164863</v>
      </c>
      <c r="E1047" s="24"/>
      <c r="F1047" s="99">
        <v>9.9693000000000005</v>
      </c>
      <c r="G1047" s="26" t="s">
        <v>18</v>
      </c>
      <c r="H1047" s="7">
        <f t="shared" si="186"/>
        <v>1510708</v>
      </c>
      <c r="I1047" s="7">
        <f t="shared" si="186"/>
        <v>1711217</v>
      </c>
      <c r="J1047" s="24"/>
      <c r="K1047" s="99"/>
      <c r="L1047" s="99"/>
      <c r="M1047" s="26"/>
      <c r="O1047" s="206"/>
      <c r="P1047" s="59"/>
    </row>
    <row r="1048" spans="1:17" x14ac:dyDescent="0.25">
      <c r="A1048" s="19" t="s">
        <v>125</v>
      </c>
      <c r="C1048" s="6">
        <v>9328789</v>
      </c>
      <c r="D1048" s="6">
        <v>10566952</v>
      </c>
      <c r="E1048" s="24"/>
      <c r="F1048" s="99">
        <v>3.0059999999999998</v>
      </c>
      <c r="G1048" s="26" t="s">
        <v>18</v>
      </c>
      <c r="H1048" s="7">
        <f t="shared" si="186"/>
        <v>280423</v>
      </c>
      <c r="I1048" s="7">
        <f t="shared" si="186"/>
        <v>317643</v>
      </c>
      <c r="J1048" s="24"/>
      <c r="K1048" s="99"/>
      <c r="L1048" s="99"/>
      <c r="M1048" s="26"/>
      <c r="O1048" s="206"/>
      <c r="P1048" s="59"/>
    </row>
    <row r="1049" spans="1:17" x14ac:dyDescent="0.25">
      <c r="A1049" s="32" t="s">
        <v>32</v>
      </c>
      <c r="C1049" s="6">
        <v>6757400</v>
      </c>
      <c r="D1049" s="6">
        <v>7706421</v>
      </c>
      <c r="F1049" s="100">
        <v>7.125</v>
      </c>
      <c r="G1049" s="26" t="s">
        <v>18</v>
      </c>
      <c r="H1049" s="7">
        <f t="shared" si="186"/>
        <v>481465</v>
      </c>
      <c r="I1049" s="7">
        <f t="shared" si="186"/>
        <v>549082</v>
      </c>
      <c r="K1049" s="100"/>
      <c r="L1049" s="100">
        <f t="shared" ref="L1049" si="187">L977</f>
        <v>7.125</v>
      </c>
      <c r="M1049" s="26" t="s">
        <v>18</v>
      </c>
      <c r="N1049" s="7">
        <f>ROUND($D1049*L1049/100,0)</f>
        <v>549082</v>
      </c>
      <c r="O1049" s="207"/>
      <c r="P1049" s="59"/>
    </row>
    <row r="1050" spans="1:17" x14ac:dyDescent="0.25">
      <c r="A1050" s="19" t="s">
        <v>33</v>
      </c>
      <c r="C1050" s="36">
        <v>-896706</v>
      </c>
      <c r="D1050" s="36">
        <v>0</v>
      </c>
      <c r="H1050" s="37">
        <v>-98024</v>
      </c>
      <c r="I1050" s="37">
        <v>0</v>
      </c>
      <c r="N1050" s="37"/>
      <c r="Q1050" s="64"/>
    </row>
    <row r="1051" spans="1:17" x14ac:dyDescent="0.25">
      <c r="A1051" s="19" t="s">
        <v>34</v>
      </c>
      <c r="F1051" s="23">
        <v>-4.99E-2</v>
      </c>
      <c r="G1051" s="24"/>
      <c r="H1051" s="7">
        <f>SUM(H1045:H1049)*$F1051</f>
        <v>-213340.86319999999</v>
      </c>
      <c r="I1051" s="7">
        <f>SUM(I1045:I1049)*$F1051</f>
        <v>-243379.0165</v>
      </c>
      <c r="K1051" s="93" t="str">
        <f>$K$43</f>
        <v>TAA 1 (1/1/2021)</v>
      </c>
      <c r="L1051" s="23">
        <f>$L$979</f>
        <v>-2.9100000000000001E-2</v>
      </c>
      <c r="M1051" s="24"/>
      <c r="N1051" s="7">
        <f>L1051*SUM(N1033:N1036,N1049)</f>
        <v>-173634.3456</v>
      </c>
      <c r="O1051" s="65"/>
      <c r="P1051" s="57"/>
    </row>
    <row r="1052" spans="1:17" x14ac:dyDescent="0.25">
      <c r="A1052" s="19"/>
      <c r="F1052" s="23"/>
      <c r="G1052" s="24"/>
      <c r="K1052" s="93" t="str">
        <f>$K$44</f>
        <v>TAA 2 (1/1/2022)</v>
      </c>
      <c r="L1052" s="23">
        <f>$L$980</f>
        <v>-1.46E-2</v>
      </c>
      <c r="M1052" s="24"/>
      <c r="N1052" s="7">
        <f>L1052*SUM(N1033:N1036,N1049)</f>
        <v>-87115.513600000006</v>
      </c>
      <c r="O1052" s="65"/>
      <c r="P1052" s="57"/>
    </row>
    <row r="1053" spans="1:17" x14ac:dyDescent="0.25">
      <c r="A1053" s="32" t="s">
        <v>35</v>
      </c>
      <c r="C1053" s="6">
        <v>-576168</v>
      </c>
      <c r="D1053" s="6">
        <v>-657086</v>
      </c>
      <c r="F1053" s="23"/>
      <c r="G1053" s="24"/>
      <c r="K1053" s="23"/>
      <c r="L1053" s="23"/>
      <c r="M1053" s="24"/>
      <c r="O1053" s="65"/>
      <c r="P1053" s="57"/>
    </row>
    <row r="1054" spans="1:17" ht="16.5" thickBot="1" x14ac:dyDescent="0.3">
      <c r="A1054" s="19" t="s">
        <v>36</v>
      </c>
      <c r="C1054" s="101">
        <v>54420132</v>
      </c>
      <c r="D1054" s="101">
        <v>63085634.099411577</v>
      </c>
      <c r="E1054" s="24"/>
      <c r="F1054" s="41"/>
      <c r="H1054" s="95">
        <f>SUM(H1041:H1051)</f>
        <v>6352114.1368000004</v>
      </c>
      <c r="I1054" s="95">
        <f>SUM(I1041:I1051)</f>
        <v>7378444.9835000001</v>
      </c>
      <c r="J1054" s="24"/>
      <c r="K1054" s="41"/>
      <c r="L1054" s="41"/>
      <c r="N1054" s="95">
        <f>SUM(N1033:N1050)</f>
        <v>7424822</v>
      </c>
      <c r="O1054" s="68"/>
      <c r="Q1054" s="208"/>
    </row>
    <row r="1055" spans="1:17" ht="16.5" thickTop="1" x14ac:dyDescent="0.25"/>
    <row r="1056" spans="1:17" x14ac:dyDescent="0.25">
      <c r="A1056" s="15" t="s">
        <v>129</v>
      </c>
      <c r="F1056" s="100"/>
      <c r="G1056" s="100"/>
      <c r="K1056" s="100"/>
      <c r="L1056" s="100"/>
      <c r="M1056" s="100"/>
      <c r="O1056" s="207"/>
      <c r="P1056" s="207"/>
    </row>
    <row r="1057" spans="1:16" x14ac:dyDescent="0.25">
      <c r="A1057" s="19" t="s">
        <v>69</v>
      </c>
      <c r="C1057" s="6">
        <v>519342.45261118939</v>
      </c>
      <c r="D1057" s="6">
        <v>1790597.1011697315</v>
      </c>
      <c r="E1057" s="24"/>
      <c r="F1057" s="99"/>
      <c r="G1057" s="26"/>
      <c r="J1057" s="24"/>
      <c r="K1057" s="99"/>
      <c r="L1057" s="99">
        <f t="shared" ref="L1057:L1065" si="188">L961</f>
        <v>22.156199999999998</v>
      </c>
      <c r="M1057" s="26" t="s">
        <v>18</v>
      </c>
      <c r="N1057" s="7">
        <f t="shared" ref="N1057:N1064" si="189">ROUND($D1057*L1057/100,0)</f>
        <v>396728</v>
      </c>
      <c r="O1057" s="206"/>
      <c r="P1057" s="59"/>
    </row>
    <row r="1058" spans="1:16" x14ac:dyDescent="0.25">
      <c r="A1058" s="19" t="s">
        <v>70</v>
      </c>
      <c r="C1058" s="6">
        <v>1065674.9503393981</v>
      </c>
      <c r="D1058" s="6">
        <v>3521773</v>
      </c>
      <c r="E1058" s="24"/>
      <c r="F1058" s="99"/>
      <c r="G1058" s="26"/>
      <c r="J1058" s="24"/>
      <c r="K1058" s="99"/>
      <c r="L1058" s="99">
        <f t="shared" si="188"/>
        <v>4.309899999999999</v>
      </c>
      <c r="M1058" s="26" t="s">
        <v>18</v>
      </c>
      <c r="N1058" s="7">
        <f t="shared" si="189"/>
        <v>151785</v>
      </c>
      <c r="O1058" s="206"/>
      <c r="P1058" s="59"/>
    </row>
    <row r="1059" spans="1:16" x14ac:dyDescent="0.25">
      <c r="A1059" s="19" t="s">
        <v>71</v>
      </c>
      <c r="C1059" s="6">
        <v>1569625.3669775294</v>
      </c>
      <c r="D1059" s="6">
        <v>5330608</v>
      </c>
      <c r="E1059" s="24"/>
      <c r="F1059" s="99"/>
      <c r="G1059" s="26"/>
      <c r="J1059" s="24"/>
      <c r="K1059" s="99"/>
      <c r="L1059" s="99">
        <f t="shared" si="188"/>
        <v>19.607299999999999</v>
      </c>
      <c r="M1059" s="26" t="s">
        <v>18</v>
      </c>
      <c r="N1059" s="7">
        <f t="shared" si="189"/>
        <v>1045188</v>
      </c>
      <c r="O1059" s="206"/>
      <c r="P1059" s="59"/>
    </row>
    <row r="1060" spans="1:16" x14ac:dyDescent="0.25">
      <c r="A1060" s="19" t="s">
        <v>72</v>
      </c>
      <c r="C1060" s="6">
        <v>4146826.5803954229</v>
      </c>
      <c r="D1060" s="6">
        <v>12790668</v>
      </c>
      <c r="E1060" s="24"/>
      <c r="F1060" s="99"/>
      <c r="G1060" s="26"/>
      <c r="J1060" s="24"/>
      <c r="K1060" s="99"/>
      <c r="L1060" s="99">
        <f t="shared" si="188"/>
        <v>3.8140999999999989</v>
      </c>
      <c r="M1060" s="26" t="s">
        <v>18</v>
      </c>
      <c r="N1060" s="7">
        <f t="shared" si="189"/>
        <v>487849</v>
      </c>
      <c r="O1060" s="206"/>
      <c r="P1060" s="59"/>
    </row>
    <row r="1061" spans="1:16" x14ac:dyDescent="0.25">
      <c r="A1061" s="19" t="s">
        <v>73</v>
      </c>
      <c r="C1061" s="6">
        <v>935529.56781097292</v>
      </c>
      <c r="D1061" s="6">
        <v>3345042.1011697315</v>
      </c>
      <c r="E1061" s="24"/>
      <c r="F1061" s="99"/>
      <c r="G1061" s="26"/>
      <c r="J1061" s="24"/>
      <c r="K1061" s="99"/>
      <c r="L1061" s="99">
        <f t="shared" si="188"/>
        <v>6</v>
      </c>
      <c r="M1061" s="26" t="s">
        <v>18</v>
      </c>
      <c r="N1061" s="7">
        <f t="shared" si="189"/>
        <v>200703</v>
      </c>
      <c r="O1061" s="206"/>
      <c r="P1061" s="59"/>
    </row>
    <row r="1062" spans="1:16" x14ac:dyDescent="0.25">
      <c r="A1062" s="19" t="s">
        <v>74</v>
      </c>
      <c r="C1062" s="6">
        <v>649487.83513961465</v>
      </c>
      <c r="D1062" s="6">
        <v>1967328</v>
      </c>
      <c r="E1062" s="24"/>
      <c r="F1062" s="99"/>
      <c r="G1062" s="26"/>
      <c r="J1062" s="24"/>
      <c r="K1062" s="99"/>
      <c r="L1062" s="99">
        <f t="shared" si="188"/>
        <v>-2.335799999999999</v>
      </c>
      <c r="M1062" s="26" t="s">
        <v>18</v>
      </c>
      <c r="N1062" s="7">
        <f t="shared" si="189"/>
        <v>-45953</v>
      </c>
      <c r="O1062" s="206"/>
      <c r="P1062" s="59"/>
    </row>
    <row r="1063" spans="1:16" x14ac:dyDescent="0.25">
      <c r="A1063" s="19" t="s">
        <v>75</v>
      </c>
      <c r="C1063" s="6">
        <v>3267750.5148829855</v>
      </c>
      <c r="D1063" s="6">
        <v>10972800</v>
      </c>
      <c r="E1063" s="24"/>
      <c r="F1063" s="99"/>
      <c r="G1063" s="26"/>
      <c r="J1063" s="24"/>
      <c r="K1063" s="99"/>
      <c r="L1063" s="99">
        <f t="shared" si="188"/>
        <v>5.3097000000000003</v>
      </c>
      <c r="M1063" s="26" t="s">
        <v>18</v>
      </c>
      <c r="N1063" s="7">
        <f t="shared" si="189"/>
        <v>582623</v>
      </c>
      <c r="O1063" s="206"/>
      <c r="P1063" s="59"/>
    </row>
    <row r="1064" spans="1:16" x14ac:dyDescent="0.25">
      <c r="A1064" s="19" t="s">
        <v>76</v>
      </c>
      <c r="C1064" s="6">
        <v>2448701.432489967</v>
      </c>
      <c r="D1064" s="6">
        <v>7148476</v>
      </c>
      <c r="E1064" s="24"/>
      <c r="F1064" s="99"/>
      <c r="G1064" s="26"/>
      <c r="J1064" s="24"/>
      <c r="K1064" s="99"/>
      <c r="L1064" s="99">
        <f t="shared" si="188"/>
        <v>-2.0670999999999999</v>
      </c>
      <c r="M1064" s="26" t="s">
        <v>18</v>
      </c>
      <c r="N1064" s="7">
        <f t="shared" si="189"/>
        <v>-147766</v>
      </c>
      <c r="O1064" s="206"/>
      <c r="P1064" s="59"/>
    </row>
    <row r="1065" spans="1:16" x14ac:dyDescent="0.25">
      <c r="A1065" s="19" t="s">
        <v>68</v>
      </c>
      <c r="C1065" s="6">
        <v>1245.7333333333333</v>
      </c>
      <c r="D1065" s="6">
        <v>1797</v>
      </c>
      <c r="F1065" s="20">
        <v>54</v>
      </c>
      <c r="G1065" s="20"/>
      <c r="H1065" s="7">
        <f t="shared" ref="H1065:I1068" si="190">ROUND($F1065*C1065,0)</f>
        <v>67270</v>
      </c>
      <c r="I1065" s="7">
        <f t="shared" si="190"/>
        <v>97038</v>
      </c>
      <c r="K1065" s="20"/>
      <c r="L1065" s="20">
        <f t="shared" si="188"/>
        <v>53</v>
      </c>
      <c r="M1065" s="20"/>
      <c r="N1065" s="7">
        <f>ROUND($D1065*L1065,0)</f>
        <v>95241</v>
      </c>
      <c r="O1065" s="55"/>
      <c r="P1065" s="55"/>
    </row>
    <row r="1066" spans="1:16" x14ac:dyDescent="0.25">
      <c r="A1066" s="19" t="s">
        <v>122</v>
      </c>
      <c r="C1066" s="6">
        <v>58468.518404907991</v>
      </c>
      <c r="D1066" s="6">
        <v>93220</v>
      </c>
      <c r="E1066" s="24"/>
      <c r="F1066" s="20">
        <v>6.52</v>
      </c>
      <c r="G1066" s="20"/>
      <c r="H1066" s="7">
        <f t="shared" si="190"/>
        <v>381215</v>
      </c>
      <c r="I1066" s="7">
        <f t="shared" si="190"/>
        <v>607794</v>
      </c>
      <c r="J1066" s="24"/>
      <c r="K1066" s="20"/>
      <c r="L1066" s="20"/>
      <c r="M1066" s="20"/>
      <c r="O1066" s="55"/>
      <c r="P1066" s="55"/>
    </row>
    <row r="1067" spans="1:16" x14ac:dyDescent="0.25">
      <c r="A1067" s="19" t="s">
        <v>123</v>
      </c>
      <c r="C1067" s="6">
        <v>83822.155393053035</v>
      </c>
      <c r="D1067" s="6">
        <v>132834</v>
      </c>
      <c r="E1067" s="24"/>
      <c r="F1067" s="20">
        <v>5.47</v>
      </c>
      <c r="G1067" s="20"/>
      <c r="H1067" s="7">
        <f t="shared" si="190"/>
        <v>458507</v>
      </c>
      <c r="I1067" s="7">
        <f t="shared" si="190"/>
        <v>726602</v>
      </c>
      <c r="J1067" s="24"/>
      <c r="K1067" s="20"/>
      <c r="L1067" s="20"/>
      <c r="M1067" s="20"/>
      <c r="O1067" s="55"/>
      <c r="P1067" s="55"/>
    </row>
    <row r="1068" spans="1:16" x14ac:dyDescent="0.25">
      <c r="A1068" s="19" t="s">
        <v>77</v>
      </c>
      <c r="C1068" s="6">
        <v>6358</v>
      </c>
      <c r="D1068" s="6">
        <v>16106</v>
      </c>
      <c r="E1068" s="24"/>
      <c r="F1068" s="20">
        <v>-0.61</v>
      </c>
      <c r="G1068" s="20"/>
      <c r="H1068" s="7">
        <f t="shared" si="190"/>
        <v>-3878</v>
      </c>
      <c r="I1068" s="7">
        <f t="shared" si="190"/>
        <v>-9825</v>
      </c>
      <c r="J1068" s="24"/>
      <c r="K1068" s="20"/>
      <c r="L1068" s="20">
        <f>L972</f>
        <v>-0.61</v>
      </c>
      <c r="M1068" s="20"/>
      <c r="N1068" s="7">
        <f>ROUND($D1068*L1068,0)</f>
        <v>-9825</v>
      </c>
      <c r="O1068" s="55"/>
      <c r="P1068" s="55"/>
    </row>
    <row r="1069" spans="1:16" x14ac:dyDescent="0.25">
      <c r="A1069" s="19" t="s">
        <v>25</v>
      </c>
      <c r="C1069" s="6">
        <v>2381003.0114695355</v>
      </c>
      <c r="D1069" s="6">
        <v>4206143.1011697315</v>
      </c>
      <c r="E1069" s="24"/>
      <c r="F1069" s="25">
        <v>11.926600000000001</v>
      </c>
      <c r="G1069" s="26" t="s">
        <v>18</v>
      </c>
      <c r="H1069" s="7">
        <f t="shared" ref="H1069:I1072" si="191">ROUND($F1069*C1069/100,0)</f>
        <v>283973</v>
      </c>
      <c r="I1069" s="7">
        <f t="shared" si="191"/>
        <v>501650</v>
      </c>
      <c r="J1069" s="24"/>
      <c r="K1069" s="25"/>
      <c r="L1069" s="25"/>
      <c r="M1069" s="26"/>
      <c r="O1069" s="58"/>
      <c r="P1069" s="59"/>
    </row>
    <row r="1070" spans="1:16" x14ac:dyDescent="0.25">
      <c r="A1070" s="19" t="s">
        <v>26</v>
      </c>
      <c r="C1070" s="6">
        <v>1615823.0636627364</v>
      </c>
      <c r="D1070" s="6">
        <v>2416795</v>
      </c>
      <c r="E1070" s="24"/>
      <c r="F1070" s="25">
        <v>3.5908000000000002</v>
      </c>
      <c r="G1070" s="26" t="s">
        <v>18</v>
      </c>
      <c r="H1070" s="7">
        <f t="shared" si="191"/>
        <v>58021</v>
      </c>
      <c r="I1070" s="7">
        <f t="shared" si="191"/>
        <v>86782</v>
      </c>
      <c r="J1070" s="24"/>
      <c r="K1070" s="25"/>
      <c r="L1070" s="25"/>
      <c r="M1070" s="26"/>
      <c r="O1070" s="58"/>
      <c r="P1070" s="59"/>
    </row>
    <row r="1071" spans="1:16" x14ac:dyDescent="0.25">
      <c r="A1071" s="19" t="s">
        <v>124</v>
      </c>
      <c r="C1071" s="6">
        <v>6019457.0712244231</v>
      </c>
      <c r="D1071" s="6">
        <v>10109190</v>
      </c>
      <c r="E1071" s="24"/>
      <c r="F1071" s="25">
        <v>9.9693000000000005</v>
      </c>
      <c r="G1071" s="26" t="s">
        <v>18</v>
      </c>
      <c r="H1071" s="7">
        <f t="shared" si="191"/>
        <v>600098</v>
      </c>
      <c r="I1071" s="7">
        <f t="shared" si="191"/>
        <v>1007815</v>
      </c>
      <c r="J1071" s="24"/>
      <c r="K1071" s="25"/>
      <c r="L1071" s="25"/>
      <c r="M1071" s="26"/>
      <c r="O1071" s="58"/>
      <c r="P1071" s="59"/>
    </row>
    <row r="1072" spans="1:16" x14ac:dyDescent="0.25">
      <c r="A1072" s="19" t="s">
        <v>125</v>
      </c>
      <c r="C1072" s="6">
        <v>4575664.2039668448</v>
      </c>
      <c r="D1072" s="6">
        <v>6701518</v>
      </c>
      <c r="E1072" s="24"/>
      <c r="F1072" s="25">
        <v>3.0059999999999998</v>
      </c>
      <c r="G1072" s="26" t="s">
        <v>18</v>
      </c>
      <c r="H1072" s="7">
        <f t="shared" si="191"/>
        <v>137544</v>
      </c>
      <c r="I1072" s="7">
        <f t="shared" si="191"/>
        <v>201448</v>
      </c>
      <c r="J1072" s="24"/>
      <c r="K1072" s="25"/>
      <c r="L1072" s="25"/>
      <c r="M1072" s="26"/>
      <c r="O1072" s="58"/>
      <c r="P1072" s="59"/>
    </row>
    <row r="1073" spans="1:17" x14ac:dyDescent="0.25">
      <c r="A1073" s="19" t="s">
        <v>33</v>
      </c>
      <c r="C1073" s="36">
        <v>-9687</v>
      </c>
      <c r="D1073" s="36">
        <v>0</v>
      </c>
      <c r="H1073" s="37">
        <f>H1095+H1117+H1139</f>
        <v>-430</v>
      </c>
      <c r="I1073" s="37">
        <f t="shared" ref="I1073" si="192">I1095+I1117+I1139</f>
        <v>0</v>
      </c>
      <c r="N1073" s="37"/>
      <c r="Q1073" s="64"/>
    </row>
    <row r="1074" spans="1:17" x14ac:dyDescent="0.25">
      <c r="A1074" s="19" t="s">
        <v>34</v>
      </c>
      <c r="F1074" s="23">
        <v>-4.99E-2</v>
      </c>
      <c r="G1074" s="24"/>
      <c r="H1074" s="7">
        <f>SUM(H1069:H1072)*$F1074</f>
        <v>-53873.8364</v>
      </c>
      <c r="I1074" s="7">
        <f>SUM(I1069:I1072)*$F1074</f>
        <v>-89704.980500000005</v>
      </c>
      <c r="K1074" s="93" t="str">
        <f>$K$43</f>
        <v>TAA 1 (1/1/2021)</v>
      </c>
      <c r="L1074" s="23">
        <f>$L$979</f>
        <v>-2.9100000000000001E-2</v>
      </c>
      <c r="M1074" s="24"/>
      <c r="N1074" s="7">
        <f>L1074*SUM(N1057:N1060)</f>
        <v>-60573.105000000003</v>
      </c>
      <c r="O1074" s="65"/>
      <c r="P1074" s="57"/>
    </row>
    <row r="1075" spans="1:17" x14ac:dyDescent="0.25">
      <c r="A1075" s="19"/>
      <c r="F1075" s="23"/>
      <c r="G1075" s="24"/>
      <c r="K1075" s="93" t="str">
        <f>$K$44</f>
        <v>TAA 2 (1/1/2022)</v>
      </c>
      <c r="L1075" s="23">
        <f>$L$980</f>
        <v>-1.46E-2</v>
      </c>
      <c r="M1075" s="24"/>
      <c r="N1075" s="7">
        <f>L1075*SUM(N1057:N1060)</f>
        <v>-30390.63</v>
      </c>
      <c r="O1075" s="65"/>
      <c r="P1075" s="57"/>
    </row>
    <row r="1076" spans="1:17" ht="16.5" thickBot="1" x14ac:dyDescent="0.3">
      <c r="A1076" s="19" t="s">
        <v>36</v>
      </c>
      <c r="C1076" s="101">
        <v>14582260.350323539</v>
      </c>
      <c r="D1076" s="101">
        <v>23433646.101169731</v>
      </c>
      <c r="F1076" s="41"/>
      <c r="H1076" s="95">
        <f>SUM(H1065:H1074)</f>
        <v>1928446.1636000001</v>
      </c>
      <c r="I1076" s="95">
        <f>SUM(I1065:I1074)</f>
        <v>3129599.0194999999</v>
      </c>
      <c r="K1076" s="41"/>
      <c r="L1076" s="41"/>
      <c r="N1076" s="95">
        <f>SUM(N1057:N1073)</f>
        <v>2756573</v>
      </c>
      <c r="O1076" s="68"/>
      <c r="Q1076" s="208"/>
    </row>
    <row r="1077" spans="1:17" ht="16.5" thickTop="1" x14ac:dyDescent="0.25"/>
    <row r="1078" spans="1:17" x14ac:dyDescent="0.25">
      <c r="A1078" s="15" t="s">
        <v>130</v>
      </c>
      <c r="F1078" s="100"/>
      <c r="G1078" s="100"/>
      <c r="K1078" s="100"/>
      <c r="L1078" s="100"/>
      <c r="M1078" s="100"/>
      <c r="O1078" s="207"/>
      <c r="P1078" s="207"/>
    </row>
    <row r="1079" spans="1:17" x14ac:dyDescent="0.25">
      <c r="A1079" s="19" t="s">
        <v>69</v>
      </c>
      <c r="C1079" s="6">
        <v>0</v>
      </c>
      <c r="D1079" s="6">
        <v>0</v>
      </c>
      <c r="E1079" s="24"/>
      <c r="F1079" s="99"/>
      <c r="G1079" s="26"/>
      <c r="J1079" s="24"/>
      <c r="K1079" s="99"/>
      <c r="L1079" s="99">
        <f t="shared" ref="L1079:L1087" si="193">L1057</f>
        <v>22.156199999999998</v>
      </c>
      <c r="M1079" s="26" t="s">
        <v>18</v>
      </c>
      <c r="N1079" s="7">
        <f t="shared" ref="N1079:N1086" si="194">ROUND($D1079*L1079/100,0)</f>
        <v>0</v>
      </c>
      <c r="O1079" s="206"/>
      <c r="P1079" s="59"/>
    </row>
    <row r="1080" spans="1:17" x14ac:dyDescent="0.25">
      <c r="A1080" s="19" t="s">
        <v>70</v>
      </c>
      <c r="C1080" s="6">
        <v>0</v>
      </c>
      <c r="D1080" s="6">
        <v>0</v>
      </c>
      <c r="E1080" s="24"/>
      <c r="F1080" s="99"/>
      <c r="G1080" s="26"/>
      <c r="J1080" s="24"/>
      <c r="K1080" s="99"/>
      <c r="L1080" s="99">
        <f t="shared" si="193"/>
        <v>4.309899999999999</v>
      </c>
      <c r="M1080" s="26" t="s">
        <v>18</v>
      </c>
      <c r="N1080" s="7">
        <f t="shared" si="194"/>
        <v>0</v>
      </c>
      <c r="O1080" s="206"/>
      <c r="P1080" s="59"/>
    </row>
    <row r="1081" spans="1:17" x14ac:dyDescent="0.25">
      <c r="A1081" s="19" t="s">
        <v>71</v>
      </c>
      <c r="C1081" s="6">
        <v>689.99085923217501</v>
      </c>
      <c r="D1081" s="6">
        <v>0</v>
      </c>
      <c r="E1081" s="24"/>
      <c r="F1081" s="99"/>
      <c r="G1081" s="26"/>
      <c r="J1081" s="24"/>
      <c r="K1081" s="99"/>
      <c r="L1081" s="99">
        <f t="shared" si="193"/>
        <v>19.607299999999999</v>
      </c>
      <c r="M1081" s="26" t="s">
        <v>18</v>
      </c>
      <c r="N1081" s="7">
        <f t="shared" si="194"/>
        <v>0</v>
      </c>
      <c r="O1081" s="206"/>
      <c r="P1081" s="59"/>
    </row>
    <row r="1082" spans="1:17" x14ac:dyDescent="0.25">
      <c r="A1082" s="19" t="s">
        <v>72</v>
      </c>
      <c r="C1082" s="6">
        <v>2323.0091407678251</v>
      </c>
      <c r="D1082" s="6">
        <v>0</v>
      </c>
      <c r="E1082" s="24"/>
      <c r="F1082" s="99"/>
      <c r="G1082" s="26"/>
      <c r="J1082" s="24"/>
      <c r="K1082" s="99"/>
      <c r="L1082" s="99">
        <f t="shared" si="193"/>
        <v>3.8140999999999989</v>
      </c>
      <c r="M1082" s="26" t="s">
        <v>18</v>
      </c>
      <c r="N1082" s="7">
        <f t="shared" si="194"/>
        <v>0</v>
      </c>
      <c r="O1082" s="206"/>
      <c r="P1082" s="59"/>
    </row>
    <row r="1083" spans="1:17" x14ac:dyDescent="0.25">
      <c r="A1083" s="19" t="s">
        <v>73</v>
      </c>
      <c r="C1083" s="6">
        <v>0</v>
      </c>
      <c r="D1083" s="6">
        <v>0</v>
      </c>
      <c r="E1083" s="24"/>
      <c r="F1083" s="99"/>
      <c r="G1083" s="26"/>
      <c r="J1083" s="24"/>
      <c r="K1083" s="99"/>
      <c r="L1083" s="99">
        <f t="shared" si="193"/>
        <v>6</v>
      </c>
      <c r="M1083" s="26" t="s">
        <v>18</v>
      </c>
      <c r="N1083" s="7">
        <f t="shared" si="194"/>
        <v>0</v>
      </c>
      <c r="O1083" s="206"/>
      <c r="P1083" s="59"/>
    </row>
    <row r="1084" spans="1:17" x14ac:dyDescent="0.25">
      <c r="A1084" s="19" t="s">
        <v>74</v>
      </c>
      <c r="C1084" s="6">
        <v>0</v>
      </c>
      <c r="D1084" s="6">
        <v>0</v>
      </c>
      <c r="E1084" s="24"/>
      <c r="F1084" s="99"/>
      <c r="G1084" s="26"/>
      <c r="J1084" s="24"/>
      <c r="K1084" s="99"/>
      <c r="L1084" s="99">
        <f t="shared" si="193"/>
        <v>-2.335799999999999</v>
      </c>
      <c r="M1084" s="26" t="s">
        <v>18</v>
      </c>
      <c r="N1084" s="7">
        <f t="shared" si="194"/>
        <v>0</v>
      </c>
      <c r="O1084" s="206"/>
      <c r="P1084" s="59"/>
    </row>
    <row r="1085" spans="1:17" x14ac:dyDescent="0.25">
      <c r="A1085" s="19" t="s">
        <v>75</v>
      </c>
      <c r="C1085" s="6">
        <v>1005</v>
      </c>
      <c r="D1085" s="6">
        <v>0</v>
      </c>
      <c r="E1085" s="24"/>
      <c r="F1085" s="99"/>
      <c r="G1085" s="26"/>
      <c r="J1085" s="24"/>
      <c r="K1085" s="99"/>
      <c r="L1085" s="99">
        <f t="shared" si="193"/>
        <v>5.3097000000000003</v>
      </c>
      <c r="M1085" s="26" t="s">
        <v>18</v>
      </c>
      <c r="N1085" s="7">
        <f t="shared" si="194"/>
        <v>0</v>
      </c>
      <c r="O1085" s="206"/>
      <c r="P1085" s="59"/>
    </row>
    <row r="1086" spans="1:17" x14ac:dyDescent="0.25">
      <c r="A1086" s="19" t="s">
        <v>76</v>
      </c>
      <c r="C1086" s="6">
        <v>2008</v>
      </c>
      <c r="D1086" s="6">
        <v>0</v>
      </c>
      <c r="E1086" s="24"/>
      <c r="F1086" s="99"/>
      <c r="G1086" s="26"/>
      <c r="J1086" s="24"/>
      <c r="K1086" s="99"/>
      <c r="L1086" s="99">
        <f t="shared" si="193"/>
        <v>-2.0670999999999999</v>
      </c>
      <c r="M1086" s="26" t="s">
        <v>18</v>
      </c>
      <c r="N1086" s="7">
        <f t="shared" si="194"/>
        <v>0</v>
      </c>
      <c r="O1086" s="206"/>
      <c r="P1086" s="59"/>
    </row>
    <row r="1087" spans="1:17" x14ac:dyDescent="0.25">
      <c r="A1087" s="19" t="s">
        <v>68</v>
      </c>
      <c r="C1087" s="6">
        <v>20.233333333333299</v>
      </c>
      <c r="D1087" s="6">
        <v>12</v>
      </c>
      <c r="F1087" s="24">
        <v>54</v>
      </c>
      <c r="G1087" s="24"/>
      <c r="H1087" s="7">
        <f t="shared" ref="H1087:I1090" si="195">ROUND($F1087*C1087,0)</f>
        <v>1093</v>
      </c>
      <c r="I1087" s="7">
        <f t="shared" si="195"/>
        <v>648</v>
      </c>
      <c r="K1087" s="24"/>
      <c r="L1087" s="24">
        <f t="shared" si="193"/>
        <v>53</v>
      </c>
      <c r="M1087" s="24"/>
      <c r="N1087" s="7">
        <f>ROUND($D1087*L1087,0)</f>
        <v>636</v>
      </c>
      <c r="O1087" s="57"/>
      <c r="P1087" s="57"/>
    </row>
    <row r="1088" spans="1:17" x14ac:dyDescent="0.25">
      <c r="A1088" s="19" t="s">
        <v>122</v>
      </c>
      <c r="C1088" s="6">
        <v>374.33282208588997</v>
      </c>
      <c r="D1088" s="6">
        <v>0</v>
      </c>
      <c r="F1088" s="24">
        <v>6.52</v>
      </c>
      <c r="G1088" s="24"/>
      <c r="H1088" s="7">
        <f t="shared" si="195"/>
        <v>2441</v>
      </c>
      <c r="I1088" s="7">
        <f t="shared" si="195"/>
        <v>0</v>
      </c>
      <c r="K1088" s="24"/>
      <c r="L1088" s="24"/>
      <c r="M1088" s="24"/>
      <c r="O1088" s="57"/>
      <c r="P1088" s="57"/>
    </row>
    <row r="1089" spans="1:17" x14ac:dyDescent="0.25">
      <c r="A1089" s="19" t="s">
        <v>123</v>
      </c>
      <c r="C1089" s="6">
        <v>275.03473491773298</v>
      </c>
      <c r="D1089" s="6">
        <v>0</v>
      </c>
      <c r="F1089" s="24">
        <v>5.47</v>
      </c>
      <c r="G1089" s="24"/>
      <c r="H1089" s="7">
        <f t="shared" si="195"/>
        <v>1504</v>
      </c>
      <c r="I1089" s="7">
        <f t="shared" si="195"/>
        <v>0</v>
      </c>
      <c r="K1089" s="24"/>
      <c r="L1089" s="24"/>
      <c r="M1089" s="24"/>
      <c r="O1089" s="57"/>
      <c r="P1089" s="57"/>
    </row>
    <row r="1090" spans="1:17" x14ac:dyDescent="0.25">
      <c r="A1090" s="19" t="s">
        <v>77</v>
      </c>
      <c r="C1090" s="6">
        <v>0</v>
      </c>
      <c r="D1090" s="6">
        <v>0</v>
      </c>
      <c r="E1090" s="24"/>
      <c r="F1090" s="24">
        <v>-0.61</v>
      </c>
      <c r="G1090" s="24"/>
      <c r="H1090" s="7">
        <f t="shared" si="195"/>
        <v>0</v>
      </c>
      <c r="I1090" s="7">
        <f t="shared" si="195"/>
        <v>0</v>
      </c>
      <c r="J1090" s="24"/>
      <c r="K1090" s="24"/>
      <c r="L1090" s="24">
        <f>L1068</f>
        <v>-0.61</v>
      </c>
      <c r="M1090" s="24"/>
      <c r="N1090" s="7">
        <f>ROUND($D1090*L1090,0)</f>
        <v>0</v>
      </c>
      <c r="O1090" s="57"/>
      <c r="P1090" s="57"/>
    </row>
    <row r="1091" spans="1:17" x14ac:dyDescent="0.25">
      <c r="A1091" s="19" t="s">
        <v>25</v>
      </c>
      <c r="C1091" s="6">
        <v>0</v>
      </c>
      <c r="D1091" s="6">
        <v>0</v>
      </c>
      <c r="E1091" s="24"/>
      <c r="F1091" s="99">
        <v>11.926600000000001</v>
      </c>
      <c r="G1091" s="26" t="s">
        <v>18</v>
      </c>
      <c r="H1091" s="7">
        <f t="shared" ref="H1091:I1094" si="196">ROUND($F1091*C1091/100,0)</f>
        <v>0</v>
      </c>
      <c r="I1091" s="7">
        <f t="shared" si="196"/>
        <v>0</v>
      </c>
      <c r="J1091" s="24"/>
      <c r="K1091" s="99"/>
      <c r="L1091" s="99"/>
      <c r="M1091" s="26"/>
      <c r="O1091" s="206"/>
      <c r="P1091" s="59"/>
    </row>
    <row r="1092" spans="1:17" x14ac:dyDescent="0.25">
      <c r="A1092" s="19" t="s">
        <v>26</v>
      </c>
      <c r="C1092" s="6">
        <v>0</v>
      </c>
      <c r="D1092" s="6">
        <v>0</v>
      </c>
      <c r="E1092" s="24"/>
      <c r="F1092" s="99">
        <v>3.5908000000000002</v>
      </c>
      <c r="G1092" s="26" t="s">
        <v>18</v>
      </c>
      <c r="H1092" s="7">
        <f t="shared" si="196"/>
        <v>0</v>
      </c>
      <c r="I1092" s="7">
        <f t="shared" si="196"/>
        <v>0</v>
      </c>
      <c r="J1092" s="24"/>
      <c r="K1092" s="99"/>
      <c r="L1092" s="99"/>
      <c r="M1092" s="26"/>
      <c r="O1092" s="206"/>
      <c r="P1092" s="59"/>
    </row>
    <row r="1093" spans="1:17" x14ac:dyDescent="0.25">
      <c r="A1093" s="19" t="s">
        <v>124</v>
      </c>
      <c r="C1093" s="6">
        <v>2010</v>
      </c>
      <c r="D1093" s="6">
        <v>0</v>
      </c>
      <c r="E1093" s="24"/>
      <c r="F1093" s="99">
        <v>9.9693000000000005</v>
      </c>
      <c r="G1093" s="26" t="s">
        <v>18</v>
      </c>
      <c r="H1093" s="7">
        <f t="shared" si="196"/>
        <v>200</v>
      </c>
      <c r="I1093" s="7">
        <f t="shared" si="196"/>
        <v>0</v>
      </c>
      <c r="J1093" s="24"/>
      <c r="K1093" s="99"/>
      <c r="L1093" s="99"/>
      <c r="M1093" s="26"/>
      <c r="O1093" s="206"/>
      <c r="P1093" s="59"/>
    </row>
    <row r="1094" spans="1:17" x14ac:dyDescent="0.25">
      <c r="A1094" s="19" t="s">
        <v>125</v>
      </c>
      <c r="C1094" s="6">
        <v>4016</v>
      </c>
      <c r="D1094" s="6">
        <v>0</v>
      </c>
      <c r="E1094" s="24"/>
      <c r="F1094" s="99">
        <v>3.0059999999999998</v>
      </c>
      <c r="G1094" s="26" t="s">
        <v>18</v>
      </c>
      <c r="H1094" s="7">
        <f t="shared" si="196"/>
        <v>121</v>
      </c>
      <c r="I1094" s="7">
        <f t="shared" si="196"/>
        <v>0</v>
      </c>
      <c r="J1094" s="24"/>
      <c r="K1094" s="99"/>
      <c r="L1094" s="99"/>
      <c r="M1094" s="26"/>
      <c r="O1094" s="206"/>
      <c r="P1094" s="59"/>
    </row>
    <row r="1095" spans="1:17" x14ac:dyDescent="0.25">
      <c r="A1095" s="19" t="s">
        <v>33</v>
      </c>
      <c r="C1095" s="36">
        <v>34</v>
      </c>
      <c r="D1095" s="36">
        <v>0</v>
      </c>
      <c r="H1095" s="37">
        <v>33</v>
      </c>
      <c r="I1095" s="37">
        <v>0</v>
      </c>
      <c r="N1095" s="37"/>
      <c r="Q1095" s="64"/>
    </row>
    <row r="1096" spans="1:17" x14ac:dyDescent="0.25">
      <c r="A1096" s="19" t="s">
        <v>34</v>
      </c>
      <c r="F1096" s="23">
        <v>-4.99E-2</v>
      </c>
      <c r="G1096" s="24"/>
      <c r="H1096" s="7">
        <f>SUM(H1091:H1094)*$F1096</f>
        <v>-16.017900000000001</v>
      </c>
      <c r="I1096" s="7">
        <f>SUM(I1091:I1094)*$F1096</f>
        <v>0</v>
      </c>
      <c r="K1096" s="93" t="str">
        <f>$K$43</f>
        <v>TAA 1 (1/1/2021)</v>
      </c>
      <c r="L1096" s="23">
        <f>$L$979</f>
        <v>-2.9100000000000001E-2</v>
      </c>
      <c r="M1096" s="24"/>
      <c r="N1096" s="7">
        <f>L1096*SUM(N1079:N1082)</f>
        <v>0</v>
      </c>
      <c r="O1096" s="65"/>
      <c r="P1096" s="57"/>
    </row>
    <row r="1097" spans="1:17" x14ac:dyDescent="0.25">
      <c r="A1097" s="19"/>
      <c r="F1097" s="23"/>
      <c r="G1097" s="24"/>
      <c r="K1097" s="93" t="str">
        <f>$K$44</f>
        <v>TAA 2 (1/1/2022)</v>
      </c>
      <c r="L1097" s="23">
        <f>$L$980</f>
        <v>-1.46E-2</v>
      </c>
      <c r="M1097" s="24"/>
      <c r="N1097" s="7">
        <f>L1097*SUM(N1079:N1082)</f>
        <v>0</v>
      </c>
      <c r="O1097" s="65"/>
      <c r="P1097" s="57"/>
    </row>
    <row r="1098" spans="1:17" ht="16.5" thickBot="1" x14ac:dyDescent="0.3">
      <c r="A1098" s="19" t="s">
        <v>36</v>
      </c>
      <c r="C1098" s="101">
        <v>6060</v>
      </c>
      <c r="D1098" s="101">
        <v>0</v>
      </c>
      <c r="E1098" s="24"/>
      <c r="F1098" s="41"/>
      <c r="H1098" s="95">
        <f>SUM(H1087:H1096)</f>
        <v>5375.9821000000002</v>
      </c>
      <c r="I1098" s="95">
        <f>SUM(I1087:I1096)</f>
        <v>648</v>
      </c>
      <c r="J1098" s="24"/>
      <c r="K1098" s="41"/>
      <c r="L1098" s="41"/>
      <c r="N1098" s="95">
        <f>SUM(N1079:N1095)</f>
        <v>636</v>
      </c>
      <c r="O1098" s="68"/>
      <c r="Q1098" s="208"/>
    </row>
    <row r="1099" spans="1:17" ht="16.5" thickTop="1" x14ac:dyDescent="0.25">
      <c r="E1099" s="24"/>
      <c r="J1099" s="24"/>
    </row>
    <row r="1100" spans="1:17" x14ac:dyDescent="0.25">
      <c r="A1100" s="15" t="s">
        <v>131</v>
      </c>
      <c r="F1100" s="100"/>
      <c r="G1100" s="100"/>
      <c r="K1100" s="100"/>
      <c r="L1100" s="100"/>
      <c r="M1100" s="100"/>
      <c r="O1100" s="207"/>
      <c r="P1100" s="207"/>
    </row>
    <row r="1101" spans="1:17" x14ac:dyDescent="0.25">
      <c r="A1101" s="19" t="s">
        <v>69</v>
      </c>
      <c r="C1101" s="6">
        <v>285974.95261118939</v>
      </c>
      <c r="D1101" s="6">
        <v>662525.0242466554</v>
      </c>
      <c r="E1101" s="24"/>
      <c r="F1101" s="99"/>
      <c r="G1101" s="26"/>
      <c r="J1101" s="24"/>
      <c r="K1101" s="99"/>
      <c r="L1101" s="99">
        <f t="shared" ref="L1101:L1109" si="197">L1057</f>
        <v>22.156199999999998</v>
      </c>
      <c r="M1101" s="26" t="s">
        <v>18</v>
      </c>
      <c r="N1101" s="7">
        <f t="shared" ref="N1101:N1108" si="198">ROUND($D1101*L1101/100,0)</f>
        <v>146790</v>
      </c>
      <c r="O1101" s="206"/>
      <c r="P1101" s="59"/>
    </row>
    <row r="1102" spans="1:17" x14ac:dyDescent="0.25">
      <c r="A1102" s="19" t="s">
        <v>70</v>
      </c>
      <c r="C1102" s="6">
        <v>647385.45033939811</v>
      </c>
      <c r="D1102" s="6">
        <v>1499810</v>
      </c>
      <c r="E1102" s="24"/>
      <c r="F1102" s="99"/>
      <c r="G1102" s="26"/>
      <c r="J1102" s="24"/>
      <c r="K1102" s="99"/>
      <c r="L1102" s="99">
        <f t="shared" si="197"/>
        <v>4.309899999999999</v>
      </c>
      <c r="M1102" s="26" t="s">
        <v>18</v>
      </c>
      <c r="N1102" s="7">
        <f t="shared" si="198"/>
        <v>64640</v>
      </c>
      <c r="O1102" s="206"/>
      <c r="P1102" s="59"/>
    </row>
    <row r="1103" spans="1:17" x14ac:dyDescent="0.25">
      <c r="A1103" s="19" t="s">
        <v>71</v>
      </c>
      <c r="C1103" s="6">
        <v>1066590.8753472201</v>
      </c>
      <c r="D1103" s="6">
        <v>2661792</v>
      </c>
      <c r="E1103" s="24"/>
      <c r="F1103" s="99"/>
      <c r="G1103" s="26"/>
      <c r="J1103" s="24"/>
      <c r="K1103" s="99"/>
      <c r="L1103" s="99">
        <f t="shared" si="197"/>
        <v>19.607299999999999</v>
      </c>
      <c r="M1103" s="26" t="s">
        <v>18</v>
      </c>
      <c r="N1103" s="7">
        <f t="shared" si="198"/>
        <v>521906</v>
      </c>
      <c r="O1103" s="206"/>
      <c r="P1103" s="59"/>
    </row>
    <row r="1104" spans="1:17" x14ac:dyDescent="0.25">
      <c r="A1104" s="19" t="s">
        <v>72</v>
      </c>
      <c r="C1104" s="6">
        <v>3275666.5720257321</v>
      </c>
      <c r="D1104" s="6">
        <v>8174779</v>
      </c>
      <c r="E1104" s="24"/>
      <c r="F1104" s="99"/>
      <c r="G1104" s="26"/>
      <c r="J1104" s="24"/>
      <c r="K1104" s="99"/>
      <c r="L1104" s="99">
        <f t="shared" si="197"/>
        <v>3.8140999999999989</v>
      </c>
      <c r="M1104" s="26" t="s">
        <v>18</v>
      </c>
      <c r="N1104" s="7">
        <f t="shared" si="198"/>
        <v>311794</v>
      </c>
      <c r="O1104" s="206"/>
      <c r="P1104" s="59"/>
    </row>
    <row r="1105" spans="1:17" x14ac:dyDescent="0.25">
      <c r="A1105" s="19" t="s">
        <v>73</v>
      </c>
      <c r="C1105" s="6">
        <v>467669.56781097292</v>
      </c>
      <c r="D1105" s="6">
        <v>1083460.0242466554</v>
      </c>
      <c r="E1105" s="24"/>
      <c r="F1105" s="99"/>
      <c r="G1105" s="26"/>
      <c r="J1105" s="24"/>
      <c r="K1105" s="99"/>
      <c r="L1105" s="99">
        <f t="shared" si="197"/>
        <v>6</v>
      </c>
      <c r="M1105" s="26" t="s">
        <v>18</v>
      </c>
      <c r="N1105" s="7">
        <f t="shared" si="198"/>
        <v>65008</v>
      </c>
      <c r="O1105" s="206"/>
      <c r="P1105" s="59"/>
    </row>
    <row r="1106" spans="1:17" x14ac:dyDescent="0.25">
      <c r="A1106" s="19" t="s">
        <v>74</v>
      </c>
      <c r="C1106" s="6">
        <v>465690.83513961465</v>
      </c>
      <c r="D1106" s="6">
        <v>1078875</v>
      </c>
      <c r="E1106" s="24"/>
      <c r="F1106" s="99"/>
      <c r="G1106" s="26"/>
      <c r="J1106" s="24"/>
      <c r="K1106" s="99"/>
      <c r="L1106" s="99">
        <f t="shared" si="197"/>
        <v>-2.335799999999999</v>
      </c>
      <c r="M1106" s="26" t="s">
        <v>18</v>
      </c>
      <c r="N1106" s="7">
        <f t="shared" si="198"/>
        <v>-25200</v>
      </c>
      <c r="O1106" s="206"/>
      <c r="P1106" s="59"/>
    </row>
    <row r="1107" spans="1:17" x14ac:dyDescent="0.25">
      <c r="A1107" s="19" t="s">
        <v>75</v>
      </c>
      <c r="C1107" s="6">
        <v>2265620.0148829855</v>
      </c>
      <c r="D1107" s="6">
        <v>5654099</v>
      </c>
      <c r="E1107" s="24"/>
      <c r="F1107" s="99"/>
      <c r="G1107" s="26"/>
      <c r="J1107" s="24"/>
      <c r="K1107" s="99"/>
      <c r="L1107" s="99">
        <f t="shared" si="197"/>
        <v>5.3097000000000003</v>
      </c>
      <c r="M1107" s="26" t="s">
        <v>18</v>
      </c>
      <c r="N1107" s="7">
        <f t="shared" si="198"/>
        <v>300216</v>
      </c>
      <c r="O1107" s="206"/>
      <c r="P1107" s="59"/>
    </row>
    <row r="1108" spans="1:17" x14ac:dyDescent="0.25">
      <c r="A1108" s="19" t="s">
        <v>76</v>
      </c>
      <c r="C1108" s="6">
        <v>2076637.4324899667</v>
      </c>
      <c r="D1108" s="6">
        <v>5182472</v>
      </c>
      <c r="E1108" s="24"/>
      <c r="F1108" s="99"/>
      <c r="G1108" s="26"/>
      <c r="J1108" s="24"/>
      <c r="K1108" s="99"/>
      <c r="L1108" s="99">
        <f t="shared" si="197"/>
        <v>-2.0670999999999999</v>
      </c>
      <c r="M1108" s="26" t="s">
        <v>18</v>
      </c>
      <c r="N1108" s="7">
        <f t="shared" si="198"/>
        <v>-107127</v>
      </c>
      <c r="O1108" s="206"/>
      <c r="P1108" s="59"/>
    </row>
    <row r="1109" spans="1:17" x14ac:dyDescent="0.25">
      <c r="A1109" s="19" t="s">
        <v>68</v>
      </c>
      <c r="C1109" s="6">
        <v>1069.5</v>
      </c>
      <c r="D1109" s="6">
        <v>1356</v>
      </c>
      <c r="F1109" s="24">
        <v>54</v>
      </c>
      <c r="G1109" s="24"/>
      <c r="H1109" s="7">
        <f t="shared" ref="H1109:I1112" si="199">ROUND($F1109*C1109,0)</f>
        <v>57753</v>
      </c>
      <c r="I1109" s="7">
        <f t="shared" si="199"/>
        <v>73224</v>
      </c>
      <c r="K1109" s="24"/>
      <c r="L1109" s="24">
        <f t="shared" si="197"/>
        <v>53</v>
      </c>
      <c r="M1109" s="24"/>
      <c r="N1109" s="7">
        <f>ROUND($D1109*L1109,0)</f>
        <v>71868</v>
      </c>
      <c r="O1109" s="57"/>
      <c r="P1109" s="57"/>
    </row>
    <row r="1110" spans="1:17" x14ac:dyDescent="0.25">
      <c r="A1110" s="19" t="s">
        <v>122</v>
      </c>
      <c r="C1110" s="6">
        <v>42357.259202453999</v>
      </c>
      <c r="D1110" s="6">
        <v>51962</v>
      </c>
      <c r="F1110" s="24">
        <v>6.52</v>
      </c>
      <c r="G1110" s="24"/>
      <c r="H1110" s="7">
        <f t="shared" si="199"/>
        <v>276169</v>
      </c>
      <c r="I1110" s="7">
        <f t="shared" si="199"/>
        <v>338792</v>
      </c>
      <c r="K1110" s="24"/>
      <c r="L1110" s="24"/>
      <c r="M1110" s="24"/>
      <c r="O1110" s="57"/>
      <c r="P1110" s="57"/>
    </row>
    <row r="1111" spans="1:17" x14ac:dyDescent="0.25">
      <c r="A1111" s="19" t="s">
        <v>123</v>
      </c>
      <c r="C1111" s="6">
        <v>61796.045703839103</v>
      </c>
      <c r="D1111" s="6">
        <v>75809</v>
      </c>
      <c r="F1111" s="24">
        <v>5.47</v>
      </c>
      <c r="G1111" s="24"/>
      <c r="H1111" s="7">
        <f t="shared" si="199"/>
        <v>338024</v>
      </c>
      <c r="I1111" s="7">
        <f t="shared" si="199"/>
        <v>414675</v>
      </c>
      <c r="K1111" s="24"/>
      <c r="L1111" s="24"/>
      <c r="M1111" s="24"/>
      <c r="O1111" s="57"/>
      <c r="P1111" s="57"/>
    </row>
    <row r="1112" spans="1:17" x14ac:dyDescent="0.25">
      <c r="A1112" s="19" t="s">
        <v>77</v>
      </c>
      <c r="C1112" s="6">
        <v>403</v>
      </c>
      <c r="D1112" s="6">
        <v>494</v>
      </c>
      <c r="F1112" s="24">
        <v>-0.61</v>
      </c>
      <c r="G1112" s="24"/>
      <c r="H1112" s="7">
        <f t="shared" si="199"/>
        <v>-246</v>
      </c>
      <c r="I1112" s="7">
        <f t="shared" si="199"/>
        <v>-301</v>
      </c>
      <c r="K1112" s="24"/>
      <c r="L1112" s="24">
        <f>L1068</f>
        <v>-0.61</v>
      </c>
      <c r="M1112" s="24"/>
      <c r="N1112" s="7">
        <f>ROUND($D1112*L1112,0)</f>
        <v>-301</v>
      </c>
      <c r="O1112" s="57"/>
      <c r="P1112" s="57"/>
    </row>
    <row r="1113" spans="1:17" x14ac:dyDescent="0.25">
      <c r="A1113" s="19" t="s">
        <v>25</v>
      </c>
      <c r="C1113" s="6">
        <v>1234808.0114695358</v>
      </c>
      <c r="D1113" s="6">
        <v>1401861.0242466554</v>
      </c>
      <c r="F1113" s="99">
        <v>11.926600000000001</v>
      </c>
      <c r="G1113" s="26" t="s">
        <v>18</v>
      </c>
      <c r="H1113" s="7">
        <f t="shared" ref="H1113:I1116" si="200">ROUND($F1113*C1113/100,0)</f>
        <v>147271</v>
      </c>
      <c r="I1113" s="7">
        <f t="shared" si="200"/>
        <v>167194</v>
      </c>
      <c r="K1113" s="99"/>
      <c r="L1113" s="99"/>
      <c r="M1113" s="26"/>
      <c r="O1113" s="206"/>
      <c r="P1113" s="59"/>
    </row>
    <row r="1114" spans="1:17" x14ac:dyDescent="0.25">
      <c r="A1114" s="19" t="s">
        <v>26</v>
      </c>
      <c r="C1114" s="6">
        <v>1171710.0636627364</v>
      </c>
      <c r="D1114" s="6">
        <v>1330227</v>
      </c>
      <c r="E1114" s="24"/>
      <c r="F1114" s="99">
        <v>3.5908000000000002</v>
      </c>
      <c r="G1114" s="26" t="s">
        <v>18</v>
      </c>
      <c r="H1114" s="7">
        <f t="shared" si="200"/>
        <v>42074</v>
      </c>
      <c r="I1114" s="7">
        <f t="shared" si="200"/>
        <v>47766</v>
      </c>
      <c r="J1114" s="24"/>
      <c r="K1114" s="99"/>
      <c r="L1114" s="99"/>
      <c r="M1114" s="26"/>
      <c r="O1114" s="206"/>
      <c r="P1114" s="59"/>
    </row>
    <row r="1115" spans="1:17" x14ac:dyDescent="0.25">
      <c r="A1115" s="19" t="s">
        <v>124</v>
      </c>
      <c r="C1115" s="6">
        <v>4225671.0712244231</v>
      </c>
      <c r="D1115" s="6">
        <v>5333865</v>
      </c>
      <c r="F1115" s="99">
        <v>9.9693000000000005</v>
      </c>
      <c r="G1115" s="26" t="s">
        <v>18</v>
      </c>
      <c r="H1115" s="7">
        <f t="shared" si="200"/>
        <v>421270</v>
      </c>
      <c r="I1115" s="7">
        <f t="shared" si="200"/>
        <v>531749</v>
      </c>
      <c r="K1115" s="99"/>
      <c r="L1115" s="99"/>
      <c r="M1115" s="26"/>
      <c r="O1115" s="206"/>
      <c r="P1115" s="59"/>
    </row>
    <row r="1116" spans="1:17" x14ac:dyDescent="0.25">
      <c r="A1116" s="19" t="s">
        <v>125</v>
      </c>
      <c r="C1116" s="6">
        <v>3908055.2039668453</v>
      </c>
      <c r="D1116" s="6">
        <v>4932953</v>
      </c>
      <c r="E1116" s="24"/>
      <c r="F1116" s="99">
        <v>3.0059999999999998</v>
      </c>
      <c r="G1116" s="26" t="s">
        <v>18</v>
      </c>
      <c r="H1116" s="7">
        <f t="shared" si="200"/>
        <v>117476</v>
      </c>
      <c r="I1116" s="7">
        <f t="shared" si="200"/>
        <v>148285</v>
      </c>
      <c r="J1116" s="24"/>
      <c r="K1116" s="99"/>
      <c r="L1116" s="99"/>
      <c r="M1116" s="26"/>
      <c r="O1116" s="206"/>
      <c r="P1116" s="59"/>
    </row>
    <row r="1117" spans="1:17" x14ac:dyDescent="0.25">
      <c r="A1117" s="19" t="s">
        <v>33</v>
      </c>
      <c r="C1117" s="36">
        <v>55861</v>
      </c>
      <c r="D1117" s="36">
        <v>0</v>
      </c>
      <c r="H1117" s="37">
        <v>8044</v>
      </c>
      <c r="I1117" s="37">
        <v>0</v>
      </c>
      <c r="N1117" s="37"/>
      <c r="Q1117" s="64"/>
    </row>
    <row r="1118" spans="1:17" x14ac:dyDescent="0.25">
      <c r="A1118" s="19" t="s">
        <v>34</v>
      </c>
      <c r="F1118" s="23">
        <v>-4.99E-2</v>
      </c>
      <c r="G1118" s="24"/>
      <c r="H1118" s="7">
        <f>SUM(H1113:H1116)*$F1118</f>
        <v>-36331.740899999997</v>
      </c>
      <c r="I1118" s="7">
        <f>SUM(I1113:I1116)*$F1118</f>
        <v>-44660.200599999996</v>
      </c>
      <c r="K1118" s="93" t="str">
        <f>$K$43</f>
        <v>TAA 1 (1/1/2021)</v>
      </c>
      <c r="L1118" s="23">
        <f>$L$979</f>
        <v>-2.9100000000000001E-2</v>
      </c>
      <c r="M1118" s="24"/>
      <c r="N1118" s="7">
        <f>L1118*SUM(N1101:N1104)</f>
        <v>-30413.282999999999</v>
      </c>
      <c r="O1118" s="65"/>
      <c r="P1118" s="57"/>
    </row>
    <row r="1119" spans="1:17" x14ac:dyDescent="0.25">
      <c r="A1119" s="19"/>
      <c r="F1119" s="23"/>
      <c r="G1119" s="24"/>
      <c r="K1119" s="93" t="str">
        <f>$K$44</f>
        <v>TAA 2 (1/1/2022)</v>
      </c>
      <c r="L1119" s="23">
        <f>$L$980</f>
        <v>-1.46E-2</v>
      </c>
      <c r="M1119" s="24"/>
      <c r="N1119" s="7">
        <f>L1119*SUM(N1101:N1104)</f>
        <v>-15258.897999999999</v>
      </c>
      <c r="O1119" s="65"/>
      <c r="P1119" s="57"/>
    </row>
    <row r="1120" spans="1:17" ht="16.5" thickBot="1" x14ac:dyDescent="0.3">
      <c r="A1120" s="19" t="s">
        <v>36</v>
      </c>
      <c r="C1120" s="101">
        <v>10596105.350323541</v>
      </c>
      <c r="D1120" s="101">
        <v>12998906.024246655</v>
      </c>
      <c r="F1120" s="41"/>
      <c r="H1120" s="95">
        <f>SUM(H1109:H1118)</f>
        <v>1371503.2590999999</v>
      </c>
      <c r="I1120" s="95">
        <f>SUM(I1109:I1118)</f>
        <v>1676723.7993999999</v>
      </c>
      <c r="K1120" s="41"/>
      <c r="L1120" s="41"/>
      <c r="N1120" s="95">
        <f>SUM(N1101:N1117)</f>
        <v>1349594</v>
      </c>
      <c r="O1120" s="68"/>
      <c r="Q1120" s="208"/>
    </row>
    <row r="1121" spans="1:16" ht="16.5" thickTop="1" x14ac:dyDescent="0.25"/>
    <row r="1122" spans="1:16" x14ac:dyDescent="0.25">
      <c r="A1122" s="15" t="s">
        <v>132</v>
      </c>
      <c r="F1122" s="100"/>
      <c r="G1122" s="100"/>
      <c r="K1122" s="100"/>
      <c r="L1122" s="100"/>
      <c r="M1122" s="100"/>
      <c r="O1122" s="207"/>
      <c r="P1122" s="207"/>
    </row>
    <row r="1123" spans="1:16" x14ac:dyDescent="0.25">
      <c r="A1123" s="19" t="s">
        <v>69</v>
      </c>
      <c r="C1123" s="6">
        <v>233367.5</v>
      </c>
      <c r="D1123" s="6">
        <v>1128072.0769230761</v>
      </c>
      <c r="E1123" s="24"/>
      <c r="F1123" s="99"/>
      <c r="G1123" s="26"/>
      <c r="J1123" s="24"/>
      <c r="K1123" s="99"/>
      <c r="L1123" s="99">
        <f t="shared" ref="L1123:L1131" si="201">L1057</f>
        <v>22.156199999999998</v>
      </c>
      <c r="M1123" s="26" t="s">
        <v>18</v>
      </c>
      <c r="N1123" s="7">
        <f t="shared" ref="N1123:N1130" si="202">ROUND($D1123*L1123/100,0)</f>
        <v>249938</v>
      </c>
      <c r="O1123" s="206"/>
      <c r="P1123" s="59"/>
    </row>
    <row r="1124" spans="1:16" x14ac:dyDescent="0.25">
      <c r="A1124" s="19" t="s">
        <v>70</v>
      </c>
      <c r="C1124" s="6">
        <v>418289.5</v>
      </c>
      <c r="D1124" s="6">
        <v>2021963</v>
      </c>
      <c r="E1124" s="24"/>
      <c r="F1124" s="99"/>
      <c r="G1124" s="26"/>
      <c r="J1124" s="24"/>
      <c r="K1124" s="99"/>
      <c r="L1124" s="99">
        <f t="shared" si="201"/>
        <v>4.309899999999999</v>
      </c>
      <c r="M1124" s="26" t="s">
        <v>18</v>
      </c>
      <c r="N1124" s="7">
        <f t="shared" si="202"/>
        <v>87145</v>
      </c>
      <c r="O1124" s="206"/>
      <c r="P1124" s="59"/>
    </row>
    <row r="1125" spans="1:16" x14ac:dyDescent="0.25">
      <c r="A1125" s="19" t="s">
        <v>71</v>
      </c>
      <c r="C1125" s="6">
        <v>502344.50077107706</v>
      </c>
      <c r="D1125" s="6">
        <v>2668816</v>
      </c>
      <c r="E1125" s="24"/>
      <c r="F1125" s="99"/>
      <c r="G1125" s="26"/>
      <c r="J1125" s="24"/>
      <c r="K1125" s="99"/>
      <c r="L1125" s="99">
        <f t="shared" si="201"/>
        <v>19.607299999999999</v>
      </c>
      <c r="M1125" s="26" t="s">
        <v>18</v>
      </c>
      <c r="N1125" s="7">
        <f t="shared" si="202"/>
        <v>523283</v>
      </c>
      <c r="O1125" s="206"/>
      <c r="P1125" s="59"/>
    </row>
    <row r="1126" spans="1:16" x14ac:dyDescent="0.25">
      <c r="A1126" s="19" t="s">
        <v>72</v>
      </c>
      <c r="C1126" s="6">
        <v>868836.999228923</v>
      </c>
      <c r="D1126" s="6">
        <v>4615889</v>
      </c>
      <c r="E1126" s="24"/>
      <c r="F1126" s="99"/>
      <c r="G1126" s="26"/>
      <c r="J1126" s="24"/>
      <c r="K1126" s="99"/>
      <c r="L1126" s="99">
        <f t="shared" si="201"/>
        <v>3.8140999999999989</v>
      </c>
      <c r="M1126" s="26" t="s">
        <v>18</v>
      </c>
      <c r="N1126" s="7">
        <f t="shared" si="202"/>
        <v>176055</v>
      </c>
      <c r="O1126" s="206"/>
      <c r="P1126" s="59"/>
    </row>
    <row r="1127" spans="1:16" x14ac:dyDescent="0.25">
      <c r="A1127" s="19" t="s">
        <v>73</v>
      </c>
      <c r="C1127" s="6">
        <v>467860</v>
      </c>
      <c r="D1127" s="6">
        <v>2261582.0769230761</v>
      </c>
      <c r="E1127" s="24"/>
      <c r="F1127" s="99"/>
      <c r="G1127" s="26"/>
      <c r="J1127" s="24"/>
      <c r="K1127" s="99"/>
      <c r="L1127" s="99">
        <f t="shared" si="201"/>
        <v>6</v>
      </c>
      <c r="M1127" s="26" t="s">
        <v>18</v>
      </c>
      <c r="N1127" s="7">
        <f t="shared" si="202"/>
        <v>135695</v>
      </c>
      <c r="O1127" s="206"/>
      <c r="P1127" s="59"/>
    </row>
    <row r="1128" spans="1:16" x14ac:dyDescent="0.25">
      <c r="A1128" s="19" t="s">
        <v>74</v>
      </c>
      <c r="C1128" s="6">
        <v>183797</v>
      </c>
      <c r="D1128" s="6">
        <v>888453</v>
      </c>
      <c r="E1128" s="24"/>
      <c r="F1128" s="99"/>
      <c r="G1128" s="26"/>
      <c r="J1128" s="24"/>
      <c r="K1128" s="99"/>
      <c r="L1128" s="99">
        <f t="shared" si="201"/>
        <v>-2.335799999999999</v>
      </c>
      <c r="M1128" s="26" t="s">
        <v>18</v>
      </c>
      <c r="N1128" s="7">
        <f t="shared" si="202"/>
        <v>-20752</v>
      </c>
      <c r="O1128" s="206"/>
      <c r="P1128" s="59"/>
    </row>
    <row r="1129" spans="1:16" x14ac:dyDescent="0.25">
      <c r="A1129" s="19" t="s">
        <v>75</v>
      </c>
      <c r="C1129" s="6">
        <v>1001125.5</v>
      </c>
      <c r="D1129" s="6">
        <v>5318701</v>
      </c>
      <c r="E1129" s="24"/>
      <c r="F1129" s="99"/>
      <c r="G1129" s="26"/>
      <c r="J1129" s="24"/>
      <c r="K1129" s="99"/>
      <c r="L1129" s="99">
        <f t="shared" si="201"/>
        <v>5.3097000000000003</v>
      </c>
      <c r="M1129" s="26" t="s">
        <v>18</v>
      </c>
      <c r="N1129" s="7">
        <f t="shared" si="202"/>
        <v>282407</v>
      </c>
      <c r="O1129" s="206"/>
      <c r="P1129" s="59"/>
    </row>
    <row r="1130" spans="1:16" x14ac:dyDescent="0.25">
      <c r="A1130" s="19" t="s">
        <v>76</v>
      </c>
      <c r="C1130" s="6">
        <v>370056</v>
      </c>
      <c r="D1130" s="6">
        <v>1966004</v>
      </c>
      <c r="E1130" s="24"/>
      <c r="F1130" s="99"/>
      <c r="G1130" s="26"/>
      <c r="J1130" s="24"/>
      <c r="K1130" s="99"/>
      <c r="L1130" s="99">
        <f t="shared" si="201"/>
        <v>-2.0670999999999999</v>
      </c>
      <c r="M1130" s="26" t="s">
        <v>18</v>
      </c>
      <c r="N1130" s="7">
        <f t="shared" si="202"/>
        <v>-40639</v>
      </c>
      <c r="O1130" s="206"/>
      <c r="P1130" s="59"/>
    </row>
    <row r="1131" spans="1:16" x14ac:dyDescent="0.25">
      <c r="A1131" s="19" t="s">
        <v>68</v>
      </c>
      <c r="C1131" s="6">
        <v>156</v>
      </c>
      <c r="D1131" s="6">
        <v>429</v>
      </c>
      <c r="F1131" s="24">
        <v>54</v>
      </c>
      <c r="G1131" s="24"/>
      <c r="H1131" s="7">
        <f t="shared" ref="H1131:I1134" si="203">ROUND($F1131*C1131,0)</f>
        <v>8424</v>
      </c>
      <c r="I1131" s="7">
        <f t="shared" si="203"/>
        <v>23166</v>
      </c>
      <c r="K1131" s="24"/>
      <c r="L1131" s="24">
        <f t="shared" si="201"/>
        <v>53</v>
      </c>
      <c r="M1131" s="24"/>
      <c r="N1131" s="7">
        <f>ROUND($D1131*L1131,0)</f>
        <v>22737</v>
      </c>
      <c r="O1131" s="57"/>
      <c r="P1131" s="57"/>
    </row>
    <row r="1132" spans="1:16" x14ac:dyDescent="0.25">
      <c r="A1132" s="19" t="s">
        <v>122</v>
      </c>
      <c r="C1132" s="6">
        <v>15736.926380368101</v>
      </c>
      <c r="D1132" s="6">
        <v>41258</v>
      </c>
      <c r="F1132" s="24">
        <v>6.52</v>
      </c>
      <c r="G1132" s="24"/>
      <c r="H1132" s="7">
        <f t="shared" si="203"/>
        <v>102605</v>
      </c>
      <c r="I1132" s="7">
        <f t="shared" si="203"/>
        <v>269002</v>
      </c>
      <c r="K1132" s="24"/>
      <c r="L1132" s="24"/>
      <c r="M1132" s="24"/>
      <c r="O1132" s="57"/>
      <c r="P1132" s="57"/>
    </row>
    <row r="1133" spans="1:16" x14ac:dyDescent="0.25">
      <c r="A1133" s="19" t="s">
        <v>123</v>
      </c>
      <c r="C1133" s="6">
        <v>21751.0749542962</v>
      </c>
      <c r="D1133" s="6">
        <v>57025</v>
      </c>
      <c r="F1133" s="24">
        <v>5.47</v>
      </c>
      <c r="G1133" s="24"/>
      <c r="H1133" s="7">
        <f t="shared" si="203"/>
        <v>118978</v>
      </c>
      <c r="I1133" s="7">
        <f t="shared" si="203"/>
        <v>311927</v>
      </c>
      <c r="K1133" s="24"/>
      <c r="L1133" s="24"/>
      <c r="M1133" s="24"/>
      <c r="O1133" s="57"/>
      <c r="P1133" s="57"/>
    </row>
    <row r="1134" spans="1:16" x14ac:dyDescent="0.25">
      <c r="A1134" s="19" t="s">
        <v>77</v>
      </c>
      <c r="C1134" s="6">
        <v>5955</v>
      </c>
      <c r="D1134" s="6">
        <v>15612</v>
      </c>
      <c r="E1134" s="24"/>
      <c r="F1134" s="24">
        <v>-0.61</v>
      </c>
      <c r="G1134" s="24"/>
      <c r="H1134" s="7">
        <f t="shared" si="203"/>
        <v>-3633</v>
      </c>
      <c r="I1134" s="7">
        <f t="shared" si="203"/>
        <v>-9523</v>
      </c>
      <c r="J1134" s="24"/>
      <c r="K1134" s="24"/>
      <c r="L1134" s="24">
        <f>L1068</f>
        <v>-0.61</v>
      </c>
      <c r="M1134" s="24"/>
      <c r="N1134" s="7">
        <f>ROUND($D1134*L1134,0)</f>
        <v>-9523</v>
      </c>
      <c r="O1134" s="57"/>
      <c r="P1134" s="57"/>
    </row>
    <row r="1135" spans="1:16" x14ac:dyDescent="0.25">
      <c r="A1135" s="19" t="s">
        <v>25</v>
      </c>
      <c r="C1135" s="6">
        <v>1146195</v>
      </c>
      <c r="D1135" s="6">
        <v>2804282.0769230761</v>
      </c>
      <c r="E1135" s="24"/>
      <c r="F1135" s="99">
        <v>11.926600000000001</v>
      </c>
      <c r="G1135" s="26" t="s">
        <v>18</v>
      </c>
      <c r="H1135" s="7">
        <f t="shared" ref="H1135:I1138" si="204">ROUND($F1135*C1135/100,0)</f>
        <v>136702</v>
      </c>
      <c r="I1135" s="7">
        <f t="shared" si="204"/>
        <v>334456</v>
      </c>
      <c r="J1135" s="24"/>
      <c r="K1135" s="99"/>
      <c r="L1135" s="99"/>
      <c r="M1135" s="26"/>
      <c r="O1135" s="206"/>
      <c r="P1135" s="59"/>
    </row>
    <row r="1136" spans="1:16" x14ac:dyDescent="0.25">
      <c r="A1136" s="19" t="s">
        <v>26</v>
      </c>
      <c r="C1136" s="6">
        <v>444113</v>
      </c>
      <c r="D1136" s="6">
        <v>1086568</v>
      </c>
      <c r="E1136" s="24"/>
      <c r="F1136" s="99">
        <v>3.5908000000000002</v>
      </c>
      <c r="G1136" s="26" t="s">
        <v>18</v>
      </c>
      <c r="H1136" s="7">
        <f t="shared" si="204"/>
        <v>15947</v>
      </c>
      <c r="I1136" s="7">
        <f t="shared" si="204"/>
        <v>39016</v>
      </c>
      <c r="J1136" s="24"/>
      <c r="K1136" s="99"/>
      <c r="L1136" s="99"/>
      <c r="M1136" s="26"/>
      <c r="O1136" s="206"/>
      <c r="P1136" s="59"/>
    </row>
    <row r="1137" spans="1:17" x14ac:dyDescent="0.25">
      <c r="A1137" s="19" t="s">
        <v>124</v>
      </c>
      <c r="C1137" s="6">
        <v>1791776</v>
      </c>
      <c r="D1137" s="6">
        <v>4775325</v>
      </c>
      <c r="E1137" s="24"/>
      <c r="F1137" s="99">
        <v>9.9693000000000005</v>
      </c>
      <c r="G1137" s="26" t="s">
        <v>18</v>
      </c>
      <c r="H1137" s="7">
        <f t="shared" si="204"/>
        <v>178628</v>
      </c>
      <c r="I1137" s="7">
        <f t="shared" si="204"/>
        <v>476066</v>
      </c>
      <c r="J1137" s="24"/>
      <c r="K1137" s="99"/>
      <c r="L1137" s="99"/>
      <c r="M1137" s="26"/>
      <c r="O1137" s="206"/>
      <c r="P1137" s="59"/>
    </row>
    <row r="1138" spans="1:17" x14ac:dyDescent="0.25">
      <c r="A1138" s="19" t="s">
        <v>125</v>
      </c>
      <c r="C1138" s="6">
        <v>663593</v>
      </c>
      <c r="D1138" s="6">
        <v>1768565</v>
      </c>
      <c r="E1138" s="24"/>
      <c r="F1138" s="99">
        <v>3.0059999999999998</v>
      </c>
      <c r="G1138" s="26" t="s">
        <v>18</v>
      </c>
      <c r="H1138" s="7">
        <f t="shared" si="204"/>
        <v>19948</v>
      </c>
      <c r="I1138" s="7">
        <f t="shared" si="204"/>
        <v>53163</v>
      </c>
      <c r="J1138" s="24"/>
      <c r="K1138" s="99"/>
      <c r="L1138" s="99"/>
      <c r="M1138" s="26"/>
      <c r="O1138" s="206"/>
      <c r="P1138" s="59"/>
    </row>
    <row r="1139" spans="1:17" x14ac:dyDescent="0.25">
      <c r="A1139" s="19" t="s">
        <v>33</v>
      </c>
      <c r="C1139" s="36">
        <v>-65582</v>
      </c>
      <c r="D1139" s="36">
        <v>0</v>
      </c>
      <c r="H1139" s="37">
        <v>-8507</v>
      </c>
      <c r="I1139" s="37">
        <v>0</v>
      </c>
      <c r="N1139" s="37"/>
      <c r="Q1139" s="64"/>
    </row>
    <row r="1140" spans="1:17" x14ac:dyDescent="0.25">
      <c r="A1140" s="19" t="s">
        <v>34</v>
      </c>
      <c r="F1140" s="23">
        <v>-4.99E-2</v>
      </c>
      <c r="G1140" s="24"/>
      <c r="H1140" s="7">
        <f>SUM(H1135:H1138)*$F1140</f>
        <v>-17526.127499999999</v>
      </c>
      <c r="I1140" s="7">
        <f>SUM(I1135:I1138)*$F1140</f>
        <v>-45044.779900000001</v>
      </c>
      <c r="K1140" s="93" t="str">
        <f>$K$43</f>
        <v>TAA 1 (1/1/2021)</v>
      </c>
      <c r="L1140" s="23">
        <f>$L$979</f>
        <v>-2.9100000000000001E-2</v>
      </c>
      <c r="M1140" s="24"/>
      <c r="N1140" s="7">
        <f>L1140*SUM(N1123:N1126)</f>
        <v>-30159.8511</v>
      </c>
      <c r="O1140" s="65"/>
      <c r="P1140" s="57"/>
    </row>
    <row r="1141" spans="1:17" x14ac:dyDescent="0.25">
      <c r="A1141" s="19"/>
      <c r="F1141" s="23"/>
      <c r="G1141" s="24"/>
      <c r="K1141" s="93" t="str">
        <f>$K$44</f>
        <v>TAA 2 (1/1/2022)</v>
      </c>
      <c r="L1141" s="23">
        <f>$L$980</f>
        <v>-1.46E-2</v>
      </c>
      <c r="M1141" s="24"/>
      <c r="N1141" s="7">
        <f>L1141*SUM(N1123:N1126)</f>
        <v>-15131.7466</v>
      </c>
      <c r="O1141" s="65"/>
      <c r="P1141" s="57"/>
    </row>
    <row r="1142" spans="1:17" ht="16.5" thickBot="1" x14ac:dyDescent="0.3">
      <c r="A1142" s="19" t="s">
        <v>36</v>
      </c>
      <c r="C1142" s="101">
        <v>3980095</v>
      </c>
      <c r="D1142" s="101">
        <v>10434740.076923076</v>
      </c>
      <c r="E1142" s="24"/>
      <c r="F1142" s="41"/>
      <c r="H1142" s="95">
        <f>SUM(H1131:H1140)</f>
        <v>551565.87250000006</v>
      </c>
      <c r="I1142" s="95">
        <f>SUM(I1131:I1140)</f>
        <v>1452228.2201</v>
      </c>
      <c r="J1142" s="24"/>
      <c r="K1142" s="41"/>
      <c r="L1142" s="41"/>
      <c r="N1142" s="95">
        <f>SUM(N1123:N1139)</f>
        <v>1406346</v>
      </c>
      <c r="O1142" s="68"/>
      <c r="Q1142" s="208"/>
    </row>
    <row r="1143" spans="1:17" ht="16.5" thickTop="1" x14ac:dyDescent="0.25">
      <c r="E1143" s="24"/>
      <c r="J1143" s="24"/>
    </row>
    <row r="1144" spans="1:17" x14ac:dyDescent="0.25">
      <c r="A1144" s="15" t="s">
        <v>133</v>
      </c>
      <c r="F1144" s="100"/>
      <c r="G1144" s="100"/>
      <c r="K1144" s="100"/>
      <c r="L1144" s="100"/>
      <c r="M1144" s="100"/>
      <c r="O1144" s="207"/>
      <c r="P1144" s="207"/>
    </row>
    <row r="1145" spans="1:17" x14ac:dyDescent="0.25">
      <c r="A1145" s="19" t="s">
        <v>69</v>
      </c>
      <c r="C1145" s="6">
        <v>13322.339107795206</v>
      </c>
      <c r="D1145" s="6">
        <v>0</v>
      </c>
      <c r="E1145" s="24"/>
      <c r="F1145" s="99"/>
      <c r="G1145" s="26"/>
      <c r="J1145" s="24"/>
      <c r="K1145" s="99"/>
      <c r="L1145" s="99">
        <f t="shared" ref="L1145:L1153" si="205">L961</f>
        <v>22.156199999999998</v>
      </c>
      <c r="M1145" s="26" t="s">
        <v>18</v>
      </c>
      <c r="N1145" s="7">
        <f t="shared" ref="N1145:N1152" si="206">ROUND($D1145*L1145/100,0)</f>
        <v>0</v>
      </c>
      <c r="O1145" s="206"/>
      <c r="P1145" s="59"/>
    </row>
    <row r="1146" spans="1:17" x14ac:dyDescent="0.25">
      <c r="A1146" s="19" t="s">
        <v>70</v>
      </c>
      <c r="C1146" s="6">
        <v>53605.44143337437</v>
      </c>
      <c r="D1146" s="6">
        <v>0</v>
      </c>
      <c r="E1146" s="24"/>
      <c r="F1146" s="99"/>
      <c r="G1146" s="26"/>
      <c r="J1146" s="24"/>
      <c r="K1146" s="99"/>
      <c r="L1146" s="99">
        <f t="shared" si="205"/>
        <v>4.309899999999999</v>
      </c>
      <c r="M1146" s="26" t="s">
        <v>18</v>
      </c>
      <c r="N1146" s="7">
        <f t="shared" si="206"/>
        <v>0</v>
      </c>
      <c r="O1146" s="206"/>
      <c r="P1146" s="59"/>
    </row>
    <row r="1147" spans="1:17" x14ac:dyDescent="0.25">
      <c r="A1147" s="19" t="s">
        <v>71</v>
      </c>
      <c r="C1147" s="6">
        <v>13895.672297448593</v>
      </c>
      <c r="D1147" s="6">
        <v>0</v>
      </c>
      <c r="E1147" s="24"/>
      <c r="F1147" s="99"/>
      <c r="G1147" s="26"/>
      <c r="J1147" s="24"/>
      <c r="K1147" s="99"/>
      <c r="L1147" s="99">
        <f t="shared" si="205"/>
        <v>19.607299999999999</v>
      </c>
      <c r="M1147" s="26" t="s">
        <v>18</v>
      </c>
      <c r="N1147" s="7">
        <f t="shared" si="206"/>
        <v>0</v>
      </c>
      <c r="O1147" s="206"/>
      <c r="P1147" s="59"/>
    </row>
    <row r="1148" spans="1:17" x14ac:dyDescent="0.25">
      <c r="A1148" s="19" t="s">
        <v>72</v>
      </c>
      <c r="C1148" s="6">
        <v>68636.435521739491</v>
      </c>
      <c r="D1148" s="6">
        <v>0</v>
      </c>
      <c r="E1148" s="24"/>
      <c r="F1148" s="99"/>
      <c r="G1148" s="26"/>
      <c r="J1148" s="24"/>
      <c r="K1148" s="99"/>
      <c r="L1148" s="99">
        <f t="shared" si="205"/>
        <v>3.8140999999999989</v>
      </c>
      <c r="M1148" s="26" t="s">
        <v>18</v>
      </c>
      <c r="N1148" s="7">
        <f t="shared" si="206"/>
        <v>0</v>
      </c>
      <c r="O1148" s="206"/>
      <c r="P1148" s="59"/>
    </row>
    <row r="1149" spans="1:17" x14ac:dyDescent="0.25">
      <c r="A1149" s="19" t="s">
        <v>73</v>
      </c>
      <c r="C1149" s="6">
        <v>34787.289603337464</v>
      </c>
      <c r="D1149" s="6">
        <v>0</v>
      </c>
      <c r="E1149" s="24"/>
      <c r="F1149" s="99"/>
      <c r="G1149" s="26"/>
      <c r="J1149" s="24"/>
      <c r="K1149" s="99"/>
      <c r="L1149" s="99">
        <f t="shared" si="205"/>
        <v>6</v>
      </c>
      <c r="M1149" s="26" t="s">
        <v>18</v>
      </c>
      <c r="N1149" s="7">
        <f t="shared" si="206"/>
        <v>0</v>
      </c>
      <c r="O1149" s="206"/>
      <c r="P1149" s="59"/>
    </row>
    <row r="1150" spans="1:17" x14ac:dyDescent="0.25">
      <c r="A1150" s="19" t="s">
        <v>74</v>
      </c>
      <c r="C1150" s="6">
        <v>32140.490937832117</v>
      </c>
      <c r="D1150" s="6">
        <v>0</v>
      </c>
      <c r="E1150" s="24"/>
      <c r="F1150" s="99"/>
      <c r="G1150" s="26"/>
      <c r="J1150" s="24"/>
      <c r="K1150" s="99"/>
      <c r="L1150" s="99">
        <f t="shared" si="205"/>
        <v>-2.335799999999999</v>
      </c>
      <c r="M1150" s="26" t="s">
        <v>18</v>
      </c>
      <c r="N1150" s="7">
        <f t="shared" si="206"/>
        <v>0</v>
      </c>
      <c r="O1150" s="206"/>
      <c r="P1150" s="59"/>
    </row>
    <row r="1151" spans="1:17" x14ac:dyDescent="0.25">
      <c r="A1151" s="19" t="s">
        <v>75</v>
      </c>
      <c r="C1151" s="6">
        <v>40510.527629505144</v>
      </c>
      <c r="D1151" s="6">
        <v>0</v>
      </c>
      <c r="E1151" s="24"/>
      <c r="F1151" s="99"/>
      <c r="G1151" s="26"/>
      <c r="J1151" s="24"/>
      <c r="K1151" s="99"/>
      <c r="L1151" s="99">
        <f t="shared" si="205"/>
        <v>5.3097000000000003</v>
      </c>
      <c r="M1151" s="26" t="s">
        <v>18</v>
      </c>
      <c r="N1151" s="7">
        <f t="shared" si="206"/>
        <v>0</v>
      </c>
      <c r="O1151" s="206"/>
      <c r="P1151" s="59"/>
    </row>
    <row r="1152" spans="1:17" x14ac:dyDescent="0.25">
      <c r="A1152" s="19" t="s">
        <v>76</v>
      </c>
      <c r="C1152" s="6">
        <v>42021.580189682936</v>
      </c>
      <c r="D1152" s="6">
        <v>0</v>
      </c>
      <c r="E1152" s="24"/>
      <c r="F1152" s="99"/>
      <c r="G1152" s="26"/>
      <c r="J1152" s="24"/>
      <c r="K1152" s="99"/>
      <c r="L1152" s="99">
        <f t="shared" si="205"/>
        <v>-2.0670999999999999</v>
      </c>
      <c r="M1152" s="26" t="s">
        <v>18</v>
      </c>
      <c r="N1152" s="7">
        <f t="shared" si="206"/>
        <v>0</v>
      </c>
      <c r="O1152" s="206"/>
      <c r="P1152" s="59"/>
    </row>
    <row r="1153" spans="1:17" x14ac:dyDescent="0.25">
      <c r="A1153" s="19" t="s">
        <v>68</v>
      </c>
      <c r="C1153" s="6">
        <v>14.6</v>
      </c>
      <c r="D1153" s="6">
        <v>0</v>
      </c>
      <c r="F1153" s="24">
        <v>54</v>
      </c>
      <c r="G1153" s="24"/>
      <c r="H1153" s="7">
        <f t="shared" ref="H1153:I1156" si="207">ROUND($F1153*C1153,0)</f>
        <v>788</v>
      </c>
      <c r="I1153" s="7">
        <f t="shared" si="207"/>
        <v>0</v>
      </c>
      <c r="K1153" s="24"/>
      <c r="L1153" s="24">
        <f t="shared" si="205"/>
        <v>53</v>
      </c>
      <c r="M1153" s="24"/>
      <c r="N1153" s="7">
        <f>ROUND($D1153*L1153,0)</f>
        <v>0</v>
      </c>
      <c r="O1153" s="57"/>
      <c r="P1153" s="57"/>
    </row>
    <row r="1154" spans="1:17" x14ac:dyDescent="0.25">
      <c r="A1154" s="19" t="s">
        <v>122</v>
      </c>
      <c r="C1154" s="6">
        <v>610.87423312883402</v>
      </c>
      <c r="D1154" s="6">
        <v>0</v>
      </c>
      <c r="F1154" s="24">
        <v>6.52</v>
      </c>
      <c r="G1154" s="24"/>
      <c r="H1154" s="7">
        <f t="shared" si="207"/>
        <v>3983</v>
      </c>
      <c r="I1154" s="7">
        <f t="shared" si="207"/>
        <v>0</v>
      </c>
      <c r="K1154" s="24"/>
      <c r="L1154" s="24"/>
      <c r="M1154" s="24"/>
      <c r="O1154" s="57"/>
      <c r="P1154" s="57"/>
    </row>
    <row r="1155" spans="1:17" x14ac:dyDescent="0.25">
      <c r="A1155" s="19" t="s">
        <v>123</v>
      </c>
      <c r="C1155" s="6">
        <v>476.79341864716599</v>
      </c>
      <c r="D1155" s="6">
        <v>0</v>
      </c>
      <c r="F1155" s="24">
        <v>5.47</v>
      </c>
      <c r="G1155" s="24"/>
      <c r="H1155" s="7">
        <f t="shared" si="207"/>
        <v>2608</v>
      </c>
      <c r="I1155" s="7">
        <f t="shared" si="207"/>
        <v>0</v>
      </c>
      <c r="K1155" s="24"/>
      <c r="L1155" s="24"/>
      <c r="M1155" s="24"/>
      <c r="O1155" s="57"/>
      <c r="P1155" s="57"/>
    </row>
    <row r="1156" spans="1:17" x14ac:dyDescent="0.25">
      <c r="A1156" s="19" t="s">
        <v>77</v>
      </c>
      <c r="C1156" s="6">
        <v>0</v>
      </c>
      <c r="D1156" s="6">
        <v>0</v>
      </c>
      <c r="F1156" s="24">
        <v>-0.61</v>
      </c>
      <c r="G1156" s="24"/>
      <c r="H1156" s="7">
        <f t="shared" si="207"/>
        <v>0</v>
      </c>
      <c r="I1156" s="7">
        <f t="shared" si="207"/>
        <v>0</v>
      </c>
      <c r="K1156" s="24"/>
      <c r="L1156" s="24">
        <f>L972</f>
        <v>-0.61</v>
      </c>
      <c r="M1156" s="24"/>
      <c r="N1156" s="7">
        <f>ROUND($D1156*L1156,0)</f>
        <v>0</v>
      </c>
      <c r="O1156" s="57"/>
      <c r="P1156" s="57"/>
    </row>
    <row r="1157" spans="1:17" x14ac:dyDescent="0.25">
      <c r="A1157" s="19" t="s">
        <v>25</v>
      </c>
      <c r="C1157" s="6">
        <v>76746.183037327341</v>
      </c>
      <c r="D1157" s="6">
        <v>0</v>
      </c>
      <c r="F1157" s="99">
        <v>11.926600000000001</v>
      </c>
      <c r="G1157" s="26" t="s">
        <v>18</v>
      </c>
      <c r="H1157" s="7">
        <f t="shared" ref="H1157:I1160" si="208">ROUND($F1157*C1157/100,0)</f>
        <v>9153</v>
      </c>
      <c r="I1157" s="7">
        <f t="shared" si="208"/>
        <v>0</v>
      </c>
      <c r="K1157" s="99"/>
      <c r="L1157" s="99"/>
      <c r="M1157" s="26"/>
      <c r="O1157" s="206"/>
      <c r="P1157" s="59"/>
    </row>
    <row r="1158" spans="1:17" x14ac:dyDescent="0.25">
      <c r="A1158" s="19" t="s">
        <v>26</v>
      </c>
      <c r="C1158" s="6">
        <v>70349.781849994804</v>
      </c>
      <c r="D1158" s="6">
        <v>0</v>
      </c>
      <c r="E1158" s="24"/>
      <c r="F1158" s="99">
        <v>3.5908000000000002</v>
      </c>
      <c r="G1158" s="26" t="s">
        <v>18</v>
      </c>
      <c r="H1158" s="7">
        <f t="shared" si="208"/>
        <v>2526</v>
      </c>
      <c r="I1158" s="7">
        <f t="shared" si="208"/>
        <v>0</v>
      </c>
      <c r="J1158" s="24"/>
      <c r="K1158" s="99"/>
      <c r="L1158" s="99"/>
      <c r="M1158" s="26"/>
      <c r="O1158" s="206"/>
      <c r="P1158" s="59"/>
    </row>
    <row r="1159" spans="1:17" x14ac:dyDescent="0.25">
      <c r="A1159" s="19" t="s">
        <v>124</v>
      </c>
      <c r="C1159" s="6">
        <v>73676.63419551526</v>
      </c>
      <c r="D1159" s="6">
        <v>0</v>
      </c>
      <c r="F1159" s="99">
        <v>9.9693000000000005</v>
      </c>
      <c r="G1159" s="26" t="s">
        <v>18</v>
      </c>
      <c r="H1159" s="7">
        <f t="shared" si="208"/>
        <v>7345</v>
      </c>
      <c r="I1159" s="7">
        <f t="shared" si="208"/>
        <v>0</v>
      </c>
      <c r="K1159" s="99"/>
      <c r="L1159" s="99"/>
      <c r="M1159" s="26"/>
      <c r="O1159" s="206"/>
      <c r="P1159" s="59"/>
    </row>
    <row r="1160" spans="1:17" x14ac:dyDescent="0.25">
      <c r="A1160" s="19" t="s">
        <v>125</v>
      </c>
      <c r="C1160" s="6">
        <v>77835.789277520249</v>
      </c>
      <c r="D1160" s="6">
        <v>0</v>
      </c>
      <c r="E1160" s="24"/>
      <c r="F1160" s="99">
        <v>3.0059999999999998</v>
      </c>
      <c r="G1160" s="26" t="s">
        <v>18</v>
      </c>
      <c r="H1160" s="7">
        <f t="shared" si="208"/>
        <v>2340</v>
      </c>
      <c r="I1160" s="7">
        <f t="shared" si="208"/>
        <v>0</v>
      </c>
      <c r="J1160" s="24"/>
      <c r="K1160" s="99"/>
      <c r="L1160" s="99"/>
      <c r="M1160" s="26"/>
      <c r="O1160" s="206"/>
      <c r="P1160" s="59"/>
    </row>
    <row r="1161" spans="1:17" x14ac:dyDescent="0.25">
      <c r="A1161" s="19" t="s">
        <v>33</v>
      </c>
      <c r="C1161" s="36">
        <v>1583</v>
      </c>
      <c r="D1161" s="36">
        <v>0</v>
      </c>
      <c r="H1161" s="37">
        <v>163</v>
      </c>
      <c r="I1161" s="37">
        <v>0</v>
      </c>
      <c r="N1161" s="37"/>
      <c r="Q1161" s="64"/>
    </row>
    <row r="1162" spans="1:17" x14ac:dyDescent="0.25">
      <c r="A1162" s="19" t="s">
        <v>34</v>
      </c>
      <c r="F1162" s="23">
        <v>-4.99E-2</v>
      </c>
      <c r="G1162" s="24"/>
      <c r="H1162" s="7">
        <f>SUM(H1157:H1160)*$F1162</f>
        <v>-1066.0636</v>
      </c>
      <c r="I1162" s="7">
        <f>SUM(I1157:I1160)*$F1162</f>
        <v>0</v>
      </c>
      <c r="K1162" s="93" t="str">
        <f>$K$43</f>
        <v>TAA 1 (1/1/2021)</v>
      </c>
      <c r="L1162" s="23">
        <f>$L$979</f>
        <v>-2.9100000000000001E-2</v>
      </c>
      <c r="M1162" s="24"/>
      <c r="N1162" s="7">
        <f>L1162*SUM(N1145:N1148)</f>
        <v>0</v>
      </c>
      <c r="O1162" s="65"/>
      <c r="P1162" s="57"/>
    </row>
    <row r="1163" spans="1:17" x14ac:dyDescent="0.25">
      <c r="A1163" s="19"/>
      <c r="F1163" s="23"/>
      <c r="G1163" s="24"/>
      <c r="K1163" s="93" t="str">
        <f>$K$44</f>
        <v>TAA 2 (1/1/2022)</v>
      </c>
      <c r="L1163" s="23">
        <f>$L$980</f>
        <v>-1.46E-2</v>
      </c>
      <c r="M1163" s="24"/>
      <c r="N1163" s="7">
        <f>L1163*SUM(N1145:N1148)</f>
        <v>0</v>
      </c>
      <c r="O1163" s="65"/>
      <c r="P1163" s="57"/>
    </row>
    <row r="1164" spans="1:17" ht="16.5" thickBot="1" x14ac:dyDescent="0.3">
      <c r="A1164" s="19" t="s">
        <v>36</v>
      </c>
      <c r="C1164" s="101">
        <v>300191.38836035767</v>
      </c>
      <c r="D1164" s="101">
        <v>0</v>
      </c>
      <c r="F1164" s="41"/>
      <c r="H1164" s="95">
        <f>SUM(H1153:H1162)</f>
        <v>27839.936399999999</v>
      </c>
      <c r="I1164" s="95">
        <f>SUM(I1153:I1162)</f>
        <v>0</v>
      </c>
      <c r="K1164" s="41"/>
      <c r="L1164" s="41"/>
      <c r="N1164" s="95">
        <f>SUM(N1145:N1161)</f>
        <v>0</v>
      </c>
      <c r="O1164" s="68"/>
      <c r="Q1164" s="208"/>
    </row>
    <row r="1165" spans="1:17" ht="16.5" thickTop="1" x14ac:dyDescent="0.25"/>
    <row r="1166" spans="1:17" x14ac:dyDescent="0.25">
      <c r="A1166" s="15" t="s">
        <v>134</v>
      </c>
    </row>
    <row r="1167" spans="1:17" x14ac:dyDescent="0.25">
      <c r="A1167" s="106" t="s">
        <v>135</v>
      </c>
    </row>
    <row r="1168" spans="1:17" x14ac:dyDescent="0.25">
      <c r="A1168" s="19" t="s">
        <v>136</v>
      </c>
      <c r="B1168" s="5">
        <v>29</v>
      </c>
      <c r="C1168" s="6">
        <v>0</v>
      </c>
      <c r="D1168" s="6">
        <v>0</v>
      </c>
      <c r="F1168" s="20">
        <v>5.68</v>
      </c>
      <c r="G1168" s="20"/>
      <c r="H1168" s="7">
        <f t="shared" ref="H1168:I1171" si="209">ROUND($F1168*C1168,0)</f>
        <v>0</v>
      </c>
      <c r="I1168" s="7">
        <f t="shared" si="209"/>
        <v>0</v>
      </c>
      <c r="K1168" s="20"/>
      <c r="L1168" s="20"/>
      <c r="M1168" s="20"/>
      <c r="O1168" s="55"/>
      <c r="P1168" s="55"/>
    </row>
    <row r="1169" spans="1:16" x14ac:dyDescent="0.25">
      <c r="A1169" s="19" t="s">
        <v>137</v>
      </c>
      <c r="B1169" s="5">
        <v>1</v>
      </c>
      <c r="C1169" s="6">
        <v>37029.915140415185</v>
      </c>
      <c r="D1169" s="6">
        <v>36084</v>
      </c>
      <c r="F1169" s="20">
        <v>16.38</v>
      </c>
      <c r="G1169" s="20"/>
      <c r="H1169" s="7">
        <f t="shared" si="209"/>
        <v>606550</v>
      </c>
      <c r="I1169" s="7">
        <f t="shared" si="209"/>
        <v>591056</v>
      </c>
      <c r="K1169" s="20"/>
      <c r="L1169" s="20"/>
      <c r="M1169" s="20"/>
      <c r="O1169" s="55"/>
      <c r="P1169" s="55"/>
    </row>
    <row r="1170" spans="1:16" x14ac:dyDescent="0.25">
      <c r="A1170" s="19" t="s">
        <v>138</v>
      </c>
      <c r="B1170" s="5">
        <v>40</v>
      </c>
      <c r="C1170" s="6">
        <v>0</v>
      </c>
      <c r="D1170" s="6">
        <v>0</v>
      </c>
      <c r="F1170" s="20">
        <v>8.0500000000000007</v>
      </c>
      <c r="G1170" s="20"/>
      <c r="H1170" s="7">
        <f t="shared" si="209"/>
        <v>0</v>
      </c>
      <c r="I1170" s="7">
        <f t="shared" si="209"/>
        <v>0</v>
      </c>
      <c r="K1170" s="20"/>
      <c r="L1170" s="20"/>
      <c r="M1170" s="20"/>
      <c r="O1170" s="55"/>
      <c r="P1170" s="55"/>
    </row>
    <row r="1171" spans="1:16" x14ac:dyDescent="0.25">
      <c r="A1171" s="19" t="s">
        <v>139</v>
      </c>
      <c r="B1171" s="5">
        <v>2</v>
      </c>
      <c r="C1171" s="6">
        <v>9098.6105302464457</v>
      </c>
      <c r="D1171" s="6">
        <v>8903</v>
      </c>
      <c r="F1171" s="20">
        <v>26.78</v>
      </c>
      <c r="G1171" s="20"/>
      <c r="H1171" s="7">
        <f t="shared" si="209"/>
        <v>243661</v>
      </c>
      <c r="I1171" s="7">
        <f t="shared" si="209"/>
        <v>238422</v>
      </c>
      <c r="K1171" s="20"/>
      <c r="L1171" s="20"/>
      <c r="M1171" s="20"/>
      <c r="O1171" s="55"/>
      <c r="P1171" s="55"/>
    </row>
    <row r="1172" spans="1:16" x14ac:dyDescent="0.25">
      <c r="A1172" s="106" t="s">
        <v>140</v>
      </c>
    </row>
    <row r="1173" spans="1:16" x14ac:dyDescent="0.25">
      <c r="A1173" s="19" t="s">
        <v>141</v>
      </c>
      <c r="B1173" s="5">
        <v>3</v>
      </c>
      <c r="C1173" s="6">
        <v>3544.3636986301349</v>
      </c>
      <c r="D1173" s="6">
        <v>3408</v>
      </c>
      <c r="F1173" s="20">
        <v>14.6</v>
      </c>
      <c r="G1173" s="20"/>
      <c r="H1173" s="7">
        <f t="shared" ref="H1173:I1183" si="210">ROUND($F1173*C1173,0)</f>
        <v>51748</v>
      </c>
      <c r="I1173" s="7">
        <f t="shared" si="210"/>
        <v>49757</v>
      </c>
      <c r="K1173" s="20"/>
      <c r="L1173" s="20"/>
      <c r="M1173" s="20"/>
      <c r="O1173" s="55"/>
      <c r="P1173" s="55"/>
    </row>
    <row r="1174" spans="1:16" x14ac:dyDescent="0.25">
      <c r="A1174" s="19" t="s">
        <v>142</v>
      </c>
      <c r="B1174" s="5">
        <v>4</v>
      </c>
      <c r="C1174" s="6">
        <v>1432.432542927228</v>
      </c>
      <c r="D1174" s="6">
        <v>1393</v>
      </c>
      <c r="F1174" s="20">
        <v>12.23</v>
      </c>
      <c r="G1174" s="20"/>
      <c r="H1174" s="7">
        <f t="shared" si="210"/>
        <v>17519</v>
      </c>
      <c r="I1174" s="7">
        <f t="shared" si="210"/>
        <v>17036</v>
      </c>
      <c r="K1174" s="20"/>
      <c r="L1174" s="20"/>
      <c r="M1174" s="20"/>
      <c r="O1174" s="55"/>
      <c r="P1174" s="55"/>
    </row>
    <row r="1175" spans="1:16" x14ac:dyDescent="0.25">
      <c r="A1175" s="19" t="s">
        <v>143</v>
      </c>
      <c r="B1175" s="5">
        <v>5</v>
      </c>
      <c r="C1175" s="6">
        <v>22685.572721396195</v>
      </c>
      <c r="D1175" s="6">
        <v>21807</v>
      </c>
      <c r="F1175" s="20">
        <v>15.47</v>
      </c>
      <c r="G1175" s="20"/>
      <c r="H1175" s="7">
        <f t="shared" si="210"/>
        <v>350946</v>
      </c>
      <c r="I1175" s="7">
        <f t="shared" si="210"/>
        <v>337354</v>
      </c>
      <c r="K1175" s="20"/>
      <c r="L1175" s="20"/>
      <c r="M1175" s="20"/>
      <c r="O1175" s="55"/>
      <c r="P1175" s="55"/>
    </row>
    <row r="1176" spans="1:16" x14ac:dyDescent="0.25">
      <c r="A1176" s="19" t="s">
        <v>144</v>
      </c>
      <c r="B1176" s="5">
        <v>6</v>
      </c>
      <c r="C1176" s="6">
        <v>17865.860255447038</v>
      </c>
      <c r="D1176" s="6">
        <v>17345</v>
      </c>
      <c r="F1176" s="20">
        <v>13.31</v>
      </c>
      <c r="G1176" s="20"/>
      <c r="H1176" s="7">
        <f t="shared" si="210"/>
        <v>237795</v>
      </c>
      <c r="I1176" s="7">
        <f t="shared" si="210"/>
        <v>230862</v>
      </c>
      <c r="K1176" s="20"/>
      <c r="L1176" s="20"/>
      <c r="M1176" s="20"/>
      <c r="O1176" s="55"/>
      <c r="P1176" s="55"/>
    </row>
    <row r="1177" spans="1:16" x14ac:dyDescent="0.25">
      <c r="A1177" s="19" t="s">
        <v>145</v>
      </c>
      <c r="B1177" s="5">
        <v>7</v>
      </c>
      <c r="C1177" s="6">
        <v>3186.1654676258945</v>
      </c>
      <c r="D1177" s="6">
        <v>3018</v>
      </c>
      <c r="F1177" s="20">
        <v>19.46</v>
      </c>
      <c r="G1177" s="20"/>
      <c r="H1177" s="7">
        <f t="shared" si="210"/>
        <v>62003</v>
      </c>
      <c r="I1177" s="7">
        <f t="shared" si="210"/>
        <v>58730</v>
      </c>
      <c r="K1177" s="20"/>
      <c r="L1177" s="20"/>
      <c r="M1177" s="20"/>
      <c r="O1177" s="55"/>
      <c r="P1177" s="55"/>
    </row>
    <row r="1178" spans="1:16" x14ac:dyDescent="0.25">
      <c r="A1178" s="19" t="s">
        <v>146</v>
      </c>
      <c r="B1178" s="5">
        <v>8</v>
      </c>
      <c r="C1178" s="6">
        <v>2284.6351430239388</v>
      </c>
      <c r="D1178" s="6">
        <v>2209</v>
      </c>
      <c r="F1178" s="20">
        <v>17.13</v>
      </c>
      <c r="G1178" s="20"/>
      <c r="H1178" s="7">
        <f t="shared" si="210"/>
        <v>39136</v>
      </c>
      <c r="I1178" s="7">
        <f t="shared" si="210"/>
        <v>37840</v>
      </c>
      <c r="K1178" s="20"/>
      <c r="L1178" s="20"/>
      <c r="M1178" s="20"/>
      <c r="O1178" s="55"/>
      <c r="P1178" s="55"/>
    </row>
    <row r="1179" spans="1:16" x14ac:dyDescent="0.25">
      <c r="A1179" s="19" t="s">
        <v>147</v>
      </c>
      <c r="B1179" s="5">
        <v>9</v>
      </c>
      <c r="C1179" s="6">
        <v>96.233507356430906</v>
      </c>
      <c r="D1179" s="6">
        <v>90</v>
      </c>
      <c r="F1179" s="20">
        <v>21.07</v>
      </c>
      <c r="G1179" s="20"/>
      <c r="H1179" s="7">
        <f t="shared" si="210"/>
        <v>2028</v>
      </c>
      <c r="I1179" s="7">
        <f t="shared" si="210"/>
        <v>1896</v>
      </c>
      <c r="K1179" s="20"/>
      <c r="L1179" s="20"/>
      <c r="M1179" s="20"/>
      <c r="O1179" s="55"/>
      <c r="P1179" s="55"/>
    </row>
    <row r="1180" spans="1:16" x14ac:dyDescent="0.25">
      <c r="A1180" s="19" t="s">
        <v>148</v>
      </c>
      <c r="B1180" s="5">
        <v>10</v>
      </c>
      <c r="C1180" s="6">
        <v>3256.3994045087184</v>
      </c>
      <c r="D1180" s="6">
        <v>3084</v>
      </c>
      <c r="F1180" s="20">
        <v>23.51</v>
      </c>
      <c r="G1180" s="20"/>
      <c r="H1180" s="7">
        <f t="shared" si="210"/>
        <v>76558</v>
      </c>
      <c r="I1180" s="7">
        <f t="shared" si="210"/>
        <v>72505</v>
      </c>
      <c r="K1180" s="20"/>
      <c r="L1180" s="20"/>
      <c r="M1180" s="20"/>
      <c r="O1180" s="55"/>
      <c r="P1180" s="55"/>
    </row>
    <row r="1181" spans="1:16" x14ac:dyDescent="0.25">
      <c r="A1181" s="19" t="s">
        <v>149</v>
      </c>
      <c r="B1181" s="5">
        <v>11</v>
      </c>
      <c r="C1181" s="6">
        <v>3903.236457842675</v>
      </c>
      <c r="D1181" s="6">
        <v>3792</v>
      </c>
      <c r="F1181" s="20">
        <v>21.23</v>
      </c>
      <c r="G1181" s="20"/>
      <c r="H1181" s="7">
        <f t="shared" si="210"/>
        <v>82866</v>
      </c>
      <c r="I1181" s="7">
        <f t="shared" si="210"/>
        <v>80504</v>
      </c>
      <c r="K1181" s="20"/>
      <c r="L1181" s="20"/>
      <c r="M1181" s="20"/>
      <c r="O1181" s="55"/>
      <c r="P1181" s="55"/>
    </row>
    <row r="1182" spans="1:16" x14ac:dyDescent="0.25">
      <c r="A1182" s="19" t="s">
        <v>150</v>
      </c>
      <c r="B1182" s="5">
        <v>12</v>
      </c>
      <c r="C1182" s="6">
        <v>2083.0886925795062</v>
      </c>
      <c r="D1182" s="6">
        <v>1972</v>
      </c>
      <c r="F1182" s="20">
        <v>28.3</v>
      </c>
      <c r="G1182" s="20"/>
      <c r="H1182" s="7">
        <f t="shared" si="210"/>
        <v>58951</v>
      </c>
      <c r="I1182" s="7">
        <f t="shared" si="210"/>
        <v>55808</v>
      </c>
      <c r="K1182" s="20"/>
      <c r="L1182" s="20"/>
      <c r="M1182" s="20"/>
      <c r="O1182" s="55"/>
      <c r="P1182" s="55"/>
    </row>
    <row r="1183" spans="1:16" x14ac:dyDescent="0.25">
      <c r="A1183" s="19" t="s">
        <v>151</v>
      </c>
      <c r="B1183" s="5">
        <v>13</v>
      </c>
      <c r="C1183" s="6">
        <v>2142.9330511735266</v>
      </c>
      <c r="D1183" s="6">
        <v>2067</v>
      </c>
      <c r="F1183" s="20">
        <v>25.99</v>
      </c>
      <c r="G1183" s="20"/>
      <c r="H1183" s="7">
        <f t="shared" si="210"/>
        <v>55695</v>
      </c>
      <c r="I1183" s="7">
        <f t="shared" si="210"/>
        <v>53721</v>
      </c>
      <c r="K1183" s="20"/>
      <c r="L1183" s="20"/>
      <c r="M1183" s="20"/>
      <c r="O1183" s="55"/>
      <c r="P1183" s="55"/>
    </row>
    <row r="1184" spans="1:16" x14ac:dyDescent="0.25">
      <c r="A1184" s="106" t="s">
        <v>152</v>
      </c>
    </row>
    <row r="1185" spans="1:16" x14ac:dyDescent="0.25">
      <c r="A1185" s="19" t="s">
        <v>145</v>
      </c>
      <c r="B1185" s="5">
        <v>14</v>
      </c>
      <c r="C1185" s="6">
        <v>4218.9188078108982</v>
      </c>
      <c r="D1185" s="6">
        <v>4104</v>
      </c>
      <c r="F1185" s="20">
        <v>19.46</v>
      </c>
      <c r="G1185" s="20"/>
      <c r="H1185" s="7">
        <f t="shared" ref="H1185:I1190" si="211">ROUND($F1185*C1185,0)</f>
        <v>82100</v>
      </c>
      <c r="I1185" s="7">
        <f t="shared" si="211"/>
        <v>79864</v>
      </c>
      <c r="K1185" s="20"/>
      <c r="L1185" s="20"/>
      <c r="M1185" s="20"/>
      <c r="O1185" s="55"/>
      <c r="P1185" s="55"/>
    </row>
    <row r="1186" spans="1:16" x14ac:dyDescent="0.25">
      <c r="A1186" s="19" t="s">
        <v>146</v>
      </c>
      <c r="B1186" s="5">
        <v>15</v>
      </c>
      <c r="C1186" s="6">
        <v>4637.4354932866354</v>
      </c>
      <c r="D1186" s="6">
        <v>4494</v>
      </c>
      <c r="F1186" s="20">
        <v>17.13</v>
      </c>
      <c r="G1186" s="20"/>
      <c r="H1186" s="7">
        <f t="shared" si="211"/>
        <v>79439</v>
      </c>
      <c r="I1186" s="7">
        <f t="shared" si="211"/>
        <v>76982</v>
      </c>
      <c r="K1186" s="20"/>
      <c r="L1186" s="20"/>
      <c r="M1186" s="20"/>
      <c r="O1186" s="55"/>
      <c r="P1186" s="55"/>
    </row>
    <row r="1187" spans="1:16" x14ac:dyDescent="0.25">
      <c r="A1187" s="19" t="s">
        <v>148</v>
      </c>
      <c r="B1187" s="5">
        <v>16</v>
      </c>
      <c r="C1187" s="6">
        <v>943.19906422798852</v>
      </c>
      <c r="D1187" s="6">
        <v>906</v>
      </c>
      <c r="F1187" s="20">
        <v>23.51</v>
      </c>
      <c r="G1187" s="20"/>
      <c r="H1187" s="7">
        <f t="shared" si="211"/>
        <v>22175</v>
      </c>
      <c r="I1187" s="7">
        <f t="shared" si="211"/>
        <v>21300</v>
      </c>
      <c r="K1187" s="20"/>
      <c r="L1187" s="20"/>
      <c r="M1187" s="20"/>
      <c r="O1187" s="55"/>
      <c r="P1187" s="55"/>
    </row>
    <row r="1188" spans="1:16" x14ac:dyDescent="0.25">
      <c r="A1188" s="19" t="s">
        <v>149</v>
      </c>
      <c r="B1188" s="5">
        <v>17</v>
      </c>
      <c r="C1188" s="6">
        <v>1248.0325011775799</v>
      </c>
      <c r="D1188" s="6">
        <v>1206</v>
      </c>
      <c r="F1188" s="20">
        <v>21.23</v>
      </c>
      <c r="G1188" s="20"/>
      <c r="H1188" s="7">
        <f t="shared" si="211"/>
        <v>26496</v>
      </c>
      <c r="I1188" s="7">
        <f t="shared" si="211"/>
        <v>25603</v>
      </c>
      <c r="K1188" s="20"/>
      <c r="L1188" s="20"/>
      <c r="M1188" s="20"/>
      <c r="O1188" s="55"/>
      <c r="P1188" s="55"/>
    </row>
    <row r="1189" spans="1:16" x14ac:dyDescent="0.25">
      <c r="A1189" s="19" t="s">
        <v>150</v>
      </c>
      <c r="B1189" s="5">
        <v>18</v>
      </c>
      <c r="C1189" s="6">
        <v>8440.1773851590024</v>
      </c>
      <c r="D1189" s="6">
        <v>8226</v>
      </c>
      <c r="F1189" s="20">
        <v>28.3</v>
      </c>
      <c r="G1189" s="20"/>
      <c r="H1189" s="7">
        <f t="shared" si="211"/>
        <v>238857</v>
      </c>
      <c r="I1189" s="7">
        <f t="shared" si="211"/>
        <v>232796</v>
      </c>
      <c r="K1189" s="20"/>
      <c r="L1189" s="20"/>
      <c r="M1189" s="20"/>
      <c r="O1189" s="55"/>
      <c r="P1189" s="55"/>
    </row>
    <row r="1190" spans="1:16" x14ac:dyDescent="0.25">
      <c r="A1190" s="19" t="s">
        <v>151</v>
      </c>
      <c r="B1190" s="5">
        <v>19</v>
      </c>
      <c r="C1190" s="6">
        <v>9563.0681031165896</v>
      </c>
      <c r="D1190" s="6">
        <v>9308</v>
      </c>
      <c r="F1190" s="20">
        <v>25.99</v>
      </c>
      <c r="G1190" s="20"/>
      <c r="H1190" s="7">
        <f t="shared" si="211"/>
        <v>248544</v>
      </c>
      <c r="I1190" s="7">
        <f t="shared" si="211"/>
        <v>241915</v>
      </c>
      <c r="K1190" s="20"/>
      <c r="L1190" s="20"/>
      <c r="M1190" s="20"/>
      <c r="O1190" s="55"/>
      <c r="P1190" s="55"/>
    </row>
    <row r="1191" spans="1:16" x14ac:dyDescent="0.25">
      <c r="A1191" s="106" t="s">
        <v>153</v>
      </c>
    </row>
    <row r="1192" spans="1:16" x14ac:dyDescent="0.25">
      <c r="A1192" s="19" t="s">
        <v>154</v>
      </c>
      <c r="B1192" s="5">
        <v>20</v>
      </c>
      <c r="C1192" s="6">
        <v>0</v>
      </c>
      <c r="D1192" s="6">
        <v>0</v>
      </c>
      <c r="F1192" s="20">
        <v>29.4</v>
      </c>
      <c r="G1192" s="20"/>
      <c r="H1192" s="7">
        <f t="shared" ref="H1192:I1199" si="212">ROUND($F1192*C1192,0)</f>
        <v>0</v>
      </c>
      <c r="I1192" s="7">
        <f t="shared" si="212"/>
        <v>0</v>
      </c>
      <c r="K1192" s="20"/>
      <c r="L1192" s="20"/>
      <c r="M1192" s="20"/>
      <c r="O1192" s="55"/>
      <c r="P1192" s="55"/>
    </row>
    <row r="1193" spans="1:16" x14ac:dyDescent="0.25">
      <c r="A1193" s="19" t="s">
        <v>155</v>
      </c>
      <c r="B1193" s="5">
        <v>21</v>
      </c>
      <c r="C1193" s="6">
        <v>294.36622303809088</v>
      </c>
      <c r="D1193" s="6">
        <v>280</v>
      </c>
      <c r="F1193" s="20">
        <v>21.79</v>
      </c>
      <c r="G1193" s="20"/>
      <c r="H1193" s="7">
        <f t="shared" si="212"/>
        <v>6414</v>
      </c>
      <c r="I1193" s="7">
        <f t="shared" si="212"/>
        <v>6101</v>
      </c>
      <c r="K1193" s="20"/>
      <c r="L1193" s="20"/>
      <c r="M1193" s="20"/>
      <c r="O1193" s="55"/>
      <c r="P1193" s="55"/>
    </row>
    <row r="1194" spans="1:16" x14ac:dyDescent="0.25">
      <c r="A1194" s="19" t="s">
        <v>156</v>
      </c>
      <c r="B1194" s="5">
        <v>22</v>
      </c>
      <c r="C1194" s="6">
        <v>108</v>
      </c>
      <c r="D1194" s="6">
        <v>108</v>
      </c>
      <c r="F1194" s="20">
        <v>34.340000000000003</v>
      </c>
      <c r="G1194" s="20"/>
      <c r="H1194" s="7">
        <f t="shared" si="212"/>
        <v>3709</v>
      </c>
      <c r="I1194" s="7">
        <f t="shared" si="212"/>
        <v>3709</v>
      </c>
      <c r="K1194" s="20"/>
      <c r="L1194" s="20"/>
      <c r="M1194" s="20"/>
      <c r="O1194" s="55"/>
      <c r="P1194" s="55"/>
    </row>
    <row r="1195" spans="1:16" x14ac:dyDescent="0.25">
      <c r="A1195" s="19" t="s">
        <v>157</v>
      </c>
      <c r="B1195" s="5">
        <v>23</v>
      </c>
      <c r="C1195" s="6">
        <v>96</v>
      </c>
      <c r="D1195" s="6">
        <v>94</v>
      </c>
      <c r="F1195" s="20">
        <v>27.43</v>
      </c>
      <c r="G1195" s="20"/>
      <c r="H1195" s="7">
        <f t="shared" si="212"/>
        <v>2633</v>
      </c>
      <c r="I1195" s="7">
        <f t="shared" si="212"/>
        <v>2578</v>
      </c>
      <c r="K1195" s="20"/>
      <c r="L1195" s="20"/>
      <c r="M1195" s="20"/>
      <c r="O1195" s="55"/>
      <c r="P1195" s="55"/>
    </row>
    <row r="1196" spans="1:16" x14ac:dyDescent="0.25">
      <c r="A1196" s="19" t="s">
        <v>158</v>
      </c>
      <c r="B1196" s="5">
        <v>24</v>
      </c>
      <c r="C1196" s="6">
        <v>326.76669392204963</v>
      </c>
      <c r="D1196" s="6">
        <v>304</v>
      </c>
      <c r="F1196" s="20">
        <v>36.69</v>
      </c>
      <c r="G1196" s="20"/>
      <c r="H1196" s="7">
        <f t="shared" si="212"/>
        <v>11989</v>
      </c>
      <c r="I1196" s="7">
        <f t="shared" si="212"/>
        <v>11154</v>
      </c>
      <c r="K1196" s="20"/>
      <c r="L1196" s="20"/>
      <c r="M1196" s="20"/>
      <c r="O1196" s="55"/>
      <c r="P1196" s="55"/>
    </row>
    <row r="1197" spans="1:16" x14ac:dyDescent="0.25">
      <c r="A1197" s="19" t="s">
        <v>159</v>
      </c>
      <c r="B1197" s="5">
        <v>25</v>
      </c>
      <c r="C1197" s="6">
        <v>573.43304172274532</v>
      </c>
      <c r="D1197" s="6">
        <v>553</v>
      </c>
      <c r="F1197" s="20">
        <v>29.72</v>
      </c>
      <c r="G1197" s="20"/>
      <c r="H1197" s="7">
        <f t="shared" si="212"/>
        <v>17042</v>
      </c>
      <c r="I1197" s="7">
        <f t="shared" si="212"/>
        <v>16435</v>
      </c>
      <c r="K1197" s="20"/>
      <c r="L1197" s="20"/>
      <c r="M1197" s="20"/>
      <c r="O1197" s="55"/>
      <c r="P1197" s="55"/>
    </row>
    <row r="1198" spans="1:16" x14ac:dyDescent="0.25">
      <c r="A1198" s="19" t="s">
        <v>160</v>
      </c>
      <c r="B1198" s="5">
        <v>26</v>
      </c>
      <c r="C1198" s="6">
        <v>12</v>
      </c>
      <c r="D1198" s="6">
        <v>12</v>
      </c>
      <c r="F1198" s="20">
        <v>57.58</v>
      </c>
      <c r="G1198" s="20"/>
      <c r="H1198" s="7">
        <f t="shared" si="212"/>
        <v>691</v>
      </c>
      <c r="I1198" s="7">
        <f t="shared" si="212"/>
        <v>691</v>
      </c>
      <c r="K1198" s="20"/>
      <c r="L1198" s="20"/>
      <c r="M1198" s="20"/>
      <c r="O1198" s="55"/>
      <c r="P1198" s="55"/>
    </row>
    <row r="1199" spans="1:16" x14ac:dyDescent="0.25">
      <c r="A1199" s="19" t="s">
        <v>161</v>
      </c>
      <c r="B1199" s="5">
        <v>27</v>
      </c>
      <c r="C1199" s="6">
        <v>33.733401221995898</v>
      </c>
      <c r="D1199" s="6">
        <v>33</v>
      </c>
      <c r="F1199" s="20">
        <v>49.1</v>
      </c>
      <c r="G1199" s="20"/>
      <c r="H1199" s="7">
        <f t="shared" si="212"/>
        <v>1656</v>
      </c>
      <c r="I1199" s="7">
        <f t="shared" si="212"/>
        <v>1620</v>
      </c>
      <c r="K1199" s="20"/>
      <c r="L1199" s="20"/>
      <c r="M1199" s="20"/>
      <c r="O1199" s="55"/>
      <c r="P1199" s="55"/>
    </row>
    <row r="1200" spans="1:16" x14ac:dyDescent="0.25">
      <c r="A1200" s="19" t="s">
        <v>162</v>
      </c>
      <c r="C1200" s="6">
        <v>139104.57732785653</v>
      </c>
      <c r="D1200" s="6">
        <v>134800</v>
      </c>
      <c r="H1200" s="7">
        <f>SUM(H1168:H1199)</f>
        <v>2627201</v>
      </c>
      <c r="I1200" s="7">
        <f>SUM(I1168:I1199)</f>
        <v>2546239</v>
      </c>
    </row>
    <row r="1201" spans="1:17" x14ac:dyDescent="0.25">
      <c r="A1201" s="19" t="s">
        <v>163</v>
      </c>
      <c r="C1201" s="107">
        <v>10821359.950480232</v>
      </c>
      <c r="D1201" s="107">
        <v>10497984.469308628</v>
      </c>
    </row>
    <row r="1202" spans="1:17" x14ac:dyDescent="0.25">
      <c r="A1202" s="19" t="s">
        <v>164</v>
      </c>
      <c r="C1202" s="108">
        <v>21913</v>
      </c>
      <c r="D1202" s="108">
        <v>0</v>
      </c>
      <c r="F1202" s="109"/>
      <c r="H1202" s="110">
        <f>H1244+H1286+H1328+H1370</f>
        <v>7198</v>
      </c>
      <c r="I1202" s="110">
        <f t="shared" ref="I1202" si="213">I1244+I1286+I1328+I1370</f>
        <v>0</v>
      </c>
      <c r="K1202" s="109"/>
      <c r="L1202" s="109"/>
      <c r="N1202" s="110"/>
      <c r="O1202" s="210"/>
      <c r="Q1202" s="211"/>
    </row>
    <row r="1203" spans="1:17" x14ac:dyDescent="0.25">
      <c r="A1203" s="19" t="s">
        <v>34</v>
      </c>
      <c r="F1203" s="23">
        <v>-1.9800000000000002E-2</v>
      </c>
      <c r="G1203" s="24"/>
      <c r="H1203" s="7">
        <f>H1200*$F1203</f>
        <v>-52018.579800000007</v>
      </c>
      <c r="I1203" s="7">
        <f>I1200*$F1203</f>
        <v>-50415.532200000001</v>
      </c>
      <c r="K1203" s="93" t="str">
        <f>$K$43</f>
        <v>TAA 1 (1/1/2021)</v>
      </c>
      <c r="L1203" s="23">
        <v>-1.7500000000000002E-2</v>
      </c>
      <c r="M1203" s="24"/>
      <c r="N1203" s="7">
        <f>L1203*N1206</f>
        <v>-24207.17023456316</v>
      </c>
      <c r="O1203" s="65"/>
      <c r="P1203" s="57"/>
    </row>
    <row r="1204" spans="1:17" x14ac:dyDescent="0.25">
      <c r="A1204" s="19"/>
      <c r="F1204" s="23"/>
      <c r="G1204" s="24"/>
      <c r="K1204" s="93" t="str">
        <f>$K$44</f>
        <v>TAA 2 (1/1/2022)</v>
      </c>
      <c r="L1204" s="23">
        <v>-8.6999999999999994E-3</v>
      </c>
      <c r="M1204" s="24"/>
      <c r="N1204" s="7">
        <f>L1204*N1206</f>
        <v>-12034.421773754255</v>
      </c>
      <c r="O1204" s="65"/>
      <c r="P1204" s="57"/>
    </row>
    <row r="1205" spans="1:17" x14ac:dyDescent="0.25">
      <c r="A1205" s="19" t="s">
        <v>165</v>
      </c>
      <c r="C1205" s="6">
        <v>6725.8333333333267</v>
      </c>
      <c r="D1205" s="6">
        <v>6491</v>
      </c>
    </row>
    <row r="1206" spans="1:17" ht="16.5" thickBot="1" x14ac:dyDescent="0.3">
      <c r="A1206" s="19" t="s">
        <v>166</v>
      </c>
      <c r="C1206" s="111">
        <v>10843272.950480232</v>
      </c>
      <c r="D1206" s="111">
        <v>10497984.469308628</v>
      </c>
      <c r="F1206" s="39"/>
      <c r="H1206" s="40">
        <f>SUM(H1200:H1203)</f>
        <v>2582380.4202000001</v>
      </c>
      <c r="I1206" s="40">
        <f>SUM(I1200:I1203)</f>
        <v>2495823.4678000002</v>
      </c>
      <c r="K1206" s="39"/>
      <c r="L1206" s="39"/>
      <c r="N1206" s="40">
        <v>1383266.8705464662</v>
      </c>
      <c r="O1206" s="66"/>
      <c r="Q1206" s="67"/>
    </row>
    <row r="1207" spans="1:17" ht="16.5" thickTop="1" x14ac:dyDescent="0.25">
      <c r="E1207" s="24"/>
      <c r="J1207" s="24"/>
    </row>
    <row r="1208" spans="1:17" x14ac:dyDescent="0.25">
      <c r="A1208" s="15" t="s">
        <v>167</v>
      </c>
    </row>
    <row r="1209" spans="1:17" x14ac:dyDescent="0.25">
      <c r="A1209" s="106" t="s">
        <v>135</v>
      </c>
      <c r="C1209" s="6" t="s">
        <v>168</v>
      </c>
    </row>
    <row r="1210" spans="1:17" x14ac:dyDescent="0.25">
      <c r="A1210" s="19" t="s">
        <v>136</v>
      </c>
      <c r="B1210" s="5">
        <v>29</v>
      </c>
      <c r="C1210" s="6">
        <v>0</v>
      </c>
      <c r="D1210" s="6">
        <v>0</v>
      </c>
      <c r="F1210" s="20">
        <v>5.68</v>
      </c>
      <c r="G1210" s="20"/>
      <c r="H1210" s="7">
        <f t="shared" ref="H1210:I1213" si="214">ROUND($F1210*C1210,0)</f>
        <v>0</v>
      </c>
      <c r="I1210" s="7">
        <f t="shared" si="214"/>
        <v>0</v>
      </c>
      <c r="K1210" s="20"/>
      <c r="L1210" s="20"/>
      <c r="M1210" s="20"/>
      <c r="O1210" s="55"/>
      <c r="P1210" s="55"/>
    </row>
    <row r="1211" spans="1:17" x14ac:dyDescent="0.25">
      <c r="A1211" s="19" t="s">
        <v>137</v>
      </c>
      <c r="B1211" s="5">
        <v>1</v>
      </c>
      <c r="C1211" s="6">
        <v>12068.206959707</v>
      </c>
      <c r="D1211" s="6">
        <v>11765</v>
      </c>
      <c r="F1211" s="20">
        <v>16.38</v>
      </c>
      <c r="G1211" s="20"/>
      <c r="H1211" s="7">
        <f t="shared" si="214"/>
        <v>197677</v>
      </c>
      <c r="I1211" s="7">
        <f t="shared" si="214"/>
        <v>192711</v>
      </c>
      <c r="K1211" s="20"/>
      <c r="L1211" s="20"/>
      <c r="M1211" s="20"/>
      <c r="O1211" s="55"/>
      <c r="P1211" s="55"/>
    </row>
    <row r="1212" spans="1:17" x14ac:dyDescent="0.25">
      <c r="A1212" s="19" t="s">
        <v>138</v>
      </c>
      <c r="B1212" s="5">
        <v>40</v>
      </c>
      <c r="C1212" s="6">
        <v>0</v>
      </c>
      <c r="D1212" s="6">
        <v>0</v>
      </c>
      <c r="F1212" s="20">
        <v>8.0500000000000007</v>
      </c>
      <c r="G1212" s="20"/>
      <c r="H1212" s="7">
        <f t="shared" si="214"/>
        <v>0</v>
      </c>
      <c r="I1212" s="7">
        <f t="shared" si="214"/>
        <v>0</v>
      </c>
      <c r="K1212" s="20"/>
      <c r="L1212" s="20"/>
      <c r="M1212" s="20"/>
      <c r="O1212" s="55"/>
      <c r="P1212" s="55"/>
    </row>
    <row r="1213" spans="1:17" x14ac:dyDescent="0.25">
      <c r="A1213" s="19" t="s">
        <v>139</v>
      </c>
      <c r="B1213" s="5">
        <v>2</v>
      </c>
      <c r="C1213" s="6">
        <v>762.60156833457802</v>
      </c>
      <c r="D1213" s="6">
        <v>743</v>
      </c>
      <c r="F1213" s="20">
        <v>26.78</v>
      </c>
      <c r="G1213" s="20"/>
      <c r="H1213" s="7">
        <f t="shared" si="214"/>
        <v>20422</v>
      </c>
      <c r="I1213" s="7">
        <f t="shared" si="214"/>
        <v>19898</v>
      </c>
      <c r="K1213" s="20"/>
      <c r="L1213" s="20"/>
      <c r="M1213" s="20"/>
      <c r="O1213" s="55"/>
      <c r="P1213" s="55"/>
    </row>
    <row r="1214" spans="1:17" x14ac:dyDescent="0.25">
      <c r="A1214" s="106" t="s">
        <v>140</v>
      </c>
    </row>
    <row r="1215" spans="1:17" x14ac:dyDescent="0.25">
      <c r="A1215" s="19" t="s">
        <v>141</v>
      </c>
      <c r="B1215" s="5">
        <v>3</v>
      </c>
      <c r="C1215" s="6">
        <v>2326.39726027397</v>
      </c>
      <c r="D1215" s="6">
        <v>2268</v>
      </c>
      <c r="F1215" s="20">
        <v>14.6</v>
      </c>
      <c r="G1215" s="20"/>
      <c r="H1215" s="7">
        <f t="shared" ref="H1215:I1225" si="215">ROUND($F1215*C1215,0)</f>
        <v>33965</v>
      </c>
      <c r="I1215" s="7">
        <f t="shared" si="215"/>
        <v>33113</v>
      </c>
      <c r="K1215" s="20"/>
      <c r="L1215" s="20"/>
      <c r="M1215" s="20"/>
      <c r="O1215" s="55"/>
      <c r="P1215" s="55"/>
    </row>
    <row r="1216" spans="1:17" x14ac:dyDescent="0.25">
      <c r="A1216" s="19" t="s">
        <v>142</v>
      </c>
      <c r="B1216" s="5">
        <v>4</v>
      </c>
      <c r="C1216" s="6">
        <v>838.19869174161897</v>
      </c>
      <c r="D1216" s="6">
        <v>817</v>
      </c>
      <c r="F1216" s="20">
        <v>12.23</v>
      </c>
      <c r="G1216" s="20"/>
      <c r="H1216" s="7">
        <f t="shared" si="215"/>
        <v>10251</v>
      </c>
      <c r="I1216" s="7">
        <f t="shared" si="215"/>
        <v>9992</v>
      </c>
      <c r="K1216" s="20"/>
      <c r="L1216" s="20"/>
      <c r="M1216" s="20"/>
      <c r="O1216" s="55"/>
      <c r="P1216" s="55"/>
    </row>
    <row r="1217" spans="1:16" x14ac:dyDescent="0.25">
      <c r="A1217" s="19" t="s">
        <v>143</v>
      </c>
      <c r="B1217" s="5">
        <v>5</v>
      </c>
      <c r="C1217" s="6">
        <v>8663.8209437621099</v>
      </c>
      <c r="D1217" s="6">
        <v>8446</v>
      </c>
      <c r="F1217" s="20">
        <v>15.47</v>
      </c>
      <c r="G1217" s="20"/>
      <c r="H1217" s="7">
        <f t="shared" si="215"/>
        <v>134029</v>
      </c>
      <c r="I1217" s="7">
        <f t="shared" si="215"/>
        <v>130660</v>
      </c>
      <c r="K1217" s="20"/>
      <c r="L1217" s="20"/>
      <c r="M1217" s="20"/>
      <c r="O1217" s="55"/>
      <c r="P1217" s="55"/>
    </row>
    <row r="1218" spans="1:16" x14ac:dyDescent="0.25">
      <c r="A1218" s="19" t="s">
        <v>144</v>
      </c>
      <c r="B1218" s="5">
        <v>6</v>
      </c>
      <c r="C1218" s="6">
        <v>7765.4440270473397</v>
      </c>
      <c r="D1218" s="6">
        <v>7570</v>
      </c>
      <c r="F1218" s="20">
        <v>13.31</v>
      </c>
      <c r="G1218" s="20"/>
      <c r="H1218" s="7">
        <f t="shared" si="215"/>
        <v>103358</v>
      </c>
      <c r="I1218" s="7">
        <f t="shared" si="215"/>
        <v>100757</v>
      </c>
      <c r="K1218" s="20"/>
      <c r="L1218" s="20"/>
      <c r="M1218" s="20"/>
      <c r="O1218" s="55"/>
      <c r="P1218" s="55"/>
    </row>
    <row r="1219" spans="1:16" x14ac:dyDescent="0.25">
      <c r="A1219" s="19" t="s">
        <v>145</v>
      </c>
      <c r="B1219" s="5">
        <v>7</v>
      </c>
      <c r="C1219" s="6">
        <v>1029.5328879753299</v>
      </c>
      <c r="D1219" s="6">
        <v>1004</v>
      </c>
      <c r="F1219" s="20">
        <v>19.46</v>
      </c>
      <c r="G1219" s="20"/>
      <c r="H1219" s="7">
        <f t="shared" si="215"/>
        <v>20035</v>
      </c>
      <c r="I1219" s="7">
        <f t="shared" si="215"/>
        <v>19538</v>
      </c>
      <c r="K1219" s="20"/>
      <c r="L1219" s="20"/>
      <c r="M1219" s="20"/>
      <c r="O1219" s="55"/>
      <c r="P1219" s="55"/>
    </row>
    <row r="1220" spans="1:16" x14ac:dyDescent="0.25">
      <c r="A1220" s="19" t="s">
        <v>146</v>
      </c>
      <c r="B1220" s="5">
        <v>8</v>
      </c>
      <c r="C1220" s="6">
        <v>448.83537653239898</v>
      </c>
      <c r="D1220" s="6">
        <v>438</v>
      </c>
      <c r="F1220" s="20">
        <v>17.13</v>
      </c>
      <c r="G1220" s="20"/>
      <c r="H1220" s="7">
        <f t="shared" si="215"/>
        <v>7689</v>
      </c>
      <c r="I1220" s="7">
        <f t="shared" si="215"/>
        <v>7503</v>
      </c>
      <c r="K1220" s="20"/>
      <c r="L1220" s="20"/>
      <c r="M1220" s="20"/>
      <c r="O1220" s="55"/>
      <c r="P1220" s="55"/>
    </row>
    <row r="1221" spans="1:16" x14ac:dyDescent="0.25">
      <c r="A1221" s="19" t="s">
        <v>147</v>
      </c>
      <c r="B1221" s="5">
        <v>9</v>
      </c>
      <c r="C1221" s="6">
        <v>72.233507356430906</v>
      </c>
      <c r="D1221" s="6">
        <v>70</v>
      </c>
      <c r="F1221" s="20">
        <v>21.07</v>
      </c>
      <c r="G1221" s="20"/>
      <c r="H1221" s="7">
        <f t="shared" si="215"/>
        <v>1522</v>
      </c>
      <c r="I1221" s="7">
        <f t="shared" si="215"/>
        <v>1475</v>
      </c>
      <c r="K1221" s="20"/>
      <c r="L1221" s="20"/>
      <c r="M1221" s="20"/>
      <c r="O1221" s="55"/>
      <c r="P1221" s="55"/>
    </row>
    <row r="1222" spans="1:16" x14ac:dyDescent="0.25">
      <c r="A1222" s="19" t="s">
        <v>148</v>
      </c>
      <c r="B1222" s="5">
        <v>10</v>
      </c>
      <c r="C1222" s="6">
        <v>430.90131858783502</v>
      </c>
      <c r="D1222" s="6">
        <v>420</v>
      </c>
      <c r="F1222" s="20">
        <v>23.51</v>
      </c>
      <c r="G1222" s="20"/>
      <c r="H1222" s="7">
        <f t="shared" si="215"/>
        <v>10130</v>
      </c>
      <c r="I1222" s="7">
        <f t="shared" si="215"/>
        <v>9874</v>
      </c>
      <c r="K1222" s="20"/>
      <c r="L1222" s="20"/>
      <c r="M1222" s="20"/>
      <c r="O1222" s="55"/>
      <c r="P1222" s="55"/>
    </row>
    <row r="1223" spans="1:16" x14ac:dyDescent="0.25">
      <c r="A1223" s="19" t="s">
        <v>149</v>
      </c>
      <c r="B1223" s="5">
        <v>11</v>
      </c>
      <c r="C1223" s="6">
        <v>447.55204898728198</v>
      </c>
      <c r="D1223" s="6">
        <v>436</v>
      </c>
      <c r="F1223" s="20">
        <v>21.23</v>
      </c>
      <c r="G1223" s="20"/>
      <c r="H1223" s="7">
        <f t="shared" si="215"/>
        <v>9502</v>
      </c>
      <c r="I1223" s="7">
        <f t="shared" si="215"/>
        <v>9256</v>
      </c>
      <c r="K1223" s="20"/>
      <c r="L1223" s="20"/>
      <c r="M1223" s="20"/>
      <c r="O1223" s="55"/>
      <c r="P1223" s="55"/>
    </row>
    <row r="1224" spans="1:16" x14ac:dyDescent="0.25">
      <c r="A1224" s="19" t="s">
        <v>150</v>
      </c>
      <c r="B1224" s="5">
        <v>12</v>
      </c>
      <c r="C1224" s="6">
        <v>444</v>
      </c>
      <c r="D1224" s="6">
        <v>433</v>
      </c>
      <c r="F1224" s="20">
        <v>28.3</v>
      </c>
      <c r="G1224" s="20"/>
      <c r="H1224" s="7">
        <f t="shared" si="215"/>
        <v>12565</v>
      </c>
      <c r="I1224" s="7">
        <f t="shared" si="215"/>
        <v>12254</v>
      </c>
      <c r="K1224" s="20"/>
      <c r="L1224" s="20"/>
      <c r="M1224" s="20"/>
      <c r="O1224" s="55"/>
      <c r="P1224" s="55"/>
    </row>
    <row r="1225" spans="1:16" x14ac:dyDescent="0.25">
      <c r="A1225" s="19" t="s">
        <v>151</v>
      </c>
      <c r="B1225" s="5">
        <v>13</v>
      </c>
      <c r="C1225" s="6">
        <v>272.66641015775298</v>
      </c>
      <c r="D1225" s="6">
        <v>266</v>
      </c>
      <c r="F1225" s="20">
        <v>25.99</v>
      </c>
      <c r="G1225" s="20"/>
      <c r="H1225" s="7">
        <f t="shared" si="215"/>
        <v>7087</v>
      </c>
      <c r="I1225" s="7">
        <f t="shared" si="215"/>
        <v>6913</v>
      </c>
      <c r="K1225" s="20"/>
      <c r="L1225" s="20"/>
      <c r="M1225" s="20"/>
      <c r="O1225" s="55"/>
      <c r="P1225" s="55"/>
    </row>
    <row r="1226" spans="1:16" x14ac:dyDescent="0.25">
      <c r="A1226" s="106" t="s">
        <v>152</v>
      </c>
    </row>
    <row r="1227" spans="1:16" x14ac:dyDescent="0.25">
      <c r="A1227" s="19" t="s">
        <v>145</v>
      </c>
      <c r="B1227" s="5">
        <v>14</v>
      </c>
      <c r="C1227" s="6">
        <v>1019.1341212744099</v>
      </c>
      <c r="D1227" s="6">
        <v>993</v>
      </c>
      <c r="F1227" s="20">
        <v>19.46</v>
      </c>
      <c r="G1227" s="20"/>
      <c r="H1227" s="7">
        <f t="shared" ref="H1227:I1232" si="216">ROUND($F1227*C1227,0)</f>
        <v>19832</v>
      </c>
      <c r="I1227" s="7">
        <f t="shared" si="216"/>
        <v>19324</v>
      </c>
      <c r="K1227" s="20"/>
      <c r="L1227" s="20"/>
      <c r="M1227" s="20"/>
      <c r="O1227" s="55"/>
      <c r="P1227" s="55"/>
    </row>
    <row r="1228" spans="1:16" x14ac:dyDescent="0.25">
      <c r="A1228" s="19" t="s">
        <v>146</v>
      </c>
      <c r="B1228" s="5">
        <v>15</v>
      </c>
      <c r="C1228" s="6">
        <v>990.43432574430801</v>
      </c>
      <c r="D1228" s="6">
        <v>966</v>
      </c>
      <c r="F1228" s="20">
        <v>17.13</v>
      </c>
      <c r="G1228" s="20"/>
      <c r="H1228" s="7">
        <f t="shared" si="216"/>
        <v>16966</v>
      </c>
      <c r="I1228" s="7">
        <f t="shared" si="216"/>
        <v>16548</v>
      </c>
      <c r="K1228" s="20"/>
      <c r="L1228" s="20"/>
      <c r="M1228" s="20"/>
      <c r="O1228" s="55"/>
      <c r="P1228" s="55"/>
    </row>
    <row r="1229" spans="1:16" x14ac:dyDescent="0.25">
      <c r="A1229" s="19" t="s">
        <v>148</v>
      </c>
      <c r="B1229" s="5">
        <v>16</v>
      </c>
      <c r="C1229" s="6">
        <v>115.83283709059999</v>
      </c>
      <c r="D1229" s="6">
        <v>113</v>
      </c>
      <c r="F1229" s="20">
        <v>23.51</v>
      </c>
      <c r="G1229" s="20"/>
      <c r="H1229" s="7">
        <f t="shared" si="216"/>
        <v>2723</v>
      </c>
      <c r="I1229" s="7">
        <f t="shared" si="216"/>
        <v>2657</v>
      </c>
      <c r="K1229" s="20"/>
      <c r="L1229" s="20"/>
      <c r="M1229" s="20"/>
      <c r="O1229" s="55"/>
      <c r="P1229" s="55"/>
    </row>
    <row r="1230" spans="1:16" x14ac:dyDescent="0.25">
      <c r="A1230" s="19" t="s">
        <v>149</v>
      </c>
      <c r="B1230" s="5">
        <v>17</v>
      </c>
      <c r="C1230" s="6">
        <v>108</v>
      </c>
      <c r="D1230" s="6">
        <v>105</v>
      </c>
      <c r="F1230" s="20">
        <v>21.23</v>
      </c>
      <c r="G1230" s="20"/>
      <c r="H1230" s="7">
        <f t="shared" si="216"/>
        <v>2293</v>
      </c>
      <c r="I1230" s="7">
        <f t="shared" si="216"/>
        <v>2229</v>
      </c>
      <c r="K1230" s="20"/>
      <c r="L1230" s="20"/>
      <c r="M1230" s="20"/>
      <c r="O1230" s="55"/>
      <c r="P1230" s="55"/>
    </row>
    <row r="1231" spans="1:16" x14ac:dyDescent="0.25">
      <c r="A1231" s="19" t="s">
        <v>150</v>
      </c>
      <c r="B1231" s="5">
        <v>18</v>
      </c>
      <c r="C1231" s="6">
        <v>427.00035335689</v>
      </c>
      <c r="D1231" s="6">
        <v>416</v>
      </c>
      <c r="F1231" s="20">
        <v>28.3</v>
      </c>
      <c r="G1231" s="20"/>
      <c r="H1231" s="7">
        <f t="shared" si="216"/>
        <v>12084</v>
      </c>
      <c r="I1231" s="7">
        <f t="shared" si="216"/>
        <v>11773</v>
      </c>
      <c r="K1231" s="20"/>
      <c r="L1231" s="20"/>
      <c r="M1231" s="20"/>
      <c r="O1231" s="55"/>
      <c r="P1231" s="55"/>
    </row>
    <row r="1232" spans="1:16" x14ac:dyDescent="0.25">
      <c r="A1232" s="19" t="s">
        <v>151</v>
      </c>
      <c r="B1232" s="5">
        <v>19</v>
      </c>
      <c r="C1232" s="6">
        <v>593.96614082339397</v>
      </c>
      <c r="D1232" s="6">
        <v>579</v>
      </c>
      <c r="F1232" s="20">
        <v>25.99</v>
      </c>
      <c r="G1232" s="20"/>
      <c r="H1232" s="7">
        <f t="shared" si="216"/>
        <v>15437</v>
      </c>
      <c r="I1232" s="7">
        <f t="shared" si="216"/>
        <v>15048</v>
      </c>
      <c r="K1232" s="20"/>
      <c r="L1232" s="20"/>
      <c r="M1232" s="20"/>
      <c r="O1232" s="55"/>
      <c r="P1232" s="55"/>
    </row>
    <row r="1233" spans="1:17" x14ac:dyDescent="0.25">
      <c r="A1233" s="106" t="s">
        <v>153</v>
      </c>
    </row>
    <row r="1234" spans="1:17" x14ac:dyDescent="0.25">
      <c r="A1234" s="19" t="s">
        <v>154</v>
      </c>
      <c r="B1234" s="5">
        <v>20</v>
      </c>
      <c r="C1234" s="6">
        <v>0</v>
      </c>
      <c r="D1234" s="6">
        <v>0</v>
      </c>
      <c r="F1234" s="20">
        <v>29.4</v>
      </c>
      <c r="G1234" s="20"/>
      <c r="H1234" s="7">
        <f t="shared" ref="H1234:I1241" si="217">ROUND($F1234*C1234,0)</f>
        <v>0</v>
      </c>
      <c r="I1234" s="7">
        <f t="shared" si="217"/>
        <v>0</v>
      </c>
      <c r="K1234" s="20"/>
      <c r="L1234" s="20"/>
      <c r="M1234" s="20"/>
      <c r="O1234" s="55"/>
      <c r="P1234" s="55"/>
    </row>
    <row r="1235" spans="1:17" x14ac:dyDescent="0.25">
      <c r="A1235" s="19" t="s">
        <v>155</v>
      </c>
      <c r="B1235" s="5">
        <v>21</v>
      </c>
      <c r="C1235" s="6">
        <v>0</v>
      </c>
      <c r="D1235" s="6">
        <v>0</v>
      </c>
      <c r="F1235" s="20">
        <v>21.79</v>
      </c>
      <c r="G1235" s="20"/>
      <c r="H1235" s="7">
        <f t="shared" si="217"/>
        <v>0</v>
      </c>
      <c r="I1235" s="7">
        <f t="shared" si="217"/>
        <v>0</v>
      </c>
      <c r="K1235" s="20"/>
      <c r="L1235" s="20"/>
      <c r="M1235" s="20"/>
      <c r="O1235" s="55"/>
      <c r="P1235" s="55"/>
    </row>
    <row r="1236" spans="1:17" x14ac:dyDescent="0.25">
      <c r="A1236" s="19" t="s">
        <v>156</v>
      </c>
      <c r="B1236" s="5">
        <v>22</v>
      </c>
      <c r="C1236" s="6">
        <v>0</v>
      </c>
      <c r="D1236" s="6">
        <v>0</v>
      </c>
      <c r="F1236" s="20">
        <v>34.340000000000003</v>
      </c>
      <c r="G1236" s="20"/>
      <c r="H1236" s="7">
        <f t="shared" si="217"/>
        <v>0</v>
      </c>
      <c r="I1236" s="7">
        <f t="shared" si="217"/>
        <v>0</v>
      </c>
      <c r="K1236" s="20"/>
      <c r="L1236" s="20"/>
      <c r="M1236" s="20"/>
      <c r="O1236" s="55"/>
      <c r="P1236" s="55"/>
    </row>
    <row r="1237" spans="1:17" x14ac:dyDescent="0.25">
      <c r="A1237" s="19" t="s">
        <v>157</v>
      </c>
      <c r="B1237" s="5">
        <v>23</v>
      </c>
      <c r="C1237" s="6">
        <v>0</v>
      </c>
      <c r="D1237" s="6">
        <v>0</v>
      </c>
      <c r="F1237" s="20">
        <v>27.43</v>
      </c>
      <c r="G1237" s="20"/>
      <c r="H1237" s="7">
        <f t="shared" si="217"/>
        <v>0</v>
      </c>
      <c r="I1237" s="7">
        <f t="shared" si="217"/>
        <v>0</v>
      </c>
      <c r="K1237" s="20"/>
      <c r="L1237" s="20"/>
      <c r="M1237" s="20"/>
      <c r="O1237" s="55"/>
      <c r="P1237" s="55"/>
    </row>
    <row r="1238" spans="1:17" x14ac:dyDescent="0.25">
      <c r="A1238" s="19" t="s">
        <v>158</v>
      </c>
      <c r="B1238" s="5">
        <v>24</v>
      </c>
      <c r="C1238" s="6">
        <v>0</v>
      </c>
      <c r="D1238" s="6">
        <v>0</v>
      </c>
      <c r="F1238" s="20">
        <v>36.69</v>
      </c>
      <c r="G1238" s="20"/>
      <c r="H1238" s="7">
        <f t="shared" si="217"/>
        <v>0</v>
      </c>
      <c r="I1238" s="7">
        <f t="shared" si="217"/>
        <v>0</v>
      </c>
      <c r="K1238" s="20"/>
      <c r="L1238" s="20"/>
      <c r="M1238" s="20"/>
      <c r="O1238" s="55"/>
      <c r="P1238" s="55"/>
    </row>
    <row r="1239" spans="1:17" x14ac:dyDescent="0.25">
      <c r="A1239" s="19" t="s">
        <v>159</v>
      </c>
      <c r="B1239" s="5">
        <v>25</v>
      </c>
      <c r="C1239" s="6">
        <v>0</v>
      </c>
      <c r="D1239" s="6">
        <v>0</v>
      </c>
      <c r="F1239" s="20">
        <v>29.72</v>
      </c>
      <c r="G1239" s="20"/>
      <c r="H1239" s="7">
        <f t="shared" si="217"/>
        <v>0</v>
      </c>
      <c r="I1239" s="7">
        <f t="shared" si="217"/>
        <v>0</v>
      </c>
      <c r="K1239" s="20"/>
      <c r="L1239" s="20"/>
      <c r="M1239" s="20"/>
      <c r="O1239" s="55"/>
      <c r="P1239" s="55"/>
    </row>
    <row r="1240" spans="1:17" x14ac:dyDescent="0.25">
      <c r="A1240" s="19" t="s">
        <v>160</v>
      </c>
      <c r="B1240" s="5">
        <v>26</v>
      </c>
      <c r="C1240" s="6">
        <v>0</v>
      </c>
      <c r="D1240" s="6">
        <v>0</v>
      </c>
      <c r="F1240" s="20">
        <v>57.58</v>
      </c>
      <c r="G1240" s="20"/>
      <c r="H1240" s="7">
        <f t="shared" si="217"/>
        <v>0</v>
      </c>
      <c r="I1240" s="7">
        <f t="shared" si="217"/>
        <v>0</v>
      </c>
      <c r="K1240" s="20"/>
      <c r="L1240" s="20"/>
      <c r="M1240" s="20"/>
      <c r="O1240" s="55"/>
      <c r="P1240" s="55"/>
    </row>
    <row r="1241" spans="1:17" x14ac:dyDescent="0.25">
      <c r="A1241" s="19" t="s">
        <v>161</v>
      </c>
      <c r="B1241" s="5">
        <v>27</v>
      </c>
      <c r="C1241" s="6">
        <v>0</v>
      </c>
      <c r="D1241" s="6">
        <v>0</v>
      </c>
      <c r="F1241" s="20">
        <v>49.1</v>
      </c>
      <c r="G1241" s="20"/>
      <c r="H1241" s="7">
        <f t="shared" si="217"/>
        <v>0</v>
      </c>
      <c r="I1241" s="7">
        <f t="shared" si="217"/>
        <v>0</v>
      </c>
      <c r="K1241" s="20"/>
      <c r="L1241" s="20"/>
      <c r="M1241" s="20"/>
      <c r="O1241" s="55"/>
      <c r="P1241" s="55"/>
    </row>
    <row r="1242" spans="1:17" x14ac:dyDescent="0.25">
      <c r="A1242" s="19" t="s">
        <v>162</v>
      </c>
      <c r="C1242" s="6">
        <v>38824.758778753254</v>
      </c>
      <c r="D1242" s="6">
        <v>37848</v>
      </c>
      <c r="H1242" s="7">
        <f>SUM(H1210:H1241)</f>
        <v>637567</v>
      </c>
      <c r="I1242" s="7">
        <f>SUM(I1210:I1241)</f>
        <v>621523</v>
      </c>
    </row>
    <row r="1243" spans="1:17" x14ac:dyDescent="0.25">
      <c r="A1243" s="19" t="s">
        <v>163</v>
      </c>
      <c r="C1243" s="107">
        <v>2246900.6861753906</v>
      </c>
      <c r="D1243" s="107">
        <v>2190362.1297112624</v>
      </c>
    </row>
    <row r="1244" spans="1:17" x14ac:dyDescent="0.25">
      <c r="A1244" s="19" t="s">
        <v>164</v>
      </c>
      <c r="C1244" s="108">
        <v>12711</v>
      </c>
      <c r="D1244" s="108">
        <v>0</v>
      </c>
      <c r="F1244" s="109"/>
      <c r="H1244" s="110">
        <v>3843</v>
      </c>
      <c r="I1244" s="37">
        <v>0</v>
      </c>
      <c r="K1244" s="109"/>
      <c r="L1244" s="109"/>
      <c r="N1244" s="37"/>
      <c r="O1244" s="210"/>
      <c r="Q1244" s="64"/>
    </row>
    <row r="1245" spans="1:17" x14ac:dyDescent="0.25">
      <c r="A1245" s="19" t="s">
        <v>34</v>
      </c>
      <c r="F1245" s="23">
        <v>-1.9800000000000002E-2</v>
      </c>
      <c r="G1245" s="24"/>
      <c r="H1245" s="7">
        <f>H1242*$F1245</f>
        <v>-12623.8266</v>
      </c>
      <c r="I1245" s="7">
        <f>I1242*$F1245</f>
        <v>-12306.155400000001</v>
      </c>
      <c r="K1245" s="93" t="str">
        <f>$K$43</f>
        <v>TAA 1 (1/1/2021)</v>
      </c>
      <c r="L1245" s="23">
        <f>$L$1203</f>
        <v>-1.7500000000000002E-2</v>
      </c>
      <c r="M1245" s="24"/>
      <c r="N1245" s="7">
        <f>L1245*N1248</f>
        <v>-5908.8377272111529</v>
      </c>
      <c r="O1245" s="65"/>
      <c r="P1245" s="57"/>
    </row>
    <row r="1246" spans="1:17" x14ac:dyDescent="0.25">
      <c r="A1246" s="19"/>
      <c r="F1246" s="23"/>
      <c r="G1246" s="24"/>
      <c r="K1246" s="93" t="str">
        <f>$K$44</f>
        <v>TAA 2 (1/1/2022)</v>
      </c>
      <c r="L1246" s="23">
        <f>$L$1204</f>
        <v>-8.6999999999999994E-3</v>
      </c>
      <c r="M1246" s="24"/>
      <c r="N1246" s="7">
        <f>L1246*N1248</f>
        <v>-2937.5364700992582</v>
      </c>
      <c r="O1246" s="65"/>
      <c r="P1246" s="57"/>
    </row>
    <row r="1247" spans="1:17" x14ac:dyDescent="0.25">
      <c r="A1247" s="19" t="s">
        <v>165</v>
      </c>
      <c r="C1247" s="6">
        <v>2277.3333333333298</v>
      </c>
      <c r="D1247" s="6">
        <v>2205</v>
      </c>
    </row>
    <row r="1248" spans="1:17" ht="16.5" thickBot="1" x14ac:dyDescent="0.3">
      <c r="A1248" s="19" t="s">
        <v>166</v>
      </c>
      <c r="C1248" s="111">
        <v>2259611.6861753906</v>
      </c>
      <c r="D1248" s="111">
        <v>2190362.1297112624</v>
      </c>
      <c r="F1248" s="39"/>
      <c r="H1248" s="40">
        <f>SUM(H1242:H1245)</f>
        <v>628786.17339999997</v>
      </c>
      <c r="I1248" s="40">
        <f>SUM(I1242:I1245)</f>
        <v>609216.84459999995</v>
      </c>
      <c r="K1248" s="39"/>
      <c r="L1248" s="39"/>
      <c r="N1248" s="40">
        <f>$N$1206/$I$1206*I1248</f>
        <v>337647.87012635154</v>
      </c>
      <c r="O1248" s="66"/>
      <c r="Q1248" s="67"/>
    </row>
    <row r="1249" spans="1:16" ht="16.5" thickTop="1" x14ac:dyDescent="0.25">
      <c r="E1249" s="24"/>
      <c r="J1249" s="24"/>
    </row>
    <row r="1250" spans="1:16" x14ac:dyDescent="0.25">
      <c r="A1250" s="15" t="s">
        <v>169</v>
      </c>
    </row>
    <row r="1251" spans="1:16" x14ac:dyDescent="0.25">
      <c r="A1251" s="106" t="s">
        <v>135</v>
      </c>
      <c r="C1251" s="6" t="s">
        <v>170</v>
      </c>
    </row>
    <row r="1252" spans="1:16" x14ac:dyDescent="0.25">
      <c r="A1252" s="19" t="s">
        <v>136</v>
      </c>
      <c r="B1252" s="5">
        <v>29</v>
      </c>
      <c r="C1252" s="6">
        <v>0</v>
      </c>
      <c r="D1252" s="6">
        <v>0</v>
      </c>
      <c r="F1252" s="20">
        <v>5.68</v>
      </c>
      <c r="G1252" s="20"/>
      <c r="H1252" s="7">
        <f t="shared" ref="H1252:I1255" si="218">ROUND($F1252*C1252,0)</f>
        <v>0</v>
      </c>
      <c r="I1252" s="7">
        <f t="shared" si="218"/>
        <v>0</v>
      </c>
      <c r="K1252" s="20"/>
      <c r="L1252" s="20"/>
      <c r="M1252" s="20"/>
      <c r="O1252" s="55"/>
      <c r="P1252" s="55"/>
    </row>
    <row r="1253" spans="1:16" x14ac:dyDescent="0.25">
      <c r="A1253" s="19" t="s">
        <v>137</v>
      </c>
      <c r="B1253" s="5">
        <v>1</v>
      </c>
      <c r="C1253" s="6">
        <v>21854.609890109899</v>
      </c>
      <c r="D1253" s="6">
        <v>21101</v>
      </c>
      <c r="F1253" s="20">
        <v>16.38</v>
      </c>
      <c r="G1253" s="20"/>
      <c r="H1253" s="7">
        <f t="shared" si="218"/>
        <v>357979</v>
      </c>
      <c r="I1253" s="7">
        <f t="shared" si="218"/>
        <v>345634</v>
      </c>
      <c r="K1253" s="20"/>
      <c r="L1253" s="20"/>
      <c r="M1253" s="20"/>
      <c r="O1253" s="55"/>
      <c r="P1253" s="55"/>
    </row>
    <row r="1254" spans="1:16" x14ac:dyDescent="0.25">
      <c r="A1254" s="19" t="s">
        <v>138</v>
      </c>
      <c r="B1254" s="5">
        <v>40</v>
      </c>
      <c r="C1254" s="6">
        <v>0</v>
      </c>
      <c r="D1254" s="6">
        <v>0</v>
      </c>
      <c r="F1254" s="20">
        <v>8.0500000000000007</v>
      </c>
      <c r="G1254" s="20"/>
      <c r="H1254" s="7">
        <f t="shared" si="218"/>
        <v>0</v>
      </c>
      <c r="I1254" s="7">
        <f t="shared" si="218"/>
        <v>0</v>
      </c>
      <c r="K1254" s="20"/>
      <c r="L1254" s="20"/>
      <c r="M1254" s="20"/>
      <c r="O1254" s="55"/>
      <c r="P1254" s="55"/>
    </row>
    <row r="1255" spans="1:16" x14ac:dyDescent="0.25">
      <c r="A1255" s="19" t="s">
        <v>139</v>
      </c>
      <c r="B1255" s="5">
        <v>2</v>
      </c>
      <c r="C1255" s="6">
        <v>6704.2098581030596</v>
      </c>
      <c r="D1255" s="6">
        <v>6473</v>
      </c>
      <c r="F1255" s="20">
        <v>26.78</v>
      </c>
      <c r="G1255" s="20"/>
      <c r="H1255" s="7">
        <f t="shared" si="218"/>
        <v>179539</v>
      </c>
      <c r="I1255" s="7">
        <f t="shared" si="218"/>
        <v>173347</v>
      </c>
      <c r="K1255" s="20"/>
      <c r="L1255" s="20"/>
      <c r="M1255" s="20"/>
      <c r="O1255" s="55"/>
      <c r="P1255" s="55"/>
    </row>
    <row r="1256" spans="1:16" x14ac:dyDescent="0.25">
      <c r="A1256" s="106" t="s">
        <v>140</v>
      </c>
      <c r="K1256" s="20"/>
      <c r="L1256" s="20"/>
      <c r="O1256" s="55"/>
    </row>
    <row r="1257" spans="1:16" x14ac:dyDescent="0.25">
      <c r="A1257" s="19" t="s">
        <v>141</v>
      </c>
      <c r="B1257" s="5">
        <v>3</v>
      </c>
      <c r="C1257" s="6">
        <v>967.46575342465803</v>
      </c>
      <c r="D1257" s="6">
        <v>934</v>
      </c>
      <c r="F1257" s="20">
        <v>14.6</v>
      </c>
      <c r="G1257" s="20"/>
      <c r="H1257" s="7">
        <f t="shared" ref="H1257:I1267" si="219">ROUND($F1257*C1257,0)</f>
        <v>14125</v>
      </c>
      <c r="I1257" s="7">
        <f t="shared" si="219"/>
        <v>13636</v>
      </c>
      <c r="K1257" s="20"/>
      <c r="L1257" s="20"/>
      <c r="M1257" s="20"/>
      <c r="O1257" s="55"/>
      <c r="P1257" s="55"/>
    </row>
    <row r="1258" spans="1:16" x14ac:dyDescent="0.25">
      <c r="A1258" s="19" t="s">
        <v>142</v>
      </c>
      <c r="B1258" s="5">
        <v>4</v>
      </c>
      <c r="C1258" s="6">
        <v>534.23385118560896</v>
      </c>
      <c r="D1258" s="6">
        <v>516</v>
      </c>
      <c r="F1258" s="20">
        <v>12.23</v>
      </c>
      <c r="G1258" s="20"/>
      <c r="H1258" s="7">
        <f t="shared" si="219"/>
        <v>6534</v>
      </c>
      <c r="I1258" s="7">
        <f t="shared" si="219"/>
        <v>6311</v>
      </c>
      <c r="K1258" s="20"/>
      <c r="L1258" s="20"/>
      <c r="M1258" s="20"/>
      <c r="O1258" s="55"/>
      <c r="P1258" s="55"/>
    </row>
    <row r="1259" spans="1:16" x14ac:dyDescent="0.25">
      <c r="A1259" s="19" t="s">
        <v>143</v>
      </c>
      <c r="B1259" s="5">
        <v>5</v>
      </c>
      <c r="C1259" s="6">
        <v>11633.5837104072</v>
      </c>
      <c r="D1259" s="6">
        <v>11232</v>
      </c>
      <c r="F1259" s="20">
        <v>15.47</v>
      </c>
      <c r="G1259" s="20"/>
      <c r="H1259" s="7">
        <f t="shared" si="219"/>
        <v>179972</v>
      </c>
      <c r="I1259" s="7">
        <f t="shared" si="219"/>
        <v>173759</v>
      </c>
      <c r="K1259" s="20"/>
      <c r="L1259" s="20"/>
      <c r="M1259" s="20"/>
      <c r="O1259" s="55"/>
      <c r="P1259" s="55"/>
    </row>
    <row r="1260" spans="1:16" x14ac:dyDescent="0.25">
      <c r="A1260" s="19" t="s">
        <v>144</v>
      </c>
      <c r="B1260" s="5">
        <v>6</v>
      </c>
      <c r="C1260" s="6">
        <v>9374.8159278737803</v>
      </c>
      <c r="D1260" s="6">
        <v>9051</v>
      </c>
      <c r="F1260" s="20">
        <v>13.31</v>
      </c>
      <c r="G1260" s="20"/>
      <c r="H1260" s="7">
        <f t="shared" si="219"/>
        <v>124779</v>
      </c>
      <c r="I1260" s="7">
        <f t="shared" si="219"/>
        <v>120469</v>
      </c>
      <c r="K1260" s="20"/>
      <c r="L1260" s="20"/>
      <c r="M1260" s="20"/>
      <c r="O1260" s="55"/>
      <c r="P1260" s="55"/>
    </row>
    <row r="1261" spans="1:16" x14ac:dyDescent="0.25">
      <c r="A1261" s="19" t="s">
        <v>145</v>
      </c>
      <c r="B1261" s="5">
        <v>7</v>
      </c>
      <c r="C1261" s="6">
        <v>1431.1330935251799</v>
      </c>
      <c r="D1261" s="6">
        <v>1382</v>
      </c>
      <c r="F1261" s="20">
        <v>19.46</v>
      </c>
      <c r="G1261" s="20"/>
      <c r="H1261" s="7">
        <f t="shared" si="219"/>
        <v>27850</v>
      </c>
      <c r="I1261" s="7">
        <f t="shared" si="219"/>
        <v>26894</v>
      </c>
      <c r="K1261" s="20"/>
      <c r="L1261" s="20"/>
      <c r="M1261" s="20"/>
      <c r="O1261" s="55"/>
      <c r="P1261" s="55"/>
    </row>
    <row r="1262" spans="1:16" x14ac:dyDescent="0.25">
      <c r="A1262" s="19" t="s">
        <v>146</v>
      </c>
      <c r="B1262" s="5">
        <v>8</v>
      </c>
      <c r="C1262" s="6">
        <v>1655.7997664915399</v>
      </c>
      <c r="D1262" s="6">
        <v>1599</v>
      </c>
      <c r="F1262" s="20">
        <v>17.13</v>
      </c>
      <c r="G1262" s="20"/>
      <c r="H1262" s="7">
        <f t="shared" si="219"/>
        <v>28364</v>
      </c>
      <c r="I1262" s="7">
        <f t="shared" si="219"/>
        <v>27391</v>
      </c>
      <c r="K1262" s="20"/>
      <c r="L1262" s="20"/>
      <c r="M1262" s="20"/>
      <c r="O1262" s="55"/>
      <c r="P1262" s="55"/>
    </row>
    <row r="1263" spans="1:16" x14ac:dyDescent="0.25">
      <c r="A1263" s="19" t="s">
        <v>147</v>
      </c>
      <c r="B1263" s="5">
        <v>9</v>
      </c>
      <c r="C1263" s="6">
        <v>0</v>
      </c>
      <c r="D1263" s="6">
        <v>0</v>
      </c>
      <c r="F1263" s="20">
        <v>21.07</v>
      </c>
      <c r="G1263" s="20"/>
      <c r="H1263" s="7">
        <f t="shared" si="219"/>
        <v>0</v>
      </c>
      <c r="I1263" s="7">
        <f t="shared" si="219"/>
        <v>0</v>
      </c>
      <c r="K1263" s="20"/>
      <c r="L1263" s="20"/>
      <c r="M1263" s="20"/>
      <c r="O1263" s="55"/>
      <c r="P1263" s="55"/>
    </row>
    <row r="1264" spans="1:16" x14ac:dyDescent="0.25">
      <c r="A1264" s="19" t="s">
        <v>148</v>
      </c>
      <c r="B1264" s="5">
        <v>10</v>
      </c>
      <c r="C1264" s="6">
        <v>1981.86601446193</v>
      </c>
      <c r="D1264" s="6">
        <v>1913</v>
      </c>
      <c r="F1264" s="20">
        <v>23.51</v>
      </c>
      <c r="G1264" s="20"/>
      <c r="H1264" s="7">
        <f t="shared" si="219"/>
        <v>46594</v>
      </c>
      <c r="I1264" s="7">
        <f t="shared" si="219"/>
        <v>44975</v>
      </c>
      <c r="K1264" s="20"/>
      <c r="L1264" s="20"/>
      <c r="M1264" s="20"/>
      <c r="O1264" s="55"/>
      <c r="P1264" s="55"/>
    </row>
    <row r="1265" spans="1:16" x14ac:dyDescent="0.25">
      <c r="A1265" s="19" t="s">
        <v>149</v>
      </c>
      <c r="B1265" s="5">
        <v>11</v>
      </c>
      <c r="C1265" s="6">
        <v>3148.3509185115399</v>
      </c>
      <c r="D1265" s="6">
        <v>3040</v>
      </c>
      <c r="F1265" s="20">
        <v>21.23</v>
      </c>
      <c r="G1265" s="20"/>
      <c r="H1265" s="7">
        <f t="shared" si="219"/>
        <v>66839</v>
      </c>
      <c r="I1265" s="7">
        <f t="shared" si="219"/>
        <v>64539</v>
      </c>
      <c r="K1265" s="20"/>
      <c r="L1265" s="20"/>
      <c r="M1265" s="20"/>
      <c r="O1265" s="55"/>
      <c r="P1265" s="55"/>
    </row>
    <row r="1266" spans="1:16" x14ac:dyDescent="0.25">
      <c r="A1266" s="19" t="s">
        <v>150</v>
      </c>
      <c r="B1266" s="5">
        <v>12</v>
      </c>
      <c r="C1266" s="6">
        <v>999.25053003533606</v>
      </c>
      <c r="D1266" s="6">
        <v>965</v>
      </c>
      <c r="F1266" s="20">
        <v>28.3</v>
      </c>
      <c r="G1266" s="20"/>
      <c r="H1266" s="7">
        <f t="shared" si="219"/>
        <v>28279</v>
      </c>
      <c r="I1266" s="7">
        <f t="shared" si="219"/>
        <v>27310</v>
      </c>
      <c r="K1266" s="20"/>
      <c r="L1266" s="20"/>
      <c r="M1266" s="20"/>
      <c r="O1266" s="55"/>
      <c r="P1266" s="55"/>
    </row>
    <row r="1267" spans="1:16" x14ac:dyDescent="0.25">
      <c r="A1267" s="19" t="s">
        <v>151</v>
      </c>
      <c r="B1267" s="5">
        <v>13</v>
      </c>
      <c r="C1267" s="6">
        <v>1681.83339746056</v>
      </c>
      <c r="D1267" s="6">
        <v>1624</v>
      </c>
      <c r="F1267" s="20">
        <v>25.99</v>
      </c>
      <c r="G1267" s="20"/>
      <c r="H1267" s="7">
        <f t="shared" si="219"/>
        <v>43711</v>
      </c>
      <c r="I1267" s="7">
        <f t="shared" si="219"/>
        <v>42208</v>
      </c>
      <c r="K1267" s="20"/>
      <c r="L1267" s="20"/>
      <c r="M1267" s="20"/>
      <c r="O1267" s="55"/>
      <c r="P1267" s="55"/>
    </row>
    <row r="1268" spans="1:16" x14ac:dyDescent="0.25">
      <c r="A1268" s="106" t="s">
        <v>152</v>
      </c>
      <c r="K1268" s="20"/>
      <c r="L1268" s="20"/>
      <c r="O1268" s="55"/>
    </row>
    <row r="1269" spans="1:16" x14ac:dyDescent="0.25">
      <c r="A1269" s="19" t="s">
        <v>145</v>
      </c>
      <c r="B1269" s="5">
        <v>14</v>
      </c>
      <c r="C1269" s="6">
        <v>2911.1181911613598</v>
      </c>
      <c r="D1269" s="6">
        <v>2811</v>
      </c>
      <c r="F1269" s="20">
        <v>19.46</v>
      </c>
      <c r="G1269" s="20"/>
      <c r="H1269" s="7">
        <f t="shared" ref="H1269:I1274" si="220">ROUND($F1269*C1269,0)</f>
        <v>56650</v>
      </c>
      <c r="I1269" s="7">
        <f t="shared" si="220"/>
        <v>54702</v>
      </c>
      <c r="K1269" s="20"/>
      <c r="L1269" s="20"/>
      <c r="M1269" s="20"/>
      <c r="O1269" s="55"/>
      <c r="P1269" s="55"/>
    </row>
    <row r="1270" spans="1:16" x14ac:dyDescent="0.25">
      <c r="A1270" s="19" t="s">
        <v>146</v>
      </c>
      <c r="B1270" s="5">
        <v>15</v>
      </c>
      <c r="C1270" s="6">
        <v>3562.9678925861099</v>
      </c>
      <c r="D1270" s="6">
        <v>3440</v>
      </c>
      <c r="F1270" s="20">
        <v>17.13</v>
      </c>
      <c r="G1270" s="20"/>
      <c r="H1270" s="7">
        <f t="shared" si="220"/>
        <v>61034</v>
      </c>
      <c r="I1270" s="7">
        <f t="shared" si="220"/>
        <v>58927</v>
      </c>
      <c r="K1270" s="20"/>
      <c r="L1270" s="20"/>
      <c r="M1270" s="20"/>
      <c r="O1270" s="55"/>
      <c r="P1270" s="55"/>
    </row>
    <row r="1271" spans="1:16" x14ac:dyDescent="0.25">
      <c r="A1271" s="19" t="s">
        <v>148</v>
      </c>
      <c r="B1271" s="5">
        <v>16</v>
      </c>
      <c r="C1271" s="6">
        <v>732.46618460229695</v>
      </c>
      <c r="D1271" s="6">
        <v>707</v>
      </c>
      <c r="F1271" s="20">
        <v>23.51</v>
      </c>
      <c r="G1271" s="20"/>
      <c r="H1271" s="7">
        <f t="shared" si="220"/>
        <v>17220</v>
      </c>
      <c r="I1271" s="7">
        <f t="shared" si="220"/>
        <v>16622</v>
      </c>
      <c r="K1271" s="20"/>
      <c r="L1271" s="20"/>
      <c r="M1271" s="20"/>
      <c r="O1271" s="55"/>
      <c r="P1271" s="55"/>
    </row>
    <row r="1272" spans="1:16" x14ac:dyDescent="0.25">
      <c r="A1272" s="19" t="s">
        <v>149</v>
      </c>
      <c r="B1272" s="5">
        <v>17</v>
      </c>
      <c r="C1272" s="6">
        <v>1140.0325011775799</v>
      </c>
      <c r="D1272" s="6">
        <v>1101</v>
      </c>
      <c r="F1272" s="20">
        <v>21.23</v>
      </c>
      <c r="G1272" s="20"/>
      <c r="H1272" s="7">
        <f t="shared" si="220"/>
        <v>24203</v>
      </c>
      <c r="I1272" s="7">
        <f t="shared" si="220"/>
        <v>23374</v>
      </c>
      <c r="K1272" s="20"/>
      <c r="L1272" s="20"/>
      <c r="M1272" s="20"/>
      <c r="O1272" s="55"/>
      <c r="P1272" s="55"/>
    </row>
    <row r="1273" spans="1:16" x14ac:dyDescent="0.25">
      <c r="A1273" s="19" t="s">
        <v>150</v>
      </c>
      <c r="B1273" s="5">
        <v>18</v>
      </c>
      <c r="C1273" s="6">
        <v>6225.63356890459</v>
      </c>
      <c r="D1273" s="6">
        <v>6011</v>
      </c>
      <c r="F1273" s="20">
        <v>28.3</v>
      </c>
      <c r="G1273" s="20"/>
      <c r="H1273" s="7">
        <f t="shared" si="220"/>
        <v>176185</v>
      </c>
      <c r="I1273" s="7">
        <f t="shared" si="220"/>
        <v>170111</v>
      </c>
      <c r="K1273" s="20"/>
      <c r="L1273" s="20"/>
      <c r="M1273" s="20"/>
      <c r="O1273" s="55"/>
      <c r="P1273" s="55"/>
    </row>
    <row r="1274" spans="1:16" x14ac:dyDescent="0.25">
      <c r="A1274" s="19" t="s">
        <v>151</v>
      </c>
      <c r="B1274" s="5">
        <v>19</v>
      </c>
      <c r="C1274" s="6">
        <v>7943.3012697191298</v>
      </c>
      <c r="D1274" s="6">
        <v>7669</v>
      </c>
      <c r="F1274" s="20">
        <v>25.99</v>
      </c>
      <c r="G1274" s="20"/>
      <c r="H1274" s="7">
        <f t="shared" si="220"/>
        <v>206446</v>
      </c>
      <c r="I1274" s="7">
        <f t="shared" si="220"/>
        <v>199317</v>
      </c>
      <c r="K1274" s="20"/>
      <c r="L1274" s="20"/>
      <c r="M1274" s="20"/>
      <c r="O1274" s="55"/>
      <c r="P1274" s="55"/>
    </row>
    <row r="1275" spans="1:16" x14ac:dyDescent="0.25">
      <c r="A1275" s="106" t="s">
        <v>153</v>
      </c>
      <c r="K1275" s="20"/>
      <c r="L1275" s="20"/>
      <c r="O1275" s="55"/>
    </row>
    <row r="1276" spans="1:16" x14ac:dyDescent="0.25">
      <c r="A1276" s="19" t="s">
        <v>154</v>
      </c>
      <c r="B1276" s="5">
        <v>20</v>
      </c>
      <c r="C1276" s="6">
        <v>0</v>
      </c>
      <c r="D1276" s="6">
        <v>0</v>
      </c>
      <c r="F1276" s="20">
        <v>29.4</v>
      </c>
      <c r="G1276" s="20"/>
      <c r="H1276" s="7">
        <f t="shared" ref="H1276:I1283" si="221">ROUND($F1276*C1276,0)</f>
        <v>0</v>
      </c>
      <c r="I1276" s="7">
        <f t="shared" si="221"/>
        <v>0</v>
      </c>
      <c r="K1276" s="20"/>
      <c r="L1276" s="20"/>
      <c r="M1276" s="20"/>
      <c r="O1276" s="55"/>
      <c r="P1276" s="55"/>
    </row>
    <row r="1277" spans="1:16" x14ac:dyDescent="0.25">
      <c r="A1277" s="19" t="s">
        <v>155</v>
      </c>
      <c r="B1277" s="5">
        <v>21</v>
      </c>
      <c r="C1277" s="6">
        <v>264</v>
      </c>
      <c r="D1277" s="6">
        <v>255</v>
      </c>
      <c r="F1277" s="20">
        <v>21.79</v>
      </c>
      <c r="G1277" s="20"/>
      <c r="H1277" s="7">
        <f t="shared" si="221"/>
        <v>5753</v>
      </c>
      <c r="I1277" s="7">
        <f t="shared" si="221"/>
        <v>5556</v>
      </c>
      <c r="K1277" s="20"/>
      <c r="L1277" s="20"/>
      <c r="M1277" s="20"/>
      <c r="O1277" s="55"/>
      <c r="P1277" s="55"/>
    </row>
    <row r="1278" spans="1:16" x14ac:dyDescent="0.25">
      <c r="A1278" s="19" t="s">
        <v>156</v>
      </c>
      <c r="B1278" s="5">
        <v>22</v>
      </c>
      <c r="C1278" s="6">
        <v>72</v>
      </c>
      <c r="D1278" s="6">
        <v>70</v>
      </c>
      <c r="F1278" s="20">
        <v>34.340000000000003</v>
      </c>
      <c r="G1278" s="20"/>
      <c r="H1278" s="7">
        <f t="shared" si="221"/>
        <v>2472</v>
      </c>
      <c r="I1278" s="7">
        <f t="shared" si="221"/>
        <v>2404</v>
      </c>
      <c r="K1278" s="20"/>
      <c r="L1278" s="20"/>
      <c r="M1278" s="20"/>
      <c r="O1278" s="55"/>
      <c r="P1278" s="55"/>
    </row>
    <row r="1279" spans="1:16" x14ac:dyDescent="0.25">
      <c r="A1279" s="19" t="s">
        <v>157</v>
      </c>
      <c r="B1279" s="5">
        <v>23</v>
      </c>
      <c r="C1279" s="6">
        <v>84</v>
      </c>
      <c r="D1279" s="6">
        <v>81</v>
      </c>
      <c r="F1279" s="20">
        <v>27.43</v>
      </c>
      <c r="G1279" s="20"/>
      <c r="H1279" s="7">
        <f t="shared" si="221"/>
        <v>2304</v>
      </c>
      <c r="I1279" s="7">
        <f t="shared" si="221"/>
        <v>2222</v>
      </c>
      <c r="K1279" s="20"/>
      <c r="L1279" s="20"/>
      <c r="M1279" s="20"/>
      <c r="O1279" s="55"/>
      <c r="P1279" s="55"/>
    </row>
    <row r="1280" spans="1:16" x14ac:dyDescent="0.25">
      <c r="A1280" s="19" t="s">
        <v>158</v>
      </c>
      <c r="B1280" s="5">
        <v>24</v>
      </c>
      <c r="C1280" s="6">
        <v>252</v>
      </c>
      <c r="D1280" s="6">
        <v>243</v>
      </c>
      <c r="F1280" s="20">
        <v>36.69</v>
      </c>
      <c r="G1280" s="20"/>
      <c r="H1280" s="7">
        <f t="shared" si="221"/>
        <v>9246</v>
      </c>
      <c r="I1280" s="7">
        <f t="shared" si="221"/>
        <v>8916</v>
      </c>
      <c r="K1280" s="20"/>
      <c r="L1280" s="20"/>
      <c r="M1280" s="20"/>
      <c r="O1280" s="55"/>
      <c r="P1280" s="55"/>
    </row>
    <row r="1281" spans="1:17" x14ac:dyDescent="0.25">
      <c r="A1281" s="19" t="s">
        <v>159</v>
      </c>
      <c r="B1281" s="5">
        <v>25</v>
      </c>
      <c r="C1281" s="6">
        <v>563.06628532974401</v>
      </c>
      <c r="D1281" s="6">
        <v>544</v>
      </c>
      <c r="F1281" s="20">
        <v>29.72</v>
      </c>
      <c r="G1281" s="20"/>
      <c r="H1281" s="7">
        <f t="shared" si="221"/>
        <v>16734</v>
      </c>
      <c r="I1281" s="7">
        <f t="shared" si="221"/>
        <v>16168</v>
      </c>
      <c r="K1281" s="20"/>
      <c r="L1281" s="20"/>
      <c r="M1281" s="20"/>
      <c r="O1281" s="55"/>
      <c r="P1281" s="55"/>
    </row>
    <row r="1282" spans="1:17" x14ac:dyDescent="0.25">
      <c r="A1282" s="19" t="s">
        <v>160</v>
      </c>
      <c r="B1282" s="5">
        <v>26</v>
      </c>
      <c r="C1282" s="6">
        <v>12</v>
      </c>
      <c r="D1282" s="6">
        <v>12</v>
      </c>
      <c r="F1282" s="20">
        <v>57.58</v>
      </c>
      <c r="G1282" s="20"/>
      <c r="H1282" s="7">
        <f t="shared" si="221"/>
        <v>691</v>
      </c>
      <c r="I1282" s="7">
        <f t="shared" si="221"/>
        <v>691</v>
      </c>
      <c r="K1282" s="20"/>
      <c r="L1282" s="20"/>
      <c r="M1282" s="20"/>
      <c r="O1282" s="55"/>
      <c r="P1282" s="55"/>
    </row>
    <row r="1283" spans="1:17" x14ac:dyDescent="0.25">
      <c r="A1283" s="19" t="s">
        <v>161</v>
      </c>
      <c r="B1283" s="5">
        <v>27</v>
      </c>
      <c r="C1283" s="6">
        <v>33.733401221995898</v>
      </c>
      <c r="D1283" s="6">
        <v>33</v>
      </c>
      <c r="F1283" s="20">
        <v>49.1</v>
      </c>
      <c r="G1283" s="20"/>
      <c r="H1283" s="7">
        <f t="shared" si="221"/>
        <v>1656</v>
      </c>
      <c r="I1283" s="7">
        <f t="shared" si="221"/>
        <v>1620</v>
      </c>
      <c r="K1283" s="20"/>
      <c r="L1283" s="20"/>
      <c r="M1283" s="20"/>
      <c r="O1283" s="55"/>
      <c r="P1283" s="55"/>
    </row>
    <row r="1284" spans="1:17" x14ac:dyDescent="0.25">
      <c r="A1284" s="19" t="s">
        <v>162</v>
      </c>
      <c r="C1284" s="6">
        <v>85763.472006293101</v>
      </c>
      <c r="D1284" s="6">
        <v>82807</v>
      </c>
      <c r="H1284" s="7">
        <f>SUM(H1252:H1283)</f>
        <v>1685159</v>
      </c>
      <c r="I1284" s="7">
        <f>SUM(I1252:I1283)</f>
        <v>1627103</v>
      </c>
    </row>
    <row r="1285" spans="1:17" x14ac:dyDescent="0.25">
      <c r="A1285" s="19" t="s">
        <v>163</v>
      </c>
      <c r="C1285" s="107">
        <v>7238624.0497356383</v>
      </c>
      <c r="D1285" s="107">
        <v>6988898.6263882052</v>
      </c>
    </row>
    <row r="1286" spans="1:17" x14ac:dyDescent="0.25">
      <c r="A1286" s="19" t="s">
        <v>164</v>
      </c>
      <c r="C1286" s="108">
        <v>38396</v>
      </c>
      <c r="D1286" s="108">
        <v>0</v>
      </c>
      <c r="F1286" s="109"/>
      <c r="H1286" s="37">
        <v>9758</v>
      </c>
      <c r="I1286" s="37">
        <v>0</v>
      </c>
      <c r="K1286" s="109"/>
      <c r="L1286" s="109"/>
      <c r="N1286" s="37"/>
      <c r="O1286" s="210"/>
      <c r="Q1286" s="64"/>
    </row>
    <row r="1287" spans="1:17" x14ac:dyDescent="0.25">
      <c r="A1287" s="19" t="s">
        <v>34</v>
      </c>
      <c r="F1287" s="23">
        <v>-1.9800000000000002E-2</v>
      </c>
      <c r="G1287" s="24"/>
      <c r="H1287" s="7">
        <f>H1284*$F1287</f>
        <v>-33366.148200000003</v>
      </c>
      <c r="I1287" s="7">
        <f>I1284*$F1287</f>
        <v>-32216.639400000004</v>
      </c>
      <c r="K1287" s="93" t="str">
        <f>$K$43</f>
        <v>TAA 1 (1/1/2021)</v>
      </c>
      <c r="L1287" s="23">
        <f>$L$1203</f>
        <v>-1.7500000000000002E-2</v>
      </c>
      <c r="M1287" s="24"/>
      <c r="N1287" s="7">
        <f>L1287*N1290</f>
        <v>-15468.916826020031</v>
      </c>
      <c r="O1287" s="65"/>
      <c r="P1287" s="57"/>
    </row>
    <row r="1288" spans="1:17" x14ac:dyDescent="0.25">
      <c r="A1288" s="19"/>
      <c r="F1288" s="23"/>
      <c r="G1288" s="24"/>
      <c r="K1288" s="93" t="str">
        <f>$K$44</f>
        <v>TAA 2 (1/1/2022)</v>
      </c>
      <c r="L1288" s="23">
        <f>$L$1204</f>
        <v>-8.6999999999999994E-3</v>
      </c>
      <c r="M1288" s="24"/>
      <c r="N1288" s="7">
        <f>L1288*N1290</f>
        <v>-7690.2615077928149</v>
      </c>
      <c r="O1288" s="65"/>
      <c r="P1288" s="57"/>
    </row>
    <row r="1289" spans="1:17" x14ac:dyDescent="0.25">
      <c r="A1289" s="19" t="s">
        <v>165</v>
      </c>
      <c r="C1289" s="6">
        <v>3860.5833333333298</v>
      </c>
      <c r="D1289" s="6">
        <v>3720</v>
      </c>
    </row>
    <row r="1290" spans="1:17" ht="16.5" thickBot="1" x14ac:dyDescent="0.3">
      <c r="A1290" s="19" t="s">
        <v>166</v>
      </c>
      <c r="C1290" s="111">
        <v>7277020.0497356383</v>
      </c>
      <c r="D1290" s="111">
        <v>6988898.6263882052</v>
      </c>
      <c r="F1290" s="39"/>
      <c r="H1290" s="40">
        <f>SUM(H1284:H1287)</f>
        <v>1661550.8518000001</v>
      </c>
      <c r="I1290" s="40">
        <f>SUM(I1284:I1287)</f>
        <v>1594886.3606</v>
      </c>
      <c r="K1290" s="39"/>
      <c r="L1290" s="39"/>
      <c r="N1290" s="40">
        <f>$N$1206/$I$1206*I1290</f>
        <v>883938.10434400174</v>
      </c>
      <c r="O1290" s="66"/>
      <c r="Q1290" s="67"/>
    </row>
    <row r="1291" spans="1:17" ht="16.5" thickTop="1" x14ac:dyDescent="0.25">
      <c r="E1291" s="24"/>
      <c r="J1291" s="24"/>
    </row>
    <row r="1292" spans="1:17" x14ac:dyDescent="0.25">
      <c r="A1292" s="15" t="s">
        <v>171</v>
      </c>
    </row>
    <row r="1293" spans="1:17" x14ac:dyDescent="0.25">
      <c r="A1293" s="106" t="s">
        <v>135</v>
      </c>
      <c r="C1293" s="6" t="s">
        <v>172</v>
      </c>
    </row>
    <row r="1294" spans="1:17" x14ac:dyDescent="0.25">
      <c r="A1294" s="19" t="s">
        <v>136</v>
      </c>
      <c r="B1294" s="5">
        <v>29</v>
      </c>
      <c r="C1294" s="6">
        <v>0</v>
      </c>
      <c r="D1294" s="6">
        <v>0</v>
      </c>
      <c r="F1294" s="20">
        <v>5.68</v>
      </c>
      <c r="G1294" s="20"/>
      <c r="H1294" s="7">
        <f t="shared" ref="H1294:I1297" si="222">ROUND($F1294*C1294,0)</f>
        <v>0</v>
      </c>
      <c r="I1294" s="7">
        <f t="shared" si="222"/>
        <v>0</v>
      </c>
      <c r="K1294" s="20"/>
      <c r="L1294" s="20"/>
      <c r="M1294" s="20"/>
      <c r="O1294" s="55"/>
      <c r="P1294" s="55"/>
    </row>
    <row r="1295" spans="1:17" x14ac:dyDescent="0.25">
      <c r="A1295" s="19" t="s">
        <v>137</v>
      </c>
      <c r="B1295" s="5">
        <v>1</v>
      </c>
      <c r="C1295" s="6">
        <v>2928.8315018315002</v>
      </c>
      <c r="D1295" s="6">
        <v>3072</v>
      </c>
      <c r="F1295" s="20">
        <v>16.38</v>
      </c>
      <c r="G1295" s="20"/>
      <c r="H1295" s="7">
        <f t="shared" si="222"/>
        <v>47974</v>
      </c>
      <c r="I1295" s="7">
        <f t="shared" si="222"/>
        <v>50319</v>
      </c>
      <c r="K1295" s="20"/>
      <c r="L1295" s="20"/>
      <c r="M1295" s="20"/>
      <c r="O1295" s="55"/>
      <c r="P1295" s="55"/>
    </row>
    <row r="1296" spans="1:17" x14ac:dyDescent="0.25">
      <c r="A1296" s="19" t="s">
        <v>138</v>
      </c>
      <c r="B1296" s="5">
        <v>40</v>
      </c>
      <c r="C1296" s="6">
        <v>0</v>
      </c>
      <c r="D1296" s="6">
        <v>0</v>
      </c>
      <c r="F1296" s="20">
        <v>8.0500000000000007</v>
      </c>
      <c r="G1296" s="20"/>
      <c r="H1296" s="7">
        <f t="shared" si="222"/>
        <v>0</v>
      </c>
      <c r="I1296" s="7">
        <f t="shared" si="222"/>
        <v>0</v>
      </c>
      <c r="K1296" s="20"/>
      <c r="L1296" s="20"/>
      <c r="M1296" s="20"/>
      <c r="O1296" s="55"/>
      <c r="P1296" s="55"/>
    </row>
    <row r="1297" spans="1:16" x14ac:dyDescent="0.25">
      <c r="A1297" s="19" t="s">
        <v>139</v>
      </c>
      <c r="B1297" s="5">
        <v>2</v>
      </c>
      <c r="C1297" s="6">
        <v>1525.76624346527</v>
      </c>
      <c r="D1297" s="6">
        <v>1600</v>
      </c>
      <c r="F1297" s="20">
        <v>26.78</v>
      </c>
      <c r="G1297" s="20"/>
      <c r="H1297" s="7">
        <f t="shared" si="222"/>
        <v>40860</v>
      </c>
      <c r="I1297" s="7">
        <f t="shared" si="222"/>
        <v>42848</v>
      </c>
      <c r="K1297" s="20"/>
      <c r="L1297" s="20"/>
      <c r="M1297" s="20"/>
      <c r="O1297" s="55"/>
      <c r="P1297" s="55"/>
    </row>
    <row r="1298" spans="1:16" x14ac:dyDescent="0.25">
      <c r="A1298" s="106" t="s">
        <v>140</v>
      </c>
      <c r="K1298" s="20"/>
      <c r="L1298" s="20"/>
      <c r="O1298" s="55"/>
    </row>
    <row r="1299" spans="1:16" x14ac:dyDescent="0.25">
      <c r="A1299" s="19" t="s">
        <v>141</v>
      </c>
      <c r="B1299" s="5">
        <v>3</v>
      </c>
      <c r="C1299" s="6">
        <v>0</v>
      </c>
      <c r="D1299" s="6">
        <v>0</v>
      </c>
      <c r="F1299" s="20">
        <v>14.6</v>
      </c>
      <c r="G1299" s="20"/>
      <c r="H1299" s="7">
        <f t="shared" ref="H1299:I1309" si="223">ROUND($F1299*C1299,0)</f>
        <v>0</v>
      </c>
      <c r="I1299" s="7">
        <f t="shared" si="223"/>
        <v>0</v>
      </c>
      <c r="K1299" s="20"/>
      <c r="L1299" s="20"/>
      <c r="M1299" s="20"/>
      <c r="O1299" s="55"/>
      <c r="P1299" s="55"/>
    </row>
    <row r="1300" spans="1:16" x14ac:dyDescent="0.25">
      <c r="A1300" s="19" t="s">
        <v>142</v>
      </c>
      <c r="B1300" s="5">
        <v>4</v>
      </c>
      <c r="C1300" s="6">
        <v>48</v>
      </c>
      <c r="D1300" s="6">
        <v>50</v>
      </c>
      <c r="F1300" s="20">
        <v>12.23</v>
      </c>
      <c r="G1300" s="20"/>
      <c r="H1300" s="7">
        <f t="shared" si="223"/>
        <v>587</v>
      </c>
      <c r="I1300" s="7">
        <f t="shared" si="223"/>
        <v>612</v>
      </c>
      <c r="K1300" s="20"/>
      <c r="L1300" s="20"/>
      <c r="M1300" s="20"/>
      <c r="O1300" s="55"/>
      <c r="P1300" s="55"/>
    </row>
    <row r="1301" spans="1:16" x14ac:dyDescent="0.25">
      <c r="A1301" s="19" t="s">
        <v>143</v>
      </c>
      <c r="B1301" s="5">
        <v>5</v>
      </c>
      <c r="C1301" s="6">
        <v>737.599870717518</v>
      </c>
      <c r="D1301" s="6">
        <v>774</v>
      </c>
      <c r="F1301" s="20">
        <v>15.47</v>
      </c>
      <c r="G1301" s="20"/>
      <c r="H1301" s="7">
        <f t="shared" si="223"/>
        <v>11411</v>
      </c>
      <c r="I1301" s="7">
        <f t="shared" si="223"/>
        <v>11974</v>
      </c>
      <c r="K1301" s="20"/>
      <c r="L1301" s="20"/>
      <c r="M1301" s="20"/>
      <c r="O1301" s="55"/>
      <c r="P1301" s="55"/>
    </row>
    <row r="1302" spans="1:16" x14ac:dyDescent="0.25">
      <c r="A1302" s="19" t="s">
        <v>144</v>
      </c>
      <c r="B1302" s="5">
        <v>6</v>
      </c>
      <c r="C1302" s="6">
        <v>563.13373403456001</v>
      </c>
      <c r="D1302" s="6">
        <v>591</v>
      </c>
      <c r="F1302" s="20">
        <v>13.31</v>
      </c>
      <c r="G1302" s="20"/>
      <c r="H1302" s="7">
        <f t="shared" si="223"/>
        <v>7495</v>
      </c>
      <c r="I1302" s="7">
        <f t="shared" si="223"/>
        <v>7866</v>
      </c>
      <c r="K1302" s="20"/>
      <c r="L1302" s="20"/>
      <c r="M1302" s="20"/>
      <c r="O1302" s="55"/>
      <c r="P1302" s="55"/>
    </row>
    <row r="1303" spans="1:16" x14ac:dyDescent="0.25">
      <c r="A1303" s="19" t="s">
        <v>145</v>
      </c>
      <c r="B1303" s="5">
        <v>7</v>
      </c>
      <c r="C1303" s="6">
        <v>156</v>
      </c>
      <c r="D1303" s="6">
        <v>164</v>
      </c>
      <c r="F1303" s="20">
        <v>19.46</v>
      </c>
      <c r="G1303" s="20"/>
      <c r="H1303" s="7">
        <f t="shared" si="223"/>
        <v>3036</v>
      </c>
      <c r="I1303" s="7">
        <f t="shared" si="223"/>
        <v>3191</v>
      </c>
      <c r="K1303" s="20"/>
      <c r="L1303" s="20"/>
      <c r="M1303" s="20"/>
      <c r="O1303" s="55"/>
      <c r="P1303" s="55"/>
    </row>
    <row r="1304" spans="1:16" x14ac:dyDescent="0.25">
      <c r="A1304" s="19" t="s">
        <v>146</v>
      </c>
      <c r="B1304" s="5">
        <v>8</v>
      </c>
      <c r="C1304" s="6">
        <v>108</v>
      </c>
      <c r="D1304" s="6">
        <v>113</v>
      </c>
      <c r="F1304" s="20">
        <v>17.13</v>
      </c>
      <c r="G1304" s="20"/>
      <c r="H1304" s="7">
        <f t="shared" si="223"/>
        <v>1850</v>
      </c>
      <c r="I1304" s="7">
        <f t="shared" si="223"/>
        <v>1936</v>
      </c>
      <c r="K1304" s="20"/>
      <c r="L1304" s="20"/>
      <c r="M1304" s="20"/>
      <c r="O1304" s="55"/>
      <c r="P1304" s="55"/>
    </row>
    <row r="1305" spans="1:16" x14ac:dyDescent="0.25">
      <c r="A1305" s="19" t="s">
        <v>147</v>
      </c>
      <c r="B1305" s="5">
        <v>9</v>
      </c>
      <c r="C1305" s="6">
        <v>0</v>
      </c>
      <c r="D1305" s="6">
        <v>0</v>
      </c>
      <c r="F1305" s="20">
        <v>21.07</v>
      </c>
      <c r="G1305" s="20"/>
      <c r="H1305" s="7">
        <f t="shared" si="223"/>
        <v>0</v>
      </c>
      <c r="I1305" s="7">
        <f t="shared" si="223"/>
        <v>0</v>
      </c>
      <c r="K1305" s="20"/>
      <c r="L1305" s="20"/>
      <c r="M1305" s="20"/>
      <c r="O1305" s="55"/>
      <c r="P1305" s="55"/>
    </row>
    <row r="1306" spans="1:16" x14ac:dyDescent="0.25">
      <c r="A1306" s="19" t="s">
        <v>148</v>
      </c>
      <c r="B1306" s="5">
        <v>10</v>
      </c>
      <c r="C1306" s="6">
        <v>256.199914929817</v>
      </c>
      <c r="D1306" s="6">
        <v>269</v>
      </c>
      <c r="F1306" s="20">
        <v>23.51</v>
      </c>
      <c r="G1306" s="20"/>
      <c r="H1306" s="7">
        <f t="shared" si="223"/>
        <v>6023</v>
      </c>
      <c r="I1306" s="7">
        <f t="shared" si="223"/>
        <v>6324</v>
      </c>
      <c r="K1306" s="20"/>
      <c r="L1306" s="20"/>
      <c r="M1306" s="20"/>
      <c r="O1306" s="55"/>
      <c r="P1306" s="55"/>
    </row>
    <row r="1307" spans="1:16" x14ac:dyDescent="0.25">
      <c r="A1307" s="19" t="s">
        <v>149</v>
      </c>
      <c r="B1307" s="5">
        <v>11</v>
      </c>
      <c r="C1307" s="6">
        <v>276</v>
      </c>
      <c r="D1307" s="6">
        <v>290</v>
      </c>
      <c r="F1307" s="20">
        <v>21.23</v>
      </c>
      <c r="G1307" s="20"/>
      <c r="H1307" s="7">
        <f t="shared" si="223"/>
        <v>5859</v>
      </c>
      <c r="I1307" s="7">
        <f t="shared" si="223"/>
        <v>6157</v>
      </c>
      <c r="K1307" s="20"/>
      <c r="L1307" s="20"/>
      <c r="M1307" s="20"/>
      <c r="O1307" s="55"/>
      <c r="P1307" s="55"/>
    </row>
    <row r="1308" spans="1:16" x14ac:dyDescent="0.25">
      <c r="A1308" s="19" t="s">
        <v>150</v>
      </c>
      <c r="B1308" s="5">
        <v>12</v>
      </c>
      <c r="C1308" s="6">
        <v>215.4</v>
      </c>
      <c r="D1308" s="6">
        <v>226</v>
      </c>
      <c r="F1308" s="20">
        <v>28.3</v>
      </c>
      <c r="G1308" s="20"/>
      <c r="H1308" s="7">
        <f t="shared" si="223"/>
        <v>6096</v>
      </c>
      <c r="I1308" s="7">
        <f t="shared" si="223"/>
        <v>6396</v>
      </c>
      <c r="K1308" s="20"/>
      <c r="L1308" s="20"/>
      <c r="M1308" s="20"/>
      <c r="O1308" s="55"/>
      <c r="P1308" s="55"/>
    </row>
    <row r="1309" spans="1:16" x14ac:dyDescent="0.25">
      <c r="A1309" s="19" t="s">
        <v>151</v>
      </c>
      <c r="B1309" s="5">
        <v>13</v>
      </c>
      <c r="C1309" s="6">
        <v>96</v>
      </c>
      <c r="D1309" s="6">
        <v>101</v>
      </c>
      <c r="F1309" s="20">
        <v>25.99</v>
      </c>
      <c r="G1309" s="20"/>
      <c r="H1309" s="7">
        <f t="shared" si="223"/>
        <v>2495</v>
      </c>
      <c r="I1309" s="7">
        <f t="shared" si="223"/>
        <v>2625</v>
      </c>
      <c r="K1309" s="20"/>
      <c r="L1309" s="20"/>
      <c r="M1309" s="20"/>
      <c r="O1309" s="55"/>
      <c r="P1309" s="55"/>
    </row>
    <row r="1310" spans="1:16" x14ac:dyDescent="0.25">
      <c r="A1310" s="106" t="s">
        <v>152</v>
      </c>
      <c r="K1310" s="20"/>
      <c r="L1310" s="20"/>
      <c r="O1310" s="55"/>
    </row>
    <row r="1311" spans="1:16" x14ac:dyDescent="0.25">
      <c r="A1311" s="19" t="s">
        <v>145</v>
      </c>
      <c r="B1311" s="5">
        <v>14</v>
      </c>
      <c r="C1311" s="6">
        <v>276.66649537512802</v>
      </c>
      <c r="D1311" s="6">
        <v>290</v>
      </c>
      <c r="F1311" s="20">
        <v>19.46</v>
      </c>
      <c r="G1311" s="20"/>
      <c r="H1311" s="7">
        <f t="shared" ref="H1311:I1316" si="224">ROUND($F1311*C1311,0)</f>
        <v>5384</v>
      </c>
      <c r="I1311" s="7">
        <f t="shared" si="224"/>
        <v>5643</v>
      </c>
      <c r="K1311" s="20"/>
      <c r="L1311" s="20"/>
      <c r="M1311" s="20"/>
      <c r="O1311" s="55"/>
      <c r="P1311" s="55"/>
    </row>
    <row r="1312" spans="1:16" x14ac:dyDescent="0.25">
      <c r="A1312" s="19" t="s">
        <v>146</v>
      </c>
      <c r="B1312" s="5">
        <v>15</v>
      </c>
      <c r="C1312" s="6">
        <v>84.033274956217198</v>
      </c>
      <c r="D1312" s="6">
        <v>88</v>
      </c>
      <c r="F1312" s="20">
        <v>17.13</v>
      </c>
      <c r="G1312" s="20"/>
      <c r="H1312" s="7">
        <f t="shared" si="224"/>
        <v>1439</v>
      </c>
      <c r="I1312" s="7">
        <f t="shared" si="224"/>
        <v>1507</v>
      </c>
      <c r="K1312" s="20"/>
      <c r="L1312" s="20"/>
      <c r="M1312" s="20"/>
      <c r="O1312" s="55"/>
      <c r="P1312" s="55"/>
    </row>
    <row r="1313" spans="1:17" x14ac:dyDescent="0.25">
      <c r="A1313" s="19" t="s">
        <v>148</v>
      </c>
      <c r="B1313" s="5">
        <v>16</v>
      </c>
      <c r="C1313" s="6">
        <v>36</v>
      </c>
      <c r="D1313" s="6">
        <v>38</v>
      </c>
      <c r="F1313" s="20">
        <v>23.51</v>
      </c>
      <c r="G1313" s="20"/>
      <c r="H1313" s="7">
        <f t="shared" si="224"/>
        <v>846</v>
      </c>
      <c r="I1313" s="7">
        <f t="shared" si="224"/>
        <v>893</v>
      </c>
      <c r="K1313" s="20"/>
      <c r="L1313" s="20"/>
      <c r="M1313" s="20"/>
      <c r="O1313" s="55"/>
      <c r="P1313" s="55"/>
    </row>
    <row r="1314" spans="1:17" x14ac:dyDescent="0.25">
      <c r="A1314" s="19" t="s">
        <v>149</v>
      </c>
      <c r="B1314" s="5">
        <v>17</v>
      </c>
      <c r="C1314" s="6">
        <v>0</v>
      </c>
      <c r="D1314" s="6">
        <v>0</v>
      </c>
      <c r="F1314" s="20">
        <v>21.23</v>
      </c>
      <c r="G1314" s="20"/>
      <c r="H1314" s="7">
        <f t="shared" si="224"/>
        <v>0</v>
      </c>
      <c r="I1314" s="7">
        <f t="shared" si="224"/>
        <v>0</v>
      </c>
      <c r="K1314" s="20"/>
      <c r="L1314" s="20"/>
      <c r="M1314" s="20"/>
      <c r="O1314" s="55"/>
      <c r="P1314" s="55"/>
    </row>
    <row r="1315" spans="1:17" x14ac:dyDescent="0.25">
      <c r="A1315" s="19" t="s">
        <v>150</v>
      </c>
      <c r="B1315" s="5">
        <v>18</v>
      </c>
      <c r="C1315" s="6">
        <v>1450.7102473498201</v>
      </c>
      <c r="D1315" s="6">
        <v>1522</v>
      </c>
      <c r="F1315" s="20">
        <v>28.3</v>
      </c>
      <c r="G1315" s="20"/>
      <c r="H1315" s="7">
        <f t="shared" si="224"/>
        <v>41055</v>
      </c>
      <c r="I1315" s="7">
        <f t="shared" si="224"/>
        <v>43073</v>
      </c>
      <c r="K1315" s="20"/>
      <c r="L1315" s="20"/>
      <c r="M1315" s="20"/>
      <c r="O1315" s="55"/>
      <c r="P1315" s="55"/>
    </row>
    <row r="1316" spans="1:17" x14ac:dyDescent="0.25">
      <c r="A1316" s="19" t="s">
        <v>151</v>
      </c>
      <c r="B1316" s="5">
        <v>19</v>
      </c>
      <c r="C1316" s="6">
        <v>959.43401308195496</v>
      </c>
      <c r="D1316" s="6">
        <v>1006</v>
      </c>
      <c r="F1316" s="20">
        <v>25.99</v>
      </c>
      <c r="G1316" s="20"/>
      <c r="H1316" s="7">
        <f t="shared" si="224"/>
        <v>24936</v>
      </c>
      <c r="I1316" s="7">
        <f t="shared" si="224"/>
        <v>26146</v>
      </c>
      <c r="K1316" s="20"/>
      <c r="L1316" s="20"/>
      <c r="M1316" s="20"/>
      <c r="O1316" s="55"/>
      <c r="P1316" s="55"/>
    </row>
    <row r="1317" spans="1:17" x14ac:dyDescent="0.25">
      <c r="A1317" s="106" t="s">
        <v>153</v>
      </c>
      <c r="K1317" s="20"/>
      <c r="L1317" s="20"/>
      <c r="O1317" s="55"/>
    </row>
    <row r="1318" spans="1:17" x14ac:dyDescent="0.25">
      <c r="A1318" s="19" t="s">
        <v>154</v>
      </c>
      <c r="B1318" s="5">
        <v>20</v>
      </c>
      <c r="C1318" s="6">
        <v>0</v>
      </c>
      <c r="D1318" s="6">
        <v>0</v>
      </c>
      <c r="F1318" s="20">
        <v>29.4</v>
      </c>
      <c r="G1318" s="20"/>
      <c r="H1318" s="7">
        <f t="shared" ref="H1318:I1325" si="225">ROUND($F1318*C1318,0)</f>
        <v>0</v>
      </c>
      <c r="I1318" s="7">
        <f t="shared" si="225"/>
        <v>0</v>
      </c>
      <c r="K1318" s="20"/>
      <c r="L1318" s="20"/>
      <c r="M1318" s="20"/>
      <c r="O1318" s="55"/>
      <c r="P1318" s="55"/>
    </row>
    <row r="1319" spans="1:17" x14ac:dyDescent="0.25">
      <c r="A1319" s="19" t="s">
        <v>155</v>
      </c>
      <c r="B1319" s="5">
        <v>21</v>
      </c>
      <c r="C1319" s="6">
        <v>0</v>
      </c>
      <c r="D1319" s="6">
        <v>0</v>
      </c>
      <c r="F1319" s="20">
        <v>21.79</v>
      </c>
      <c r="G1319" s="20"/>
      <c r="H1319" s="7">
        <f t="shared" si="225"/>
        <v>0</v>
      </c>
      <c r="I1319" s="7">
        <f t="shared" si="225"/>
        <v>0</v>
      </c>
      <c r="K1319" s="20"/>
      <c r="L1319" s="20"/>
      <c r="M1319" s="20"/>
      <c r="O1319" s="55"/>
      <c r="P1319" s="55"/>
    </row>
    <row r="1320" spans="1:17" x14ac:dyDescent="0.25">
      <c r="A1320" s="19" t="s">
        <v>156</v>
      </c>
      <c r="B1320" s="5">
        <v>22</v>
      </c>
      <c r="C1320" s="6">
        <v>36</v>
      </c>
      <c r="D1320" s="6">
        <v>38</v>
      </c>
      <c r="F1320" s="20">
        <v>34.340000000000003</v>
      </c>
      <c r="G1320" s="20"/>
      <c r="H1320" s="7">
        <f t="shared" si="225"/>
        <v>1236</v>
      </c>
      <c r="I1320" s="7">
        <f t="shared" si="225"/>
        <v>1305</v>
      </c>
      <c r="K1320" s="20"/>
      <c r="L1320" s="20"/>
      <c r="M1320" s="20"/>
      <c r="O1320" s="55"/>
      <c r="P1320" s="55"/>
    </row>
    <row r="1321" spans="1:17" x14ac:dyDescent="0.25">
      <c r="A1321" s="19" t="s">
        <v>157</v>
      </c>
      <c r="B1321" s="5">
        <v>23</v>
      </c>
      <c r="C1321" s="6">
        <v>12</v>
      </c>
      <c r="D1321" s="6">
        <v>13</v>
      </c>
      <c r="F1321" s="20">
        <v>27.43</v>
      </c>
      <c r="G1321" s="20"/>
      <c r="H1321" s="7">
        <f t="shared" si="225"/>
        <v>329</v>
      </c>
      <c r="I1321" s="7">
        <f t="shared" si="225"/>
        <v>357</v>
      </c>
      <c r="K1321" s="20"/>
      <c r="L1321" s="20"/>
      <c r="M1321" s="20"/>
      <c r="O1321" s="55"/>
      <c r="P1321" s="55"/>
    </row>
    <row r="1322" spans="1:17" x14ac:dyDescent="0.25">
      <c r="A1322" s="19" t="s">
        <v>158</v>
      </c>
      <c r="B1322" s="5">
        <v>24</v>
      </c>
      <c r="C1322" s="6">
        <v>0</v>
      </c>
      <c r="D1322" s="6">
        <v>0</v>
      </c>
      <c r="F1322" s="20">
        <v>36.69</v>
      </c>
      <c r="G1322" s="20"/>
      <c r="H1322" s="7">
        <f t="shared" si="225"/>
        <v>0</v>
      </c>
      <c r="I1322" s="7">
        <f t="shared" si="225"/>
        <v>0</v>
      </c>
      <c r="K1322" s="20"/>
      <c r="L1322" s="20"/>
      <c r="M1322" s="20"/>
      <c r="O1322" s="55"/>
      <c r="P1322" s="55"/>
    </row>
    <row r="1323" spans="1:17" x14ac:dyDescent="0.25">
      <c r="A1323" s="19" t="s">
        <v>159</v>
      </c>
      <c r="B1323" s="5">
        <v>25</v>
      </c>
      <c r="C1323" s="6">
        <v>0</v>
      </c>
      <c r="D1323" s="6">
        <v>0</v>
      </c>
      <c r="F1323" s="20">
        <v>29.72</v>
      </c>
      <c r="G1323" s="20"/>
      <c r="H1323" s="7">
        <f t="shared" si="225"/>
        <v>0</v>
      </c>
      <c r="I1323" s="7">
        <f t="shared" si="225"/>
        <v>0</v>
      </c>
      <c r="K1323" s="20"/>
      <c r="L1323" s="20"/>
      <c r="M1323" s="20"/>
      <c r="O1323" s="55"/>
      <c r="P1323" s="55"/>
    </row>
    <row r="1324" spans="1:17" x14ac:dyDescent="0.25">
      <c r="A1324" s="19" t="s">
        <v>160</v>
      </c>
      <c r="B1324" s="5">
        <v>26</v>
      </c>
      <c r="C1324" s="6">
        <v>0</v>
      </c>
      <c r="D1324" s="6">
        <v>0</v>
      </c>
      <c r="F1324" s="20">
        <v>57.58</v>
      </c>
      <c r="G1324" s="20"/>
      <c r="H1324" s="7">
        <f t="shared" si="225"/>
        <v>0</v>
      </c>
      <c r="I1324" s="7">
        <f t="shared" si="225"/>
        <v>0</v>
      </c>
      <c r="K1324" s="20"/>
      <c r="L1324" s="20"/>
      <c r="M1324" s="20"/>
      <c r="O1324" s="55"/>
      <c r="P1324" s="55"/>
    </row>
    <row r="1325" spans="1:17" x14ac:dyDescent="0.25">
      <c r="A1325" s="19" t="s">
        <v>161</v>
      </c>
      <c r="B1325" s="5">
        <v>27</v>
      </c>
      <c r="C1325" s="6">
        <v>0</v>
      </c>
      <c r="D1325" s="6">
        <v>0</v>
      </c>
      <c r="F1325" s="20">
        <v>49.1</v>
      </c>
      <c r="G1325" s="20"/>
      <c r="H1325" s="7">
        <f t="shared" si="225"/>
        <v>0</v>
      </c>
      <c r="I1325" s="7">
        <f t="shared" si="225"/>
        <v>0</v>
      </c>
      <c r="K1325" s="20"/>
      <c r="L1325" s="20"/>
      <c r="M1325" s="20"/>
      <c r="O1325" s="55"/>
      <c r="P1325" s="55"/>
    </row>
    <row r="1326" spans="1:17" x14ac:dyDescent="0.25">
      <c r="A1326" s="19" t="s">
        <v>162</v>
      </c>
      <c r="C1326" s="6">
        <v>9765.7752957417852</v>
      </c>
      <c r="D1326" s="6">
        <v>10245</v>
      </c>
      <c r="H1326" s="7">
        <f>SUM(H1294:H1325)</f>
        <v>208911</v>
      </c>
      <c r="I1326" s="7">
        <f>SUM(I1294:I1325)</f>
        <v>219172</v>
      </c>
    </row>
    <row r="1327" spans="1:17" x14ac:dyDescent="0.25">
      <c r="A1327" s="19" t="s">
        <v>163</v>
      </c>
      <c r="C1327" s="107">
        <v>974055.11834088468</v>
      </c>
      <c r="D1327" s="107">
        <v>1021723.7132091596</v>
      </c>
    </row>
    <row r="1328" spans="1:17" x14ac:dyDescent="0.25">
      <c r="A1328" s="19" t="s">
        <v>164</v>
      </c>
      <c r="C1328" s="108">
        <v>-15790</v>
      </c>
      <c r="D1328" s="108">
        <v>0</v>
      </c>
      <c r="F1328" s="109"/>
      <c r="H1328" s="110">
        <v>-3114</v>
      </c>
      <c r="I1328" s="37">
        <v>0</v>
      </c>
      <c r="K1328" s="109"/>
      <c r="L1328" s="109"/>
      <c r="N1328" s="37"/>
      <c r="O1328" s="210"/>
      <c r="Q1328" s="64"/>
    </row>
    <row r="1329" spans="1:17" x14ac:dyDescent="0.25">
      <c r="A1329" s="19" t="s">
        <v>34</v>
      </c>
      <c r="F1329" s="23">
        <v>-1.9800000000000002E-2</v>
      </c>
      <c r="G1329" s="24"/>
      <c r="H1329" s="7">
        <f>H1326*$F1329</f>
        <v>-4136.4378000000006</v>
      </c>
      <c r="I1329" s="7">
        <f>I1326*$F1329</f>
        <v>-4339.6056000000008</v>
      </c>
      <c r="K1329" s="93" t="str">
        <f>$K$43</f>
        <v>TAA 1 (1/1/2021)</v>
      </c>
      <c r="L1329" s="23">
        <f>$L$1203</f>
        <v>-1.7500000000000002E-2</v>
      </c>
      <c r="M1329" s="24"/>
      <c r="N1329" s="7">
        <f>L1329*N1332</f>
        <v>-2083.6747511328185</v>
      </c>
      <c r="O1329" s="65"/>
      <c r="P1329" s="57"/>
    </row>
    <row r="1330" spans="1:17" x14ac:dyDescent="0.25">
      <c r="A1330" s="19"/>
      <c r="F1330" s="23"/>
      <c r="G1330" s="24"/>
      <c r="K1330" s="93" t="str">
        <f>$K$44</f>
        <v>TAA 2 (1/1/2022)</v>
      </c>
      <c r="L1330" s="23">
        <f>$L$1204</f>
        <v>-8.6999999999999994E-3</v>
      </c>
      <c r="M1330" s="24"/>
      <c r="N1330" s="7">
        <f>L1330*N1332</f>
        <v>-1035.8840191346012</v>
      </c>
      <c r="O1330" s="65"/>
      <c r="P1330" s="57"/>
    </row>
    <row r="1331" spans="1:17" x14ac:dyDescent="0.25">
      <c r="A1331" s="19" t="s">
        <v>165</v>
      </c>
      <c r="C1331" s="6">
        <v>394</v>
      </c>
      <c r="D1331" s="6">
        <v>403</v>
      </c>
    </row>
    <row r="1332" spans="1:17" ht="16.5" thickBot="1" x14ac:dyDescent="0.3">
      <c r="A1332" s="19" t="s">
        <v>166</v>
      </c>
      <c r="C1332" s="111">
        <v>958265.11834088468</v>
      </c>
      <c r="D1332" s="111">
        <v>1021723.7132091596</v>
      </c>
      <c r="F1332" s="39"/>
      <c r="H1332" s="40">
        <f>SUM(H1326:H1329)</f>
        <v>201660.56219999999</v>
      </c>
      <c r="I1332" s="40">
        <f>SUM(I1326:I1329)</f>
        <v>214832.39439999999</v>
      </c>
      <c r="K1332" s="39"/>
      <c r="L1332" s="39"/>
      <c r="N1332" s="40">
        <f>$N$1206/$I$1206*I1332</f>
        <v>119067.12863616105</v>
      </c>
      <c r="O1332" s="66"/>
      <c r="Q1332" s="67"/>
    </row>
    <row r="1333" spans="1:17" ht="16.5" thickTop="1" x14ac:dyDescent="0.25">
      <c r="E1333" s="24"/>
      <c r="J1333" s="24"/>
    </row>
    <row r="1334" spans="1:17" x14ac:dyDescent="0.25">
      <c r="A1334" s="15" t="s">
        <v>173</v>
      </c>
    </row>
    <row r="1335" spans="1:17" x14ac:dyDescent="0.25">
      <c r="A1335" s="106" t="s">
        <v>135</v>
      </c>
      <c r="C1335" s="6" t="s">
        <v>174</v>
      </c>
    </row>
    <row r="1336" spans="1:17" x14ac:dyDescent="0.25">
      <c r="A1336" s="19" t="s">
        <v>136</v>
      </c>
      <c r="B1336" s="5">
        <v>29</v>
      </c>
      <c r="C1336" s="6">
        <v>0</v>
      </c>
      <c r="D1336" s="6">
        <v>0</v>
      </c>
      <c r="F1336" s="20">
        <v>5.68</v>
      </c>
      <c r="G1336" s="20"/>
      <c r="H1336" s="7">
        <f t="shared" ref="H1336:I1339" si="226">ROUND($F1336*C1336,0)</f>
        <v>0</v>
      </c>
      <c r="I1336" s="7">
        <f t="shared" si="226"/>
        <v>0</v>
      </c>
      <c r="K1336" s="20"/>
      <c r="L1336" s="20"/>
      <c r="M1336" s="20"/>
      <c r="O1336" s="55"/>
      <c r="P1336" s="55"/>
    </row>
    <row r="1337" spans="1:17" x14ac:dyDescent="0.25">
      <c r="A1337" s="19" t="s">
        <v>137</v>
      </c>
      <c r="B1337" s="5">
        <v>1</v>
      </c>
      <c r="C1337" s="6">
        <v>178.26678876678901</v>
      </c>
      <c r="D1337" s="6">
        <v>146</v>
      </c>
      <c r="F1337" s="20">
        <v>16.38</v>
      </c>
      <c r="G1337" s="20"/>
      <c r="H1337" s="7">
        <f t="shared" si="226"/>
        <v>2920</v>
      </c>
      <c r="I1337" s="7">
        <f t="shared" si="226"/>
        <v>2391</v>
      </c>
      <c r="K1337" s="20"/>
      <c r="L1337" s="20"/>
      <c r="M1337" s="20"/>
      <c r="O1337" s="55"/>
      <c r="P1337" s="55"/>
    </row>
    <row r="1338" spans="1:17" x14ac:dyDescent="0.25">
      <c r="A1338" s="19" t="s">
        <v>138</v>
      </c>
      <c r="B1338" s="5">
        <v>40</v>
      </c>
      <c r="C1338" s="6">
        <v>0</v>
      </c>
      <c r="D1338" s="6">
        <v>0</v>
      </c>
      <c r="F1338" s="20">
        <v>8.0500000000000007</v>
      </c>
      <c r="G1338" s="20"/>
      <c r="H1338" s="7">
        <f t="shared" si="226"/>
        <v>0</v>
      </c>
      <c r="I1338" s="7">
        <f t="shared" si="226"/>
        <v>0</v>
      </c>
      <c r="K1338" s="20"/>
      <c r="L1338" s="20"/>
      <c r="M1338" s="20"/>
      <c r="O1338" s="55"/>
      <c r="P1338" s="55"/>
    </row>
    <row r="1339" spans="1:17" x14ac:dyDescent="0.25">
      <c r="A1339" s="19" t="s">
        <v>139</v>
      </c>
      <c r="B1339" s="5">
        <v>2</v>
      </c>
      <c r="C1339" s="6">
        <v>106.03286034353999</v>
      </c>
      <c r="D1339" s="6">
        <v>87</v>
      </c>
      <c r="F1339" s="20">
        <v>26.78</v>
      </c>
      <c r="G1339" s="20"/>
      <c r="H1339" s="7">
        <f t="shared" si="226"/>
        <v>2840</v>
      </c>
      <c r="I1339" s="7">
        <f t="shared" si="226"/>
        <v>2330</v>
      </c>
      <c r="K1339" s="20"/>
      <c r="L1339" s="20"/>
      <c r="M1339" s="20"/>
      <c r="O1339" s="55"/>
      <c r="P1339" s="55"/>
    </row>
    <row r="1340" spans="1:17" x14ac:dyDescent="0.25">
      <c r="A1340" s="106" t="s">
        <v>140</v>
      </c>
      <c r="K1340" s="20"/>
      <c r="L1340" s="20"/>
      <c r="O1340" s="55"/>
    </row>
    <row r="1341" spans="1:17" x14ac:dyDescent="0.25">
      <c r="A1341" s="19" t="s">
        <v>141</v>
      </c>
      <c r="B1341" s="5">
        <v>3</v>
      </c>
      <c r="C1341" s="6">
        <v>250.50068493150701</v>
      </c>
      <c r="D1341" s="6">
        <v>206</v>
      </c>
      <c r="F1341" s="20">
        <v>14.6</v>
      </c>
      <c r="G1341" s="20"/>
      <c r="H1341" s="7">
        <f t="shared" ref="H1341:I1351" si="227">ROUND($F1341*C1341,0)</f>
        <v>3657</v>
      </c>
      <c r="I1341" s="7">
        <f t="shared" si="227"/>
        <v>3008</v>
      </c>
      <c r="K1341" s="20"/>
      <c r="L1341" s="20"/>
      <c r="M1341" s="20"/>
      <c r="O1341" s="55"/>
      <c r="P1341" s="55"/>
    </row>
    <row r="1342" spans="1:17" x14ac:dyDescent="0.25">
      <c r="A1342" s="19" t="s">
        <v>142</v>
      </c>
      <c r="B1342" s="5">
        <v>4</v>
      </c>
      <c r="C1342" s="6">
        <v>12</v>
      </c>
      <c r="D1342" s="6">
        <v>10</v>
      </c>
      <c r="F1342" s="20">
        <v>12.23</v>
      </c>
      <c r="G1342" s="20"/>
      <c r="H1342" s="7">
        <f t="shared" si="227"/>
        <v>147</v>
      </c>
      <c r="I1342" s="7">
        <f t="shared" si="227"/>
        <v>122</v>
      </c>
      <c r="K1342" s="20"/>
      <c r="L1342" s="20"/>
      <c r="M1342" s="20"/>
      <c r="O1342" s="55"/>
      <c r="P1342" s="55"/>
    </row>
    <row r="1343" spans="1:17" x14ac:dyDescent="0.25">
      <c r="A1343" s="19" t="s">
        <v>143</v>
      </c>
      <c r="B1343" s="5">
        <v>5</v>
      </c>
      <c r="C1343" s="6">
        <v>1650.56819650937</v>
      </c>
      <c r="D1343" s="6">
        <v>1355</v>
      </c>
      <c r="F1343" s="20">
        <v>15.47</v>
      </c>
      <c r="G1343" s="20"/>
      <c r="H1343" s="7">
        <f t="shared" si="227"/>
        <v>25534</v>
      </c>
      <c r="I1343" s="7">
        <f t="shared" si="227"/>
        <v>20962</v>
      </c>
      <c r="K1343" s="20"/>
      <c r="L1343" s="20"/>
      <c r="M1343" s="20"/>
      <c r="O1343" s="55"/>
      <c r="P1343" s="55"/>
    </row>
    <row r="1344" spans="1:17" x14ac:dyDescent="0.25">
      <c r="A1344" s="19" t="s">
        <v>144</v>
      </c>
      <c r="B1344" s="5">
        <v>6</v>
      </c>
      <c r="C1344" s="6">
        <v>162.46656649136</v>
      </c>
      <c r="D1344" s="6">
        <v>133</v>
      </c>
      <c r="F1344" s="20">
        <v>13.31</v>
      </c>
      <c r="G1344" s="20"/>
      <c r="H1344" s="7">
        <f t="shared" si="227"/>
        <v>2162</v>
      </c>
      <c r="I1344" s="7">
        <f t="shared" si="227"/>
        <v>1770</v>
      </c>
      <c r="K1344" s="20"/>
      <c r="L1344" s="20"/>
      <c r="M1344" s="20"/>
      <c r="O1344" s="55"/>
      <c r="P1344" s="55"/>
    </row>
    <row r="1345" spans="1:16" x14ac:dyDescent="0.25">
      <c r="A1345" s="19" t="s">
        <v>145</v>
      </c>
      <c r="B1345" s="5">
        <v>7</v>
      </c>
      <c r="C1345" s="6">
        <v>569.49948612538503</v>
      </c>
      <c r="D1345" s="6">
        <v>468</v>
      </c>
      <c r="F1345" s="20">
        <v>19.46</v>
      </c>
      <c r="G1345" s="20"/>
      <c r="H1345" s="7">
        <f t="shared" si="227"/>
        <v>11082</v>
      </c>
      <c r="I1345" s="7">
        <f t="shared" si="227"/>
        <v>9107</v>
      </c>
      <c r="K1345" s="20"/>
      <c r="L1345" s="20"/>
      <c r="M1345" s="20"/>
      <c r="O1345" s="55"/>
      <c r="P1345" s="55"/>
    </row>
    <row r="1346" spans="1:16" x14ac:dyDescent="0.25">
      <c r="A1346" s="19" t="s">
        <v>146</v>
      </c>
      <c r="B1346" s="5">
        <v>8</v>
      </c>
      <c r="C1346" s="6">
        <v>72</v>
      </c>
      <c r="D1346" s="6">
        <v>59</v>
      </c>
      <c r="F1346" s="20">
        <v>17.13</v>
      </c>
      <c r="G1346" s="20"/>
      <c r="H1346" s="7">
        <f t="shared" si="227"/>
        <v>1233</v>
      </c>
      <c r="I1346" s="7">
        <f t="shared" si="227"/>
        <v>1011</v>
      </c>
      <c r="K1346" s="20"/>
      <c r="L1346" s="20"/>
      <c r="M1346" s="20"/>
      <c r="O1346" s="55"/>
      <c r="P1346" s="55"/>
    </row>
    <row r="1347" spans="1:16" x14ac:dyDescent="0.25">
      <c r="A1347" s="19" t="s">
        <v>147</v>
      </c>
      <c r="B1347" s="5">
        <v>9</v>
      </c>
      <c r="C1347" s="6">
        <v>24</v>
      </c>
      <c r="D1347" s="6">
        <v>20</v>
      </c>
      <c r="F1347" s="20">
        <v>21.07</v>
      </c>
      <c r="G1347" s="20"/>
      <c r="H1347" s="7">
        <f t="shared" si="227"/>
        <v>506</v>
      </c>
      <c r="I1347" s="7">
        <f t="shared" si="227"/>
        <v>421</v>
      </c>
      <c r="K1347" s="20"/>
      <c r="L1347" s="20"/>
      <c r="M1347" s="20"/>
      <c r="O1347" s="55"/>
      <c r="P1347" s="55"/>
    </row>
    <row r="1348" spans="1:16" x14ac:dyDescent="0.25">
      <c r="A1348" s="19" t="s">
        <v>148</v>
      </c>
      <c r="B1348" s="5">
        <v>10</v>
      </c>
      <c r="C1348" s="6">
        <v>587.43215652913602</v>
      </c>
      <c r="D1348" s="6">
        <v>482</v>
      </c>
      <c r="F1348" s="20">
        <v>23.51</v>
      </c>
      <c r="G1348" s="20"/>
      <c r="H1348" s="7">
        <f t="shared" si="227"/>
        <v>13811</v>
      </c>
      <c r="I1348" s="7">
        <f t="shared" si="227"/>
        <v>11332</v>
      </c>
      <c r="K1348" s="20"/>
      <c r="L1348" s="20"/>
      <c r="M1348" s="20"/>
      <c r="O1348" s="55"/>
      <c r="P1348" s="55"/>
    </row>
    <row r="1349" spans="1:16" x14ac:dyDescent="0.25">
      <c r="A1349" s="19" t="s">
        <v>149</v>
      </c>
      <c r="B1349" s="5">
        <v>11</v>
      </c>
      <c r="C1349" s="6">
        <v>31.333490343853001</v>
      </c>
      <c r="D1349" s="6">
        <v>26</v>
      </c>
      <c r="F1349" s="20">
        <v>21.23</v>
      </c>
      <c r="G1349" s="20"/>
      <c r="H1349" s="7">
        <f t="shared" si="227"/>
        <v>665</v>
      </c>
      <c r="I1349" s="7">
        <f t="shared" si="227"/>
        <v>552</v>
      </c>
      <c r="K1349" s="20"/>
      <c r="L1349" s="20"/>
      <c r="M1349" s="20"/>
      <c r="O1349" s="55"/>
      <c r="P1349" s="55"/>
    </row>
    <row r="1350" spans="1:16" x14ac:dyDescent="0.25">
      <c r="A1350" s="19" t="s">
        <v>150</v>
      </c>
      <c r="B1350" s="5">
        <v>12</v>
      </c>
      <c r="C1350" s="6">
        <v>424.43816254416998</v>
      </c>
      <c r="D1350" s="6">
        <v>348</v>
      </c>
      <c r="F1350" s="20">
        <v>28.3</v>
      </c>
      <c r="G1350" s="20"/>
      <c r="H1350" s="7">
        <f t="shared" si="227"/>
        <v>12012</v>
      </c>
      <c r="I1350" s="7">
        <f t="shared" si="227"/>
        <v>9848</v>
      </c>
      <c r="K1350" s="20"/>
      <c r="L1350" s="20"/>
      <c r="M1350" s="20"/>
      <c r="O1350" s="55"/>
      <c r="P1350" s="55"/>
    </row>
    <row r="1351" spans="1:16" x14ac:dyDescent="0.25">
      <c r="A1351" s="19" t="s">
        <v>151</v>
      </c>
      <c r="B1351" s="5">
        <v>13</v>
      </c>
      <c r="C1351" s="6">
        <v>92.433243555213593</v>
      </c>
      <c r="D1351" s="6">
        <v>76</v>
      </c>
      <c r="F1351" s="20">
        <v>25.99</v>
      </c>
      <c r="G1351" s="20"/>
      <c r="H1351" s="7">
        <f t="shared" si="227"/>
        <v>2402</v>
      </c>
      <c r="I1351" s="7">
        <f t="shared" si="227"/>
        <v>1975</v>
      </c>
      <c r="K1351" s="20"/>
      <c r="L1351" s="20"/>
      <c r="M1351" s="20"/>
      <c r="O1351" s="55"/>
      <c r="P1351" s="55"/>
    </row>
    <row r="1352" spans="1:16" x14ac:dyDescent="0.25">
      <c r="A1352" s="106" t="s">
        <v>152</v>
      </c>
      <c r="K1352" s="20"/>
      <c r="L1352" s="20"/>
      <c r="O1352" s="55"/>
    </row>
    <row r="1353" spans="1:16" x14ac:dyDescent="0.25">
      <c r="A1353" s="19" t="s">
        <v>145</v>
      </c>
      <c r="B1353" s="5">
        <v>14</v>
      </c>
      <c r="C1353" s="6">
        <v>12</v>
      </c>
      <c r="D1353" s="6">
        <v>10</v>
      </c>
      <c r="F1353" s="20">
        <v>19.46</v>
      </c>
      <c r="G1353" s="20"/>
      <c r="H1353" s="7">
        <f t="shared" ref="H1353:I1358" si="228">ROUND($F1353*C1353,0)</f>
        <v>234</v>
      </c>
      <c r="I1353" s="7">
        <f t="shared" si="228"/>
        <v>195</v>
      </c>
      <c r="K1353" s="20"/>
      <c r="L1353" s="20"/>
      <c r="M1353" s="20"/>
      <c r="O1353" s="55"/>
      <c r="P1353" s="55"/>
    </row>
    <row r="1354" spans="1:16" x14ac:dyDescent="0.25">
      <c r="A1354" s="19" t="s">
        <v>146</v>
      </c>
      <c r="B1354" s="5">
        <v>15</v>
      </c>
      <c r="C1354" s="6">
        <v>0</v>
      </c>
      <c r="D1354" s="6">
        <v>0</v>
      </c>
      <c r="F1354" s="20">
        <v>17.13</v>
      </c>
      <c r="G1354" s="20"/>
      <c r="H1354" s="7">
        <f t="shared" si="228"/>
        <v>0</v>
      </c>
      <c r="I1354" s="7">
        <f t="shared" si="228"/>
        <v>0</v>
      </c>
      <c r="K1354" s="20"/>
      <c r="L1354" s="20"/>
      <c r="M1354" s="20"/>
      <c r="O1354" s="55"/>
      <c r="P1354" s="55"/>
    </row>
    <row r="1355" spans="1:16" x14ac:dyDescent="0.25">
      <c r="A1355" s="19" t="s">
        <v>148</v>
      </c>
      <c r="B1355" s="5">
        <v>16</v>
      </c>
      <c r="C1355" s="6">
        <v>58.900042535091501</v>
      </c>
      <c r="D1355" s="6">
        <v>48</v>
      </c>
      <c r="F1355" s="20">
        <v>23.51</v>
      </c>
      <c r="G1355" s="20"/>
      <c r="H1355" s="7">
        <f t="shared" si="228"/>
        <v>1385</v>
      </c>
      <c r="I1355" s="7">
        <f t="shared" si="228"/>
        <v>1128</v>
      </c>
      <c r="K1355" s="20"/>
      <c r="L1355" s="20"/>
      <c r="M1355" s="20"/>
      <c r="O1355" s="55"/>
      <c r="P1355" s="55"/>
    </row>
    <row r="1356" spans="1:16" x14ac:dyDescent="0.25">
      <c r="A1356" s="19" t="s">
        <v>149</v>
      </c>
      <c r="B1356" s="5">
        <v>17</v>
      </c>
      <c r="C1356" s="6">
        <v>0</v>
      </c>
      <c r="D1356" s="6">
        <v>0</v>
      </c>
      <c r="F1356" s="20">
        <v>21.23</v>
      </c>
      <c r="G1356" s="20"/>
      <c r="H1356" s="7">
        <f t="shared" si="228"/>
        <v>0</v>
      </c>
      <c r="I1356" s="7">
        <f t="shared" si="228"/>
        <v>0</v>
      </c>
      <c r="K1356" s="20"/>
      <c r="L1356" s="20"/>
      <c r="M1356" s="20"/>
      <c r="O1356" s="55"/>
      <c r="P1356" s="55"/>
    </row>
    <row r="1357" spans="1:16" x14ac:dyDescent="0.25">
      <c r="A1357" s="19" t="s">
        <v>150</v>
      </c>
      <c r="B1357" s="5">
        <v>18</v>
      </c>
      <c r="C1357" s="6">
        <v>336.83321554770299</v>
      </c>
      <c r="D1357" s="6">
        <v>277</v>
      </c>
      <c r="F1357" s="20">
        <v>28.3</v>
      </c>
      <c r="G1357" s="20"/>
      <c r="H1357" s="7">
        <f t="shared" si="228"/>
        <v>9532</v>
      </c>
      <c r="I1357" s="7">
        <f t="shared" si="228"/>
        <v>7839</v>
      </c>
      <c r="K1357" s="20"/>
      <c r="L1357" s="20"/>
      <c r="M1357" s="20"/>
      <c r="O1357" s="55"/>
      <c r="P1357" s="55"/>
    </row>
    <row r="1358" spans="1:16" x14ac:dyDescent="0.25">
      <c r="A1358" s="19" t="s">
        <v>151</v>
      </c>
      <c r="B1358" s="5">
        <v>19</v>
      </c>
      <c r="C1358" s="6">
        <v>66.366679492112397</v>
      </c>
      <c r="D1358" s="6">
        <v>54</v>
      </c>
      <c r="F1358" s="20">
        <v>25.99</v>
      </c>
      <c r="G1358" s="20"/>
      <c r="H1358" s="7">
        <f t="shared" si="228"/>
        <v>1725</v>
      </c>
      <c r="I1358" s="7">
        <f t="shared" si="228"/>
        <v>1403</v>
      </c>
      <c r="K1358" s="20"/>
      <c r="L1358" s="20"/>
      <c r="M1358" s="20"/>
      <c r="O1358" s="55"/>
      <c r="P1358" s="55"/>
    </row>
    <row r="1359" spans="1:16" x14ac:dyDescent="0.25">
      <c r="A1359" s="106" t="s">
        <v>153</v>
      </c>
      <c r="K1359" s="20"/>
      <c r="L1359" s="20"/>
      <c r="O1359" s="55"/>
    </row>
    <row r="1360" spans="1:16" x14ac:dyDescent="0.25">
      <c r="A1360" s="19" t="s">
        <v>154</v>
      </c>
      <c r="B1360" s="5">
        <v>20</v>
      </c>
      <c r="C1360" s="6">
        <v>0</v>
      </c>
      <c r="D1360" s="6">
        <v>0</v>
      </c>
      <c r="F1360" s="20">
        <v>29.4</v>
      </c>
      <c r="G1360" s="20"/>
      <c r="H1360" s="7">
        <f t="shared" ref="H1360:I1367" si="229">ROUND($F1360*C1360,0)</f>
        <v>0</v>
      </c>
      <c r="I1360" s="7">
        <f t="shared" si="229"/>
        <v>0</v>
      </c>
      <c r="K1360" s="20"/>
      <c r="L1360" s="20"/>
      <c r="M1360" s="20"/>
      <c r="O1360" s="55"/>
      <c r="P1360" s="55"/>
    </row>
    <row r="1361" spans="1:17" x14ac:dyDescent="0.25">
      <c r="A1361" s="19" t="s">
        <v>155</v>
      </c>
      <c r="B1361" s="5">
        <v>21</v>
      </c>
      <c r="C1361" s="6">
        <v>30.366223038090901</v>
      </c>
      <c r="D1361" s="6">
        <v>25</v>
      </c>
      <c r="F1361" s="20">
        <v>21.79</v>
      </c>
      <c r="G1361" s="20"/>
      <c r="H1361" s="7">
        <f t="shared" si="229"/>
        <v>662</v>
      </c>
      <c r="I1361" s="7">
        <f t="shared" si="229"/>
        <v>545</v>
      </c>
      <c r="K1361" s="20"/>
      <c r="L1361" s="20"/>
      <c r="M1361" s="20"/>
      <c r="O1361" s="55"/>
      <c r="P1361" s="55"/>
    </row>
    <row r="1362" spans="1:17" x14ac:dyDescent="0.25">
      <c r="A1362" s="19" t="s">
        <v>156</v>
      </c>
      <c r="B1362" s="5">
        <v>22</v>
      </c>
      <c r="C1362" s="6">
        <v>0</v>
      </c>
      <c r="D1362" s="6">
        <v>0</v>
      </c>
      <c r="F1362" s="20">
        <v>34.340000000000003</v>
      </c>
      <c r="G1362" s="20"/>
      <c r="H1362" s="7">
        <f t="shared" si="229"/>
        <v>0</v>
      </c>
      <c r="I1362" s="7">
        <f t="shared" si="229"/>
        <v>0</v>
      </c>
      <c r="K1362" s="20"/>
      <c r="L1362" s="20"/>
      <c r="M1362" s="20"/>
      <c r="O1362" s="55"/>
      <c r="P1362" s="55"/>
    </row>
    <row r="1363" spans="1:17" x14ac:dyDescent="0.25">
      <c r="A1363" s="19" t="s">
        <v>157</v>
      </c>
      <c r="B1363" s="5">
        <v>23</v>
      </c>
      <c r="C1363" s="6">
        <v>0</v>
      </c>
      <c r="D1363" s="6">
        <v>0</v>
      </c>
      <c r="F1363" s="20">
        <v>27.43</v>
      </c>
      <c r="G1363" s="20"/>
      <c r="H1363" s="7">
        <f t="shared" si="229"/>
        <v>0</v>
      </c>
      <c r="I1363" s="7">
        <f t="shared" si="229"/>
        <v>0</v>
      </c>
      <c r="K1363" s="20"/>
      <c r="L1363" s="20"/>
      <c r="M1363" s="20"/>
      <c r="O1363" s="55"/>
      <c r="P1363" s="55"/>
    </row>
    <row r="1364" spans="1:17" x14ac:dyDescent="0.25">
      <c r="A1364" s="19" t="s">
        <v>158</v>
      </c>
      <c r="B1364" s="5">
        <v>24</v>
      </c>
      <c r="C1364" s="6">
        <v>74.766693922049598</v>
      </c>
      <c r="D1364" s="6">
        <v>61</v>
      </c>
      <c r="F1364" s="20">
        <v>36.69</v>
      </c>
      <c r="G1364" s="20"/>
      <c r="H1364" s="7">
        <f t="shared" si="229"/>
        <v>2743</v>
      </c>
      <c r="I1364" s="7">
        <f t="shared" si="229"/>
        <v>2238</v>
      </c>
      <c r="K1364" s="20"/>
      <c r="L1364" s="20"/>
      <c r="M1364" s="20"/>
      <c r="O1364" s="55"/>
      <c r="P1364" s="55"/>
    </row>
    <row r="1365" spans="1:17" x14ac:dyDescent="0.25">
      <c r="A1365" s="19" t="s">
        <v>159</v>
      </c>
      <c r="B1365" s="5">
        <v>25</v>
      </c>
      <c r="C1365" s="6">
        <v>10.3667563930013</v>
      </c>
      <c r="D1365" s="6">
        <v>9</v>
      </c>
      <c r="F1365" s="20">
        <v>29.72</v>
      </c>
      <c r="G1365" s="20"/>
      <c r="H1365" s="7">
        <f t="shared" si="229"/>
        <v>308</v>
      </c>
      <c r="I1365" s="7">
        <f t="shared" si="229"/>
        <v>267</v>
      </c>
      <c r="K1365" s="20"/>
      <c r="L1365" s="20"/>
      <c r="M1365" s="20"/>
      <c r="O1365" s="55"/>
      <c r="P1365" s="55"/>
    </row>
    <row r="1366" spans="1:17" x14ac:dyDescent="0.25">
      <c r="A1366" s="19" t="s">
        <v>160</v>
      </c>
      <c r="B1366" s="5">
        <v>26</v>
      </c>
      <c r="C1366" s="6">
        <v>0</v>
      </c>
      <c r="D1366" s="6">
        <v>0</v>
      </c>
      <c r="F1366" s="20">
        <v>57.58</v>
      </c>
      <c r="G1366" s="20"/>
      <c r="H1366" s="7">
        <f t="shared" si="229"/>
        <v>0</v>
      </c>
      <c r="I1366" s="7">
        <f t="shared" si="229"/>
        <v>0</v>
      </c>
      <c r="K1366" s="20"/>
      <c r="L1366" s="20"/>
      <c r="M1366" s="20"/>
      <c r="O1366" s="55"/>
      <c r="P1366" s="55"/>
    </row>
    <row r="1367" spans="1:17" x14ac:dyDescent="0.25">
      <c r="A1367" s="19" t="s">
        <v>161</v>
      </c>
      <c r="B1367" s="5">
        <v>27</v>
      </c>
      <c r="C1367" s="6">
        <v>0</v>
      </c>
      <c r="D1367" s="6">
        <v>0</v>
      </c>
      <c r="F1367" s="20">
        <v>49.1</v>
      </c>
      <c r="G1367" s="20"/>
      <c r="H1367" s="7">
        <f t="shared" si="229"/>
        <v>0</v>
      </c>
      <c r="I1367" s="7">
        <f t="shared" si="229"/>
        <v>0</v>
      </c>
      <c r="K1367" s="20"/>
      <c r="L1367" s="20"/>
      <c r="M1367" s="20"/>
      <c r="O1367" s="55"/>
      <c r="P1367" s="55"/>
    </row>
    <row r="1368" spans="1:17" x14ac:dyDescent="0.25">
      <c r="A1368" s="19" t="s">
        <v>162</v>
      </c>
      <c r="C1368" s="6">
        <v>4750.5712470683729</v>
      </c>
      <c r="D1368" s="6">
        <v>3900</v>
      </c>
      <c r="H1368" s="7">
        <f>SUM(H1336:H1367)</f>
        <v>95560</v>
      </c>
      <c r="I1368" s="7">
        <f>SUM(I1336:I1367)</f>
        <v>78444</v>
      </c>
    </row>
    <row r="1369" spans="1:17" x14ac:dyDescent="0.25">
      <c r="A1369" s="19" t="s">
        <v>163</v>
      </c>
      <c r="C1369" s="107">
        <v>361780.09622831794</v>
      </c>
      <c r="D1369" s="107">
        <v>297000</v>
      </c>
    </row>
    <row r="1370" spans="1:17" x14ac:dyDescent="0.25">
      <c r="A1370" s="19" t="s">
        <v>164</v>
      </c>
      <c r="C1370" s="108">
        <v>-13404</v>
      </c>
      <c r="D1370" s="108">
        <v>0</v>
      </c>
      <c r="F1370" s="109"/>
      <c r="H1370" s="110">
        <v>-3289</v>
      </c>
      <c r="I1370" s="37">
        <v>0</v>
      </c>
      <c r="K1370" s="109"/>
      <c r="L1370" s="109"/>
      <c r="N1370" s="37"/>
      <c r="O1370" s="210"/>
      <c r="Q1370" s="64"/>
    </row>
    <row r="1371" spans="1:17" x14ac:dyDescent="0.25">
      <c r="A1371" s="19" t="s">
        <v>34</v>
      </c>
      <c r="F1371" s="23">
        <v>-1.9800000000000002E-2</v>
      </c>
      <c r="G1371" s="24"/>
      <c r="H1371" s="7">
        <f>H1368*$F1371</f>
        <v>-1892.0880000000002</v>
      </c>
      <c r="I1371" s="7">
        <f>I1368*$F1371</f>
        <v>-1553.1912000000002</v>
      </c>
      <c r="K1371" s="93" t="str">
        <f>$K$43</f>
        <v>TAA 1 (1/1/2021)</v>
      </c>
      <c r="L1371" s="23">
        <f>$L$1203</f>
        <v>-1.7500000000000002E-2</v>
      </c>
      <c r="M1371" s="24"/>
      <c r="N1371" s="7">
        <f>L1371*N1374</f>
        <v>-745.76945128877242</v>
      </c>
      <c r="O1371" s="65"/>
      <c r="P1371" s="57"/>
    </row>
    <row r="1372" spans="1:17" x14ac:dyDescent="0.25">
      <c r="A1372" s="19"/>
      <c r="F1372" s="23"/>
      <c r="G1372" s="24"/>
      <c r="K1372" s="93" t="str">
        <f>$K$44</f>
        <v>TAA 2 (1/1/2022)</v>
      </c>
      <c r="L1372" s="23">
        <f>$L$1204</f>
        <v>-8.6999999999999994E-3</v>
      </c>
      <c r="M1372" s="24"/>
      <c r="N1372" s="7">
        <f>L1372*N1374</f>
        <v>-370.75395578356108</v>
      </c>
      <c r="O1372" s="65"/>
      <c r="P1372" s="57"/>
    </row>
    <row r="1373" spans="1:17" x14ac:dyDescent="0.25">
      <c r="A1373" s="19" t="s">
        <v>165</v>
      </c>
      <c r="C1373" s="6">
        <v>193.916666666667</v>
      </c>
      <c r="D1373" s="6">
        <v>163</v>
      </c>
    </row>
    <row r="1374" spans="1:17" ht="16.5" thickBot="1" x14ac:dyDescent="0.3">
      <c r="A1374" s="19" t="s">
        <v>166</v>
      </c>
      <c r="C1374" s="111">
        <v>348376.09622831794</v>
      </c>
      <c r="D1374" s="111">
        <v>297000</v>
      </c>
      <c r="F1374" s="39"/>
      <c r="H1374" s="40">
        <f>SUM(H1368:H1371)</f>
        <v>90378.911999999997</v>
      </c>
      <c r="I1374" s="40">
        <f>SUM(I1368:I1371)</f>
        <v>76890.808799999999</v>
      </c>
      <c r="K1374" s="39"/>
      <c r="L1374" s="39"/>
      <c r="N1374" s="40">
        <f>$N$1206/$I$1206*I1374</f>
        <v>42615.397216501275</v>
      </c>
      <c r="O1374" s="66"/>
      <c r="Q1374" s="67"/>
    </row>
    <row r="1375" spans="1:17" ht="16.5" thickTop="1" x14ac:dyDescent="0.25"/>
    <row r="1376" spans="1:17" x14ac:dyDescent="0.25">
      <c r="A1376" s="15" t="s">
        <v>175</v>
      </c>
    </row>
    <row r="1377" spans="1:17" x14ac:dyDescent="0.25">
      <c r="A1377" s="19" t="s">
        <v>68</v>
      </c>
      <c r="C1377" s="6">
        <v>2791.4995714285697</v>
      </c>
      <c r="D1377" s="6">
        <v>2823</v>
      </c>
      <c r="F1377" s="20">
        <v>70</v>
      </c>
      <c r="G1377" s="20"/>
      <c r="H1377" s="7">
        <f t="shared" ref="H1377:I1387" si="230">ROUND($F1377*C1377,0)</f>
        <v>195405</v>
      </c>
      <c r="I1377" s="7">
        <f t="shared" si="230"/>
        <v>197610</v>
      </c>
      <c r="K1377" s="20"/>
      <c r="L1377" s="20">
        <v>71</v>
      </c>
      <c r="M1377" s="20"/>
      <c r="N1377" s="7">
        <f>ROUND($D1377*L1377,0)</f>
        <v>200433</v>
      </c>
      <c r="O1377" s="55"/>
      <c r="P1377" s="55"/>
    </row>
    <row r="1378" spans="1:17" x14ac:dyDescent="0.25">
      <c r="A1378" s="19" t="s">
        <v>81</v>
      </c>
      <c r="C1378" s="6">
        <v>4200189.0693277307</v>
      </c>
      <c r="D1378" s="6">
        <v>4249794</v>
      </c>
      <c r="F1378" s="20">
        <v>4.76</v>
      </c>
      <c r="G1378" s="20"/>
      <c r="H1378" s="7">
        <f>ROUND($F1378*C1378,0)</f>
        <v>19992900</v>
      </c>
      <c r="I1378" s="7">
        <f>ROUND($F1378*D1378,0)</f>
        <v>20229019</v>
      </c>
      <c r="K1378" s="20"/>
      <c r="L1378" s="20">
        <v>4.8099999999999996</v>
      </c>
      <c r="M1378" s="20"/>
      <c r="N1378" s="7">
        <f>ROUND($D1378*L1378,0)</f>
        <v>20441509</v>
      </c>
      <c r="O1378" s="55"/>
      <c r="P1378" s="55"/>
    </row>
    <row r="1379" spans="1:17" x14ac:dyDescent="0.25">
      <c r="A1379" s="19" t="s">
        <v>176</v>
      </c>
      <c r="C1379" s="6">
        <v>1425364.3681954143</v>
      </c>
      <c r="D1379" s="6">
        <v>1442193</v>
      </c>
      <c r="F1379" s="24"/>
      <c r="G1379" s="24"/>
      <c r="K1379" s="24"/>
      <c r="L1379" s="24">
        <v>15.73</v>
      </c>
      <c r="M1379" s="24"/>
      <c r="N1379" s="7">
        <f>ROUND($D1379*L1379,0)</f>
        <v>22685696</v>
      </c>
      <c r="O1379" s="57"/>
      <c r="P1379" s="57"/>
    </row>
    <row r="1380" spans="1:17" x14ac:dyDescent="0.25">
      <c r="A1380" s="19" t="s">
        <v>177</v>
      </c>
      <c r="C1380" s="6">
        <v>2567346.9177186969</v>
      </c>
      <c r="D1380" s="6">
        <v>2597774</v>
      </c>
      <c r="F1380" s="24"/>
      <c r="G1380" s="24"/>
      <c r="K1380" s="24"/>
      <c r="L1380" s="24">
        <v>13.92</v>
      </c>
      <c r="M1380" s="24"/>
      <c r="N1380" s="7">
        <f>ROUND($D1380*L1380,0)</f>
        <v>36161014</v>
      </c>
      <c r="O1380" s="57"/>
      <c r="P1380" s="57"/>
    </row>
    <row r="1381" spans="1:17" x14ac:dyDescent="0.25">
      <c r="A1381" s="19" t="s">
        <v>17</v>
      </c>
      <c r="C1381" s="6">
        <v>185154109.36040783</v>
      </c>
      <c r="D1381" s="6">
        <v>186186148.05356526</v>
      </c>
      <c r="F1381" s="100"/>
      <c r="G1381" s="26"/>
      <c r="K1381" s="25"/>
      <c r="L1381" s="100">
        <v>5.8281999999999998</v>
      </c>
      <c r="M1381" s="26" t="s">
        <v>18</v>
      </c>
      <c r="N1381" s="7">
        <f>ROUND($D1381*L1381/100,0)</f>
        <v>10851301</v>
      </c>
      <c r="O1381" s="207"/>
      <c r="P1381" s="59"/>
    </row>
    <row r="1382" spans="1:17" x14ac:dyDescent="0.25">
      <c r="A1382" s="19" t="s">
        <v>178</v>
      </c>
      <c r="C1382" s="6">
        <v>268735247.57796174</v>
      </c>
      <c r="D1382" s="6">
        <v>270238556</v>
      </c>
      <c r="F1382" s="100"/>
      <c r="G1382" s="26"/>
      <c r="K1382" s="25"/>
      <c r="L1382" s="100">
        <v>5.1577000000000002</v>
      </c>
      <c r="M1382" s="26" t="s">
        <v>18</v>
      </c>
      <c r="N1382" s="7">
        <f>ROUND($D1382*L1382/100,0)</f>
        <v>13938094</v>
      </c>
      <c r="O1382" s="207"/>
      <c r="P1382" s="59"/>
    </row>
    <row r="1383" spans="1:17" x14ac:dyDescent="0.25">
      <c r="A1383" s="19" t="s">
        <v>19</v>
      </c>
      <c r="C1383" s="6">
        <v>521811126.72784448</v>
      </c>
      <c r="D1383" s="6">
        <v>524787623</v>
      </c>
      <c r="F1383" s="100"/>
      <c r="G1383" s="26"/>
      <c r="K1383" s="25"/>
      <c r="L1383" s="100">
        <v>2.9624000000000001</v>
      </c>
      <c r="M1383" s="26" t="s">
        <v>18</v>
      </c>
      <c r="N1383" s="7">
        <f>ROUND($D1383*L1383/100,0)</f>
        <v>15546309</v>
      </c>
      <c r="O1383" s="207"/>
      <c r="P1383" s="59"/>
    </row>
    <row r="1384" spans="1:17" x14ac:dyDescent="0.25">
      <c r="A1384" s="19" t="s">
        <v>179</v>
      </c>
      <c r="C1384" s="6">
        <v>970674891.32886767</v>
      </c>
      <c r="D1384" s="6">
        <v>976265495</v>
      </c>
      <c r="F1384" s="100"/>
      <c r="G1384" s="26"/>
      <c r="K1384" s="25"/>
      <c r="L1384" s="100">
        <v>2.6215999999999999</v>
      </c>
      <c r="M1384" s="26" t="s">
        <v>18</v>
      </c>
      <c r="N1384" s="7">
        <f>ROUND($D1384*L1384/100,0)</f>
        <v>25593776</v>
      </c>
      <c r="O1384" s="207"/>
      <c r="P1384" s="59"/>
    </row>
    <row r="1385" spans="1:17" x14ac:dyDescent="0.25">
      <c r="A1385" s="19" t="s">
        <v>180</v>
      </c>
      <c r="C1385" s="6">
        <v>1763929.8329048851</v>
      </c>
      <c r="D1385" s="6">
        <v>1784756</v>
      </c>
      <c r="F1385" s="20">
        <v>15.56</v>
      </c>
      <c r="G1385" s="20"/>
      <c r="H1385" s="7">
        <f t="shared" si="230"/>
        <v>27446748</v>
      </c>
      <c r="I1385" s="7">
        <f t="shared" si="230"/>
        <v>27770803</v>
      </c>
      <c r="K1385" s="20"/>
      <c r="L1385" s="20"/>
      <c r="M1385" s="20"/>
      <c r="O1385" s="55"/>
      <c r="P1385" s="55"/>
    </row>
    <row r="1386" spans="1:17" x14ac:dyDescent="0.25">
      <c r="A1386" s="19" t="s">
        <v>181</v>
      </c>
      <c r="C1386" s="6">
        <v>2327490.8087578244</v>
      </c>
      <c r="D1386" s="6">
        <v>2355074</v>
      </c>
      <c r="F1386" s="20">
        <v>11.19</v>
      </c>
      <c r="G1386" s="20"/>
      <c r="H1386" s="7">
        <f t="shared" si="230"/>
        <v>26044622</v>
      </c>
      <c r="I1386" s="7">
        <f t="shared" si="230"/>
        <v>26353278</v>
      </c>
      <c r="K1386" s="20"/>
      <c r="L1386" s="20"/>
      <c r="M1386" s="20"/>
      <c r="O1386" s="55"/>
      <c r="P1386" s="55"/>
    </row>
    <row r="1387" spans="1:17" x14ac:dyDescent="0.25">
      <c r="A1387" s="19" t="s">
        <v>77</v>
      </c>
      <c r="C1387" s="6">
        <v>1864418.008849557</v>
      </c>
      <c r="D1387" s="6">
        <v>1886120</v>
      </c>
      <c r="F1387" s="20">
        <v>-1.1299999999999999</v>
      </c>
      <c r="G1387" s="20"/>
      <c r="H1387" s="7">
        <f t="shared" si="230"/>
        <v>-2106792</v>
      </c>
      <c r="I1387" s="7">
        <f t="shared" si="230"/>
        <v>-2131316</v>
      </c>
      <c r="K1387" s="24"/>
      <c r="L1387" s="20">
        <v>-1.1299999999999999</v>
      </c>
      <c r="M1387" s="20"/>
      <c r="N1387" s="7">
        <f>ROUND($D1387*L1387,0)</f>
        <v>-2131316</v>
      </c>
      <c r="O1387" s="55"/>
      <c r="P1387" s="55"/>
    </row>
    <row r="1388" spans="1:17" x14ac:dyDescent="0.25">
      <c r="A1388" s="19" t="s">
        <v>25</v>
      </c>
      <c r="C1388" s="6">
        <v>232225090.33673632</v>
      </c>
      <c r="D1388" s="6">
        <v>233519498.05356526</v>
      </c>
      <c r="F1388" s="112">
        <v>5.0473999999999997</v>
      </c>
      <c r="G1388" s="26" t="s">
        <v>18</v>
      </c>
      <c r="H1388" s="7">
        <f t="shared" ref="H1388:I1390" si="231">ROUND($F1388*C1388/100,0)</f>
        <v>11721329</v>
      </c>
      <c r="I1388" s="7">
        <f t="shared" si="231"/>
        <v>11786663</v>
      </c>
      <c r="K1388" s="112"/>
      <c r="L1388" s="112"/>
      <c r="M1388" s="26"/>
      <c r="O1388" s="212"/>
      <c r="P1388" s="59"/>
    </row>
    <row r="1389" spans="1:17" x14ac:dyDescent="0.25">
      <c r="A1389" s="19" t="s">
        <v>124</v>
      </c>
      <c r="C1389" s="6">
        <v>544895526.36305022</v>
      </c>
      <c r="D1389" s="6">
        <v>547943680</v>
      </c>
      <c r="F1389" s="112">
        <v>3.9510999999999998</v>
      </c>
      <c r="G1389" s="26" t="s">
        <v>18</v>
      </c>
      <c r="H1389" s="7">
        <f t="shared" si="231"/>
        <v>21529367</v>
      </c>
      <c r="I1389" s="7">
        <f t="shared" si="231"/>
        <v>21649803</v>
      </c>
      <c r="K1389" s="112"/>
      <c r="L1389" s="112"/>
      <c r="M1389" s="26"/>
      <c r="O1389" s="212"/>
      <c r="P1389" s="59"/>
    </row>
    <row r="1390" spans="1:17" x14ac:dyDescent="0.25">
      <c r="A1390" s="19" t="s">
        <v>41</v>
      </c>
      <c r="C1390" s="6">
        <v>1169254758.2952952</v>
      </c>
      <c r="D1390" s="6">
        <v>1176014644</v>
      </c>
      <c r="F1390" s="112">
        <v>3.4001999999999999</v>
      </c>
      <c r="G1390" s="26" t="s">
        <v>18</v>
      </c>
      <c r="H1390" s="7">
        <f t="shared" si="231"/>
        <v>39757000</v>
      </c>
      <c r="I1390" s="7">
        <f t="shared" si="231"/>
        <v>39986850</v>
      </c>
      <c r="K1390" s="112"/>
      <c r="L1390" s="112"/>
      <c r="M1390" s="26"/>
      <c r="O1390" s="212"/>
      <c r="P1390" s="59"/>
    </row>
    <row r="1391" spans="1:17" x14ac:dyDescent="0.25">
      <c r="A1391" s="19" t="s">
        <v>33</v>
      </c>
      <c r="C1391" s="36">
        <v>-11458760</v>
      </c>
      <c r="D1391" s="36">
        <v>0</v>
      </c>
      <c r="H1391" s="37">
        <f>H1413+H1433</f>
        <v>-736380</v>
      </c>
      <c r="I1391" s="37">
        <f>I1413+I1433</f>
        <v>0</v>
      </c>
      <c r="N1391" s="37">
        <f>N1413+N1433</f>
        <v>0</v>
      </c>
      <c r="Q1391" s="64"/>
    </row>
    <row r="1392" spans="1:17" x14ac:dyDescent="0.25">
      <c r="A1392" s="19" t="s">
        <v>34</v>
      </c>
      <c r="F1392" s="23">
        <v>-3.1800000000000002E-2</v>
      </c>
      <c r="G1392" s="24"/>
      <c r="H1392" s="7">
        <f>SUM(H1385:H1386,H1388:H1390)*$F1392</f>
        <v>-4022670.2988000005</v>
      </c>
      <c r="I1392" s="7">
        <f>SUM(I1385:I1386,I1388:I1390)*$F1392</f>
        <v>-4056007.2246000003</v>
      </c>
      <c r="K1392" s="93" t="str">
        <f>$K$43</f>
        <v>TAA 1 (1/1/2021)</v>
      </c>
      <c r="L1392" s="23">
        <v>-2.5000000000000001E-2</v>
      </c>
      <c r="M1392" s="24"/>
      <c r="N1392" s="7">
        <f>L1392*SUM(N1379:N1384)</f>
        <v>-3119404.75</v>
      </c>
      <c r="O1392" s="65"/>
      <c r="P1392" s="57"/>
    </row>
    <row r="1393" spans="1:17" x14ac:dyDescent="0.25">
      <c r="A1393" s="19"/>
      <c r="F1393" s="23"/>
      <c r="G1393" s="24"/>
      <c r="K1393" s="93" t="str">
        <f>$K$44</f>
        <v>TAA 2 (1/1/2022)</v>
      </c>
      <c r="L1393" s="23">
        <v>-1.2500000000000001E-2</v>
      </c>
      <c r="M1393" s="24"/>
      <c r="N1393" s="7">
        <f>L1393*SUM(N1379:N1384)</f>
        <v>-1559702.375</v>
      </c>
      <c r="O1393" s="65"/>
      <c r="P1393" s="57"/>
    </row>
    <row r="1394" spans="1:17" ht="16.5" thickBot="1" x14ac:dyDescent="0.3">
      <c r="A1394" s="19" t="s">
        <v>36</v>
      </c>
      <c r="C1394" s="101">
        <v>1934916614.9950819</v>
      </c>
      <c r="D1394" s="101">
        <v>1957477822.0535653</v>
      </c>
      <c r="F1394" s="41"/>
      <c r="H1394" s="95">
        <f>SUM(H1377:H1392)</f>
        <v>139821528.70120001</v>
      </c>
      <c r="I1394" s="95">
        <f>SUM(I1377:I1392)</f>
        <v>141786702.77540001</v>
      </c>
      <c r="K1394" s="39"/>
      <c r="L1394" s="39"/>
      <c r="N1394" s="40">
        <f>SUM(N1377:N1391)</f>
        <v>143286816</v>
      </c>
      <c r="O1394" s="66"/>
      <c r="Q1394" s="67"/>
    </row>
    <row r="1395" spans="1:17" ht="16.5" thickTop="1" x14ac:dyDescent="0.25"/>
    <row r="1398" spans="1:17" x14ac:dyDescent="0.25">
      <c r="A1398" s="15" t="s">
        <v>182</v>
      </c>
    </row>
    <row r="1399" spans="1:17" x14ac:dyDescent="0.25">
      <c r="A1399" s="19" t="s">
        <v>68</v>
      </c>
      <c r="C1399" s="6">
        <v>1541.43314285714</v>
      </c>
      <c r="D1399" s="6">
        <v>1587</v>
      </c>
      <c r="F1399" s="24">
        <v>70</v>
      </c>
      <c r="G1399" s="24"/>
      <c r="H1399" s="7">
        <f t="shared" ref="H1399:I1409" si="232">ROUND($F1399*C1399,0)</f>
        <v>107900</v>
      </c>
      <c r="I1399" s="7">
        <f t="shared" si="232"/>
        <v>111090</v>
      </c>
      <c r="K1399" s="24"/>
      <c r="L1399" s="24">
        <f t="shared" ref="L1399:L1406" si="233">L1377</f>
        <v>71</v>
      </c>
      <c r="M1399" s="24"/>
      <c r="N1399" s="7">
        <f>ROUND($D1399*L1399,0)</f>
        <v>112677</v>
      </c>
      <c r="O1399" s="57"/>
      <c r="P1399" s="57"/>
    </row>
    <row r="1400" spans="1:17" x14ac:dyDescent="0.25">
      <c r="A1400" s="19" t="s">
        <v>81</v>
      </c>
      <c r="C1400" s="6">
        <v>1960629.3991596601</v>
      </c>
      <c r="D1400" s="6">
        <v>1975309</v>
      </c>
      <c r="F1400" s="24">
        <v>4.76</v>
      </c>
      <c r="G1400" s="24"/>
      <c r="H1400" s="7">
        <f>ROUND($F1400*C1400,0)</f>
        <v>9332596</v>
      </c>
      <c r="I1400" s="7">
        <f>ROUND($F1400*D1400,0)</f>
        <v>9402471</v>
      </c>
      <c r="K1400" s="24"/>
      <c r="L1400" s="24">
        <f t="shared" si="233"/>
        <v>4.8099999999999996</v>
      </c>
      <c r="M1400" s="24"/>
      <c r="N1400" s="7">
        <f>ROUND($D1400*L1400,0)</f>
        <v>9501236</v>
      </c>
      <c r="O1400" s="57"/>
      <c r="P1400" s="57"/>
    </row>
    <row r="1401" spans="1:17" x14ac:dyDescent="0.25">
      <c r="A1401" s="19" t="s">
        <v>176</v>
      </c>
      <c r="C1401" s="6">
        <v>665999.77967805869</v>
      </c>
      <c r="D1401" s="6">
        <v>670986</v>
      </c>
      <c r="F1401" s="24"/>
      <c r="G1401" s="24"/>
      <c r="K1401" s="24"/>
      <c r="L1401" s="24">
        <f t="shared" si="233"/>
        <v>15.73</v>
      </c>
      <c r="M1401" s="24"/>
      <c r="N1401" s="7">
        <f>ROUND($D1401*L1401,0)</f>
        <v>10554610</v>
      </c>
      <c r="O1401" s="57"/>
      <c r="P1401" s="57"/>
    </row>
    <row r="1402" spans="1:17" x14ac:dyDescent="0.25">
      <c r="A1402" s="19" t="s">
        <v>177</v>
      </c>
      <c r="C1402" s="6">
        <v>1185414.0959307961</v>
      </c>
      <c r="D1402" s="6">
        <v>1194290</v>
      </c>
      <c r="F1402" s="24"/>
      <c r="G1402" s="24"/>
      <c r="K1402" s="24"/>
      <c r="L1402" s="24">
        <f t="shared" si="233"/>
        <v>13.92</v>
      </c>
      <c r="M1402" s="24"/>
      <c r="N1402" s="7">
        <f>ROUND($D1402*L1402,0)</f>
        <v>16624517</v>
      </c>
      <c r="O1402" s="57"/>
      <c r="P1402" s="57"/>
    </row>
    <row r="1403" spans="1:17" x14ac:dyDescent="0.25">
      <c r="A1403" s="19" t="s">
        <v>17</v>
      </c>
      <c r="C1403" s="6">
        <v>87099065.8190483</v>
      </c>
      <c r="D1403" s="6">
        <v>88216247.274568319</v>
      </c>
      <c r="F1403" s="100"/>
      <c r="G1403" s="26"/>
      <c r="K1403" s="100"/>
      <c r="L1403" s="100">
        <f t="shared" si="233"/>
        <v>5.8281999999999998</v>
      </c>
      <c r="M1403" s="26" t="s">
        <v>18</v>
      </c>
      <c r="N1403" s="7">
        <f>ROUND($D1403*L1403/100,0)</f>
        <v>5141419</v>
      </c>
      <c r="O1403" s="207"/>
      <c r="P1403" s="59"/>
    </row>
    <row r="1404" spans="1:17" x14ac:dyDescent="0.25">
      <c r="A1404" s="19" t="s">
        <v>178</v>
      </c>
      <c r="C1404" s="6">
        <v>126810760.2110763</v>
      </c>
      <c r="D1404" s="6">
        <v>128437305</v>
      </c>
      <c r="F1404" s="100"/>
      <c r="G1404" s="26"/>
      <c r="K1404" s="100"/>
      <c r="L1404" s="100">
        <f t="shared" si="233"/>
        <v>5.1577000000000002</v>
      </c>
      <c r="M1404" s="26" t="s">
        <v>18</v>
      </c>
      <c r="N1404" s="7">
        <f>ROUND($D1404*L1404/100,0)</f>
        <v>6624411</v>
      </c>
      <c r="O1404" s="207"/>
      <c r="P1404" s="59"/>
    </row>
    <row r="1405" spans="1:17" x14ac:dyDescent="0.25">
      <c r="A1405" s="19" t="s">
        <v>19</v>
      </c>
      <c r="C1405" s="6">
        <v>250429218.18203184</v>
      </c>
      <c r="D1405" s="6">
        <v>253641362</v>
      </c>
      <c r="F1405" s="100"/>
      <c r="G1405" s="26"/>
      <c r="K1405" s="100"/>
      <c r="L1405" s="100">
        <f t="shared" si="233"/>
        <v>2.9624000000000001</v>
      </c>
      <c r="M1405" s="26" t="s">
        <v>18</v>
      </c>
      <c r="N1405" s="7">
        <f>ROUND($D1405*L1405/100,0)</f>
        <v>7513872</v>
      </c>
      <c r="O1405" s="207"/>
      <c r="P1405" s="59"/>
    </row>
    <row r="1406" spans="1:17" x14ac:dyDescent="0.25">
      <c r="A1406" s="19" t="s">
        <v>179</v>
      </c>
      <c r="C1406" s="6">
        <v>469771476.78292525</v>
      </c>
      <c r="D1406" s="6">
        <v>475797027</v>
      </c>
      <c r="F1406" s="100"/>
      <c r="G1406" s="26"/>
      <c r="K1406" s="100"/>
      <c r="L1406" s="100">
        <f t="shared" si="233"/>
        <v>2.6215999999999999</v>
      </c>
      <c r="M1406" s="26" t="s">
        <v>18</v>
      </c>
      <c r="N1406" s="7">
        <f>ROUND($D1406*L1406/100,0)</f>
        <v>12473495</v>
      </c>
      <c r="O1406" s="207"/>
      <c r="P1406" s="59"/>
    </row>
    <row r="1407" spans="1:17" x14ac:dyDescent="0.25">
      <c r="A1407" s="19" t="s">
        <v>180</v>
      </c>
      <c r="C1407" s="6">
        <v>824194.08419023221</v>
      </c>
      <c r="D1407" s="6">
        <v>830365</v>
      </c>
      <c r="F1407" s="24">
        <v>15.56</v>
      </c>
      <c r="G1407" s="24"/>
      <c r="H1407" s="7">
        <f t="shared" si="232"/>
        <v>12824460</v>
      </c>
      <c r="I1407" s="7">
        <f t="shared" si="232"/>
        <v>12920479</v>
      </c>
      <c r="K1407" s="24"/>
      <c r="L1407" s="24"/>
      <c r="M1407" s="24"/>
      <c r="O1407" s="57"/>
      <c r="P1407" s="57"/>
    </row>
    <row r="1408" spans="1:17" x14ac:dyDescent="0.25">
      <c r="A1408" s="19" t="s">
        <v>181</v>
      </c>
      <c r="C1408" s="6">
        <v>1074665.9883824866</v>
      </c>
      <c r="D1408" s="6">
        <v>1082712</v>
      </c>
      <c r="F1408" s="24">
        <v>11.19</v>
      </c>
      <c r="G1408" s="24"/>
      <c r="H1408" s="7">
        <f t="shared" si="232"/>
        <v>12025512</v>
      </c>
      <c r="I1408" s="7">
        <f t="shared" si="232"/>
        <v>12115547</v>
      </c>
      <c r="K1408" s="24"/>
      <c r="L1408" s="24"/>
      <c r="M1408" s="24"/>
      <c r="O1408" s="57"/>
      <c r="P1408" s="57"/>
    </row>
    <row r="1409" spans="1:17" x14ac:dyDescent="0.25">
      <c r="A1409" s="19" t="s">
        <v>77</v>
      </c>
      <c r="C1409" s="6">
        <v>909425.07079646003</v>
      </c>
      <c r="D1409" s="6">
        <v>916234</v>
      </c>
      <c r="F1409" s="24">
        <v>-1.1299999999999999</v>
      </c>
      <c r="G1409" s="24"/>
      <c r="H1409" s="7">
        <f t="shared" si="232"/>
        <v>-1027650</v>
      </c>
      <c r="I1409" s="7">
        <f t="shared" si="232"/>
        <v>-1035344</v>
      </c>
      <c r="K1409" s="24"/>
      <c r="L1409" s="24">
        <f>L1387</f>
        <v>-1.1299999999999999</v>
      </c>
      <c r="M1409" s="24"/>
      <c r="N1409" s="7">
        <f>ROUND($D1409*L1409,0)</f>
        <v>-1035344</v>
      </c>
      <c r="O1409" s="57"/>
      <c r="P1409" s="57"/>
    </row>
    <row r="1410" spans="1:17" x14ac:dyDescent="0.25">
      <c r="A1410" s="19" t="s">
        <v>25</v>
      </c>
      <c r="C1410" s="6">
        <v>109241909.33673634</v>
      </c>
      <c r="D1410" s="6">
        <v>110643106.27456832</v>
      </c>
      <c r="F1410" s="100">
        <v>5.0473999999999997</v>
      </c>
      <c r="G1410" s="26" t="s">
        <v>18</v>
      </c>
      <c r="H1410" s="7">
        <f t="shared" ref="H1410:I1412" si="234">ROUND($F1410*C1410/100,0)</f>
        <v>5513876</v>
      </c>
      <c r="I1410" s="7">
        <f t="shared" si="234"/>
        <v>5584600</v>
      </c>
      <c r="K1410" s="100"/>
      <c r="L1410" s="100"/>
      <c r="M1410" s="26"/>
      <c r="O1410" s="207"/>
      <c r="P1410" s="59"/>
    </row>
    <row r="1411" spans="1:17" x14ac:dyDescent="0.25">
      <c r="A1411" s="19" t="s">
        <v>124</v>
      </c>
      <c r="C1411" s="6">
        <v>257125243.36305025</v>
      </c>
      <c r="D1411" s="6">
        <v>260423275</v>
      </c>
      <c r="F1411" s="100">
        <v>3.9510999999999998</v>
      </c>
      <c r="G1411" s="26" t="s">
        <v>18</v>
      </c>
      <c r="H1411" s="7">
        <f t="shared" si="234"/>
        <v>10159275</v>
      </c>
      <c r="I1411" s="7">
        <f t="shared" si="234"/>
        <v>10289584</v>
      </c>
      <c r="K1411" s="100"/>
      <c r="L1411" s="100"/>
      <c r="M1411" s="26"/>
      <c r="O1411" s="207"/>
      <c r="P1411" s="59"/>
    </row>
    <row r="1412" spans="1:17" x14ac:dyDescent="0.25">
      <c r="A1412" s="19" t="s">
        <v>41</v>
      </c>
      <c r="C1412" s="6">
        <v>567743368.29529512</v>
      </c>
      <c r="D1412" s="6">
        <v>575025560</v>
      </c>
      <c r="F1412" s="100">
        <v>3.4001999999999999</v>
      </c>
      <c r="G1412" s="26" t="s">
        <v>18</v>
      </c>
      <c r="H1412" s="7">
        <f t="shared" si="234"/>
        <v>19304410</v>
      </c>
      <c r="I1412" s="7">
        <f t="shared" si="234"/>
        <v>19552019</v>
      </c>
      <c r="K1412" s="100"/>
      <c r="L1412" s="100"/>
      <c r="M1412" s="26"/>
      <c r="O1412" s="207"/>
      <c r="P1412" s="59"/>
    </row>
    <row r="1413" spans="1:17" x14ac:dyDescent="0.25">
      <c r="A1413" s="19" t="s">
        <v>33</v>
      </c>
      <c r="C1413" s="36">
        <v>4950427</v>
      </c>
      <c r="D1413" s="36">
        <v>0</v>
      </c>
      <c r="H1413" s="37">
        <v>391601</v>
      </c>
      <c r="I1413" s="37">
        <v>0</v>
      </c>
      <c r="N1413" s="37">
        <v>0</v>
      </c>
      <c r="Q1413" s="64"/>
    </row>
    <row r="1414" spans="1:17" x14ac:dyDescent="0.25">
      <c r="A1414" s="19" t="s">
        <v>34</v>
      </c>
      <c r="F1414" s="23">
        <v>-3.1800000000000002E-2</v>
      </c>
      <c r="G1414" s="24"/>
      <c r="H1414" s="7">
        <f>SUM(H1407:H1408,H1410:H1412)*$F1414</f>
        <v>-1902515.5494000001</v>
      </c>
      <c r="I1414" s="7">
        <f>SUM(I1407:I1408,I1410:I1412)*$F1414</f>
        <v>-1922698.8822000001</v>
      </c>
      <c r="K1414" s="93" t="str">
        <f>$K$43</f>
        <v>TAA 1 (1/1/2021)</v>
      </c>
      <c r="L1414" s="23">
        <f>$L$1392</f>
        <v>-2.5000000000000001E-2</v>
      </c>
      <c r="M1414" s="24"/>
      <c r="N1414" s="7">
        <f>L1414*SUM(N1401:N1406)</f>
        <v>-1473308.1</v>
      </c>
      <c r="O1414" s="65"/>
      <c r="P1414" s="57"/>
    </row>
    <row r="1415" spans="1:17" x14ac:dyDescent="0.25">
      <c r="A1415" s="19"/>
      <c r="F1415" s="23"/>
      <c r="G1415" s="24"/>
      <c r="K1415" s="93" t="str">
        <f>$K$44</f>
        <v>TAA 2 (1/1/2022)</v>
      </c>
      <c r="L1415" s="23">
        <f>$L$1393</f>
        <v>-1.2500000000000001E-2</v>
      </c>
      <c r="M1415" s="24"/>
      <c r="N1415" s="7">
        <f>L1415*SUM(N1401:N1406)</f>
        <v>-736654.05</v>
      </c>
      <c r="O1415" s="65"/>
      <c r="P1415" s="57"/>
    </row>
    <row r="1416" spans="1:17" ht="16.5" thickBot="1" x14ac:dyDescent="0.3">
      <c r="A1416" s="19" t="s">
        <v>36</v>
      </c>
      <c r="C1416" s="101">
        <v>939060947.99508166</v>
      </c>
      <c r="D1416" s="101">
        <v>946091941.27456832</v>
      </c>
      <c r="F1416" s="41"/>
      <c r="H1416" s="95">
        <f>SUM(H1399:H1414)</f>
        <v>66729464.450599998</v>
      </c>
      <c r="I1416" s="95">
        <f>SUM(I1399:I1414)</f>
        <v>67017747.117799997</v>
      </c>
      <c r="K1416" s="41"/>
      <c r="L1416" s="41"/>
      <c r="N1416" s="95">
        <f>SUM(N1399:N1413)</f>
        <v>67510893</v>
      </c>
      <c r="O1416" s="68"/>
      <c r="Q1416" s="208"/>
    </row>
    <row r="1417" spans="1:17" ht="16.5" thickTop="1" x14ac:dyDescent="0.25"/>
    <row r="1418" spans="1:17" x14ac:dyDescent="0.25">
      <c r="A1418" s="15" t="s">
        <v>183</v>
      </c>
    </row>
    <row r="1419" spans="1:17" x14ac:dyDescent="0.25">
      <c r="A1419" s="19" t="s">
        <v>68</v>
      </c>
      <c r="C1419" s="6">
        <v>1250.0664285714299</v>
      </c>
      <c r="D1419" s="6">
        <v>1236</v>
      </c>
      <c r="F1419" s="24">
        <v>70</v>
      </c>
      <c r="G1419" s="24"/>
      <c r="H1419" s="7">
        <f t="shared" ref="H1419:I1429" si="235">ROUND($F1419*C1419,0)</f>
        <v>87505</v>
      </c>
      <c r="I1419" s="7">
        <f t="shared" si="235"/>
        <v>86520</v>
      </c>
      <c r="K1419" s="24"/>
      <c r="L1419" s="24">
        <f t="shared" ref="L1419:L1426" si="236">L1377</f>
        <v>71</v>
      </c>
      <c r="M1419" s="24"/>
      <c r="N1419" s="7">
        <f>ROUND($D1419*L1419,0)</f>
        <v>87756</v>
      </c>
      <c r="O1419" s="57"/>
      <c r="P1419" s="57"/>
    </row>
    <row r="1420" spans="1:17" x14ac:dyDescent="0.25">
      <c r="A1420" s="19" t="s">
        <v>81</v>
      </c>
      <c r="C1420" s="6">
        <v>2239559.6701680701</v>
      </c>
      <c r="D1420" s="6">
        <v>2274485</v>
      </c>
      <c r="F1420" s="24">
        <v>4.76</v>
      </c>
      <c r="G1420" s="24"/>
      <c r="H1420" s="7">
        <f>ROUND($F1420*C1420,0)</f>
        <v>10660304</v>
      </c>
      <c r="I1420" s="7">
        <f>ROUND($F1420*D1420,0)</f>
        <v>10826549</v>
      </c>
      <c r="K1420" s="24"/>
      <c r="L1420" s="24">
        <f t="shared" si="236"/>
        <v>4.8099999999999996</v>
      </c>
      <c r="M1420" s="24"/>
      <c r="N1420" s="7">
        <f>ROUND($D1420*L1420,0)</f>
        <v>10940273</v>
      </c>
      <c r="O1420" s="57"/>
      <c r="P1420" s="57"/>
    </row>
    <row r="1421" spans="1:17" x14ac:dyDescent="0.25">
      <c r="A1421" s="19" t="s">
        <v>176</v>
      </c>
      <c r="C1421" s="6">
        <v>759364.58851735562</v>
      </c>
      <c r="D1421" s="6">
        <v>771207</v>
      </c>
      <c r="F1421" s="24"/>
      <c r="G1421" s="24"/>
      <c r="K1421" s="24"/>
      <c r="L1421" s="24">
        <f t="shared" si="236"/>
        <v>15.73</v>
      </c>
      <c r="M1421" s="24"/>
      <c r="N1421" s="7">
        <f>ROUND($D1421*L1421,0)</f>
        <v>12131086</v>
      </c>
      <c r="O1421" s="57"/>
      <c r="P1421" s="57"/>
    </row>
    <row r="1422" spans="1:17" x14ac:dyDescent="0.25">
      <c r="A1422" s="19" t="s">
        <v>177</v>
      </c>
      <c r="C1422" s="6">
        <v>1381932.8217879008</v>
      </c>
      <c r="D1422" s="6">
        <v>1403484</v>
      </c>
      <c r="F1422" s="24"/>
      <c r="G1422" s="24"/>
      <c r="K1422" s="24"/>
      <c r="L1422" s="24">
        <f t="shared" si="236"/>
        <v>13.92</v>
      </c>
      <c r="M1422" s="24"/>
      <c r="N1422" s="7">
        <f>ROUND($D1422*L1422,0)</f>
        <v>19536497</v>
      </c>
      <c r="O1422" s="57"/>
      <c r="P1422" s="57"/>
    </row>
    <row r="1423" spans="1:17" x14ac:dyDescent="0.25">
      <c r="A1423" s="19" t="s">
        <v>17</v>
      </c>
      <c r="C1423" s="6">
        <v>98055043.541359529</v>
      </c>
      <c r="D1423" s="6">
        <v>97969900.778996944</v>
      </c>
      <c r="F1423" s="100"/>
      <c r="G1423" s="26"/>
      <c r="K1423" s="100"/>
      <c r="L1423" s="100">
        <f t="shared" si="236"/>
        <v>5.8281999999999998</v>
      </c>
      <c r="M1423" s="26" t="s">
        <v>18</v>
      </c>
      <c r="N1423" s="7">
        <f>ROUND($D1423*L1423/100,0)</f>
        <v>5709882</v>
      </c>
      <c r="O1423" s="207"/>
      <c r="P1423" s="59"/>
    </row>
    <row r="1424" spans="1:17" x14ac:dyDescent="0.25">
      <c r="A1424" s="19" t="s">
        <v>178</v>
      </c>
      <c r="C1424" s="6">
        <v>141924487.36688542</v>
      </c>
      <c r="D1424" s="6">
        <v>141801251</v>
      </c>
      <c r="F1424" s="100"/>
      <c r="G1424" s="26"/>
      <c r="K1424" s="100"/>
      <c r="L1424" s="100">
        <f t="shared" si="236"/>
        <v>5.1577000000000002</v>
      </c>
      <c r="M1424" s="26" t="s">
        <v>18</v>
      </c>
      <c r="N1424" s="7">
        <f>ROUND($D1424*L1424/100,0)</f>
        <v>7313683</v>
      </c>
      <c r="O1424" s="207"/>
      <c r="P1424" s="59"/>
    </row>
    <row r="1425" spans="1:17" x14ac:dyDescent="0.25">
      <c r="A1425" s="19" t="s">
        <v>19</v>
      </c>
      <c r="C1425" s="6">
        <v>271381908.54581261</v>
      </c>
      <c r="D1425" s="6">
        <v>271146261</v>
      </c>
      <c r="F1425" s="100"/>
      <c r="G1425" s="26"/>
      <c r="K1425" s="100"/>
      <c r="L1425" s="100">
        <f t="shared" si="236"/>
        <v>2.9624000000000001</v>
      </c>
      <c r="M1425" s="26" t="s">
        <v>18</v>
      </c>
      <c r="N1425" s="7">
        <f>ROUND($D1425*L1425/100,0)</f>
        <v>8032437</v>
      </c>
      <c r="O1425" s="207"/>
      <c r="P1425" s="59"/>
    </row>
    <row r="1426" spans="1:17" x14ac:dyDescent="0.25">
      <c r="A1426" s="19" t="s">
        <v>179</v>
      </c>
      <c r="C1426" s="6">
        <v>500903414.54594243</v>
      </c>
      <c r="D1426" s="6">
        <v>500468468</v>
      </c>
      <c r="F1426" s="100"/>
      <c r="G1426" s="26"/>
      <c r="K1426" s="100"/>
      <c r="L1426" s="100">
        <f t="shared" si="236"/>
        <v>2.6215999999999999</v>
      </c>
      <c r="M1426" s="26" t="s">
        <v>18</v>
      </c>
      <c r="N1426" s="7">
        <f>ROUND($D1426*L1426/100,0)</f>
        <v>13120281</v>
      </c>
      <c r="O1426" s="207"/>
      <c r="P1426" s="59"/>
    </row>
    <row r="1427" spans="1:17" x14ac:dyDescent="0.25">
      <c r="A1427" s="19" t="s">
        <v>180</v>
      </c>
      <c r="C1427" s="6">
        <v>939735.74871465296</v>
      </c>
      <c r="D1427" s="6">
        <v>954391</v>
      </c>
      <c r="F1427" s="24">
        <v>15.56</v>
      </c>
      <c r="G1427" s="24"/>
      <c r="H1427" s="7">
        <f t="shared" si="235"/>
        <v>14622288</v>
      </c>
      <c r="I1427" s="7">
        <f t="shared" si="235"/>
        <v>14850324</v>
      </c>
      <c r="K1427" s="24"/>
      <c r="L1427" s="24"/>
      <c r="M1427" s="24"/>
      <c r="O1427" s="57"/>
      <c r="P1427" s="57"/>
    </row>
    <row r="1428" spans="1:17" x14ac:dyDescent="0.25">
      <c r="A1428" s="19" t="s">
        <v>181</v>
      </c>
      <c r="C1428" s="6">
        <v>1252824.8203753377</v>
      </c>
      <c r="D1428" s="6">
        <v>1272362</v>
      </c>
      <c r="F1428" s="24">
        <v>11.19</v>
      </c>
      <c r="G1428" s="24"/>
      <c r="H1428" s="7">
        <f t="shared" si="235"/>
        <v>14019110</v>
      </c>
      <c r="I1428" s="7">
        <f t="shared" si="235"/>
        <v>14237731</v>
      </c>
      <c r="K1428" s="24"/>
      <c r="L1428" s="24"/>
      <c r="M1428" s="24"/>
      <c r="O1428" s="57"/>
      <c r="P1428" s="57"/>
    </row>
    <row r="1429" spans="1:17" x14ac:dyDescent="0.25">
      <c r="A1429" s="19" t="s">
        <v>77</v>
      </c>
      <c r="C1429" s="6">
        <v>954992.93805309699</v>
      </c>
      <c r="D1429" s="6">
        <v>969886</v>
      </c>
      <c r="F1429" s="24">
        <v>-1.1299999999999999</v>
      </c>
      <c r="G1429" s="24"/>
      <c r="H1429" s="7">
        <f t="shared" si="235"/>
        <v>-1079142</v>
      </c>
      <c r="I1429" s="7">
        <f t="shared" si="235"/>
        <v>-1095971</v>
      </c>
      <c r="K1429" s="24"/>
      <c r="L1429" s="24">
        <f>L1387</f>
        <v>-1.1299999999999999</v>
      </c>
      <c r="M1429" s="24"/>
      <c r="N1429" s="7">
        <f>ROUND($D1429*L1429,0)</f>
        <v>-1095971</v>
      </c>
      <c r="O1429" s="57"/>
      <c r="P1429" s="57"/>
    </row>
    <row r="1430" spans="1:17" x14ac:dyDescent="0.25">
      <c r="A1430" s="19" t="s">
        <v>25</v>
      </c>
      <c r="C1430" s="6">
        <v>122983181</v>
      </c>
      <c r="D1430" s="6">
        <v>122876391.77899694</v>
      </c>
      <c r="F1430" s="100">
        <v>5.0473999999999997</v>
      </c>
      <c r="G1430" s="26" t="s">
        <v>18</v>
      </c>
      <c r="H1430" s="7">
        <f t="shared" ref="H1430:I1432" si="237">ROUND($F1430*C1430/100,0)</f>
        <v>6207453</v>
      </c>
      <c r="I1430" s="7">
        <f t="shared" si="237"/>
        <v>6202063</v>
      </c>
      <c r="K1430" s="100"/>
      <c r="L1430" s="100"/>
      <c r="M1430" s="26"/>
      <c r="O1430" s="207"/>
      <c r="P1430" s="59"/>
    </row>
    <row r="1431" spans="1:17" x14ac:dyDescent="0.25">
      <c r="A1431" s="19" t="s">
        <v>124</v>
      </c>
      <c r="C1431" s="6">
        <v>287770283</v>
      </c>
      <c r="D1431" s="6">
        <v>287520405</v>
      </c>
      <c r="F1431" s="100">
        <v>3.9510999999999998</v>
      </c>
      <c r="G1431" s="26" t="s">
        <v>18</v>
      </c>
      <c r="H1431" s="7">
        <f t="shared" si="237"/>
        <v>11370092</v>
      </c>
      <c r="I1431" s="7">
        <f t="shared" si="237"/>
        <v>11360219</v>
      </c>
      <c r="K1431" s="100"/>
      <c r="L1431" s="100"/>
      <c r="M1431" s="26"/>
      <c r="O1431" s="207"/>
      <c r="P1431" s="59"/>
    </row>
    <row r="1432" spans="1:17" x14ac:dyDescent="0.25">
      <c r="A1432" s="19" t="s">
        <v>41</v>
      </c>
      <c r="C1432" s="6">
        <v>601511390</v>
      </c>
      <c r="D1432" s="6">
        <v>600989084</v>
      </c>
      <c r="F1432" s="100">
        <v>3.4001999999999999</v>
      </c>
      <c r="G1432" s="26" t="s">
        <v>18</v>
      </c>
      <c r="H1432" s="7">
        <f t="shared" si="237"/>
        <v>20452590</v>
      </c>
      <c r="I1432" s="7">
        <f t="shared" si="237"/>
        <v>20434831</v>
      </c>
      <c r="K1432" s="100"/>
      <c r="L1432" s="100"/>
      <c r="M1432" s="26"/>
      <c r="O1432" s="207"/>
      <c r="P1432" s="59"/>
    </row>
    <row r="1433" spans="1:17" s="113" customFormat="1" x14ac:dyDescent="0.25">
      <c r="A1433" s="19" t="s">
        <v>33</v>
      </c>
      <c r="B1433" s="5"/>
      <c r="C1433" s="36">
        <v>-16409187</v>
      </c>
      <c r="D1433" s="36">
        <v>0</v>
      </c>
      <c r="E1433" s="5"/>
      <c r="F1433" s="5"/>
      <c r="G1433" s="5"/>
      <c r="H1433" s="37">
        <v>-1127981</v>
      </c>
      <c r="I1433" s="37">
        <v>0</v>
      </c>
      <c r="J1433" s="5"/>
      <c r="K1433" s="5"/>
      <c r="L1433" s="5"/>
      <c r="M1433" s="5"/>
      <c r="N1433" s="37">
        <v>0</v>
      </c>
      <c r="O1433" s="53"/>
      <c r="P1433" s="53"/>
      <c r="Q1433" s="64"/>
    </row>
    <row r="1434" spans="1:17" x14ac:dyDescent="0.25">
      <c r="A1434" s="19" t="s">
        <v>34</v>
      </c>
      <c r="F1434" s="23">
        <v>-3.1800000000000002E-2</v>
      </c>
      <c r="G1434" s="24"/>
      <c r="H1434" s="7">
        <f>SUM(H1427:H1428,H1430:H1432)*$F1434</f>
        <v>-2120154.7494000001</v>
      </c>
      <c r="I1434" s="7">
        <f>SUM(I1427:I1428,I1430:I1432)*$F1434</f>
        <v>-2133308.3424</v>
      </c>
      <c r="K1434" s="93" t="str">
        <f>$K$43</f>
        <v>TAA 1 (1/1/2021)</v>
      </c>
      <c r="L1434" s="23">
        <f>$L$1392</f>
        <v>-2.5000000000000001E-2</v>
      </c>
      <c r="M1434" s="24"/>
      <c r="N1434" s="7">
        <f>L1434*SUM(N1421:N1426)</f>
        <v>-1646096.6500000001</v>
      </c>
      <c r="O1434" s="65"/>
      <c r="P1434" s="57"/>
    </row>
    <row r="1435" spans="1:17" x14ac:dyDescent="0.25">
      <c r="A1435" s="19"/>
      <c r="F1435" s="23"/>
      <c r="G1435" s="24"/>
      <c r="K1435" s="93" t="str">
        <f>$K$44</f>
        <v>TAA 2 (1/1/2022)</v>
      </c>
      <c r="L1435" s="23">
        <f>$L$1393</f>
        <v>-1.2500000000000001E-2</v>
      </c>
      <c r="M1435" s="24"/>
      <c r="N1435" s="7">
        <f>L1435*SUM(N1421:N1426)</f>
        <v>-823048.32500000007</v>
      </c>
      <c r="O1435" s="65"/>
      <c r="P1435" s="57"/>
    </row>
    <row r="1436" spans="1:17" ht="16.5" thickBot="1" x14ac:dyDescent="0.3">
      <c r="A1436" s="19" t="s">
        <v>36</v>
      </c>
      <c r="C1436" s="101">
        <v>995855667</v>
      </c>
      <c r="D1436" s="101">
        <v>1011385880.7789969</v>
      </c>
      <c r="F1436" s="41"/>
      <c r="H1436" s="95">
        <f>SUM(H1419:H1434)</f>
        <v>73092064.250599995</v>
      </c>
      <c r="I1436" s="95">
        <f>SUM(I1419:I1434)</f>
        <v>74768957.657600001</v>
      </c>
      <c r="K1436" s="41"/>
      <c r="L1436" s="41"/>
      <c r="N1436" s="95">
        <f>SUM(N1419:N1433)</f>
        <v>75775924</v>
      </c>
      <c r="O1436" s="68"/>
      <c r="Q1436" s="208"/>
    </row>
    <row r="1437" spans="1:17" ht="16.5" thickTop="1" x14ac:dyDescent="0.25">
      <c r="A1437" s="113"/>
      <c r="B1437" s="113"/>
      <c r="C1437" s="114"/>
      <c r="D1437" s="114"/>
      <c r="E1437" s="113"/>
      <c r="F1437" s="113"/>
      <c r="G1437" s="113"/>
      <c r="H1437" s="115"/>
      <c r="I1437" s="115"/>
      <c r="J1437" s="113"/>
      <c r="K1437" s="113"/>
      <c r="L1437" s="113"/>
      <c r="M1437" s="113"/>
      <c r="N1437" s="115"/>
      <c r="O1437" s="213"/>
      <c r="P1437" s="213"/>
      <c r="Q1437" s="214"/>
    </row>
    <row r="1438" spans="1:17" x14ac:dyDescent="0.25">
      <c r="A1438" s="15" t="s">
        <v>184</v>
      </c>
    </row>
    <row r="1439" spans="1:17" x14ac:dyDescent="0.25">
      <c r="A1439" s="19" t="s">
        <v>68</v>
      </c>
      <c r="C1439" s="6">
        <v>135.63328571428599</v>
      </c>
      <c r="D1439" s="6">
        <v>168</v>
      </c>
      <c r="F1439" s="24">
        <v>70</v>
      </c>
      <c r="G1439" s="24"/>
      <c r="H1439" s="7">
        <f t="shared" ref="H1439:I1449" si="238">ROUND($F1439*C1439,0)</f>
        <v>9494</v>
      </c>
      <c r="I1439" s="7">
        <f t="shared" si="238"/>
        <v>11760</v>
      </c>
      <c r="K1439" s="24"/>
      <c r="L1439" s="24">
        <f t="shared" ref="L1439:L1446" si="239">L1377</f>
        <v>71</v>
      </c>
      <c r="M1439" s="24"/>
      <c r="N1439" s="7">
        <f>ROUND($D1439*L1439,0)</f>
        <v>11928</v>
      </c>
      <c r="O1439" s="57"/>
      <c r="P1439" s="57"/>
    </row>
    <row r="1440" spans="1:17" x14ac:dyDescent="0.25">
      <c r="A1440" s="19" t="s">
        <v>81</v>
      </c>
      <c r="C1440" s="6">
        <v>137123.266806723</v>
      </c>
      <c r="D1440" s="6">
        <v>150062</v>
      </c>
      <c r="F1440" s="24">
        <v>4.76</v>
      </c>
      <c r="G1440" s="24"/>
      <c r="H1440" s="7">
        <f>ROUND($F1440*C1440,0)</f>
        <v>652707</v>
      </c>
      <c r="I1440" s="7">
        <f>ROUND($F1440*D1440,0)</f>
        <v>714295</v>
      </c>
      <c r="K1440" s="24"/>
      <c r="L1440" s="24">
        <f t="shared" si="239"/>
        <v>4.8099999999999996</v>
      </c>
      <c r="M1440" s="24"/>
      <c r="N1440" s="7">
        <f>ROUND($D1440*L1440,0)</f>
        <v>721798</v>
      </c>
      <c r="O1440" s="57"/>
      <c r="P1440" s="57"/>
    </row>
    <row r="1441" spans="1:17" x14ac:dyDescent="0.25">
      <c r="A1441" s="19" t="s">
        <v>176</v>
      </c>
      <c r="C1441" s="6">
        <v>46334.006172912683</v>
      </c>
      <c r="D1441" s="6">
        <v>50706</v>
      </c>
      <c r="F1441" s="24"/>
      <c r="G1441" s="24"/>
      <c r="K1441" s="24"/>
      <c r="L1441" s="24">
        <f t="shared" si="239"/>
        <v>15.73</v>
      </c>
      <c r="M1441" s="24"/>
      <c r="N1441" s="7">
        <f>ROUND($D1441*L1441,0)</f>
        <v>797605</v>
      </c>
      <c r="O1441" s="57"/>
      <c r="P1441" s="57"/>
    </row>
    <row r="1442" spans="1:17" x14ac:dyDescent="0.25">
      <c r="A1442" s="19" t="s">
        <v>177</v>
      </c>
      <c r="C1442" s="6">
        <v>83916.986488279334</v>
      </c>
      <c r="D1442" s="6">
        <v>91835</v>
      </c>
      <c r="F1442" s="24"/>
      <c r="G1442" s="24"/>
      <c r="K1442" s="24"/>
      <c r="L1442" s="24">
        <f t="shared" si="239"/>
        <v>13.92</v>
      </c>
      <c r="M1442" s="24"/>
      <c r="N1442" s="7">
        <f>ROUND($D1442*L1442,0)</f>
        <v>1278343</v>
      </c>
      <c r="O1442" s="57"/>
      <c r="P1442" s="57"/>
    </row>
    <row r="1443" spans="1:17" x14ac:dyDescent="0.25">
      <c r="A1443" s="19" t="s">
        <v>17</v>
      </c>
      <c r="C1443" s="6">
        <v>5344083.4211376049</v>
      </c>
      <c r="D1443" s="6">
        <v>5879321.1969696805</v>
      </c>
      <c r="F1443" s="100"/>
      <c r="G1443" s="26"/>
      <c r="K1443" s="100"/>
      <c r="L1443" s="100">
        <f t="shared" si="239"/>
        <v>5.8281999999999998</v>
      </c>
      <c r="M1443" s="26" t="s">
        <v>18</v>
      </c>
      <c r="N1443" s="7">
        <f>ROUND($D1443*L1443/100,0)</f>
        <v>342659</v>
      </c>
      <c r="O1443" s="207"/>
      <c r="P1443" s="59"/>
    </row>
    <row r="1444" spans="1:17" x14ac:dyDescent="0.25">
      <c r="A1444" s="19" t="s">
        <v>178</v>
      </c>
      <c r="C1444" s="6">
        <v>7982184.139345699</v>
      </c>
      <c r="D1444" s="6">
        <v>8781642</v>
      </c>
      <c r="F1444" s="100"/>
      <c r="G1444" s="26"/>
      <c r="K1444" s="100"/>
      <c r="L1444" s="100">
        <f t="shared" si="239"/>
        <v>5.1577000000000002</v>
      </c>
      <c r="M1444" s="26" t="s">
        <v>18</v>
      </c>
      <c r="N1444" s="7">
        <f>ROUND($D1444*L1444/100,0)</f>
        <v>452931</v>
      </c>
      <c r="O1444" s="207"/>
      <c r="P1444" s="59"/>
    </row>
    <row r="1445" spans="1:17" x14ac:dyDescent="0.25">
      <c r="A1445" s="19" t="s">
        <v>19</v>
      </c>
      <c r="C1445" s="6">
        <v>15407276.072655506</v>
      </c>
      <c r="D1445" s="6">
        <v>16950396</v>
      </c>
      <c r="F1445" s="100"/>
      <c r="G1445" s="26"/>
      <c r="K1445" s="100"/>
      <c r="L1445" s="100">
        <f t="shared" si="239"/>
        <v>2.9624000000000001</v>
      </c>
      <c r="M1445" s="26" t="s">
        <v>18</v>
      </c>
      <c r="N1445" s="7">
        <f>ROUND($D1445*L1445/100,0)</f>
        <v>502139</v>
      </c>
      <c r="O1445" s="207"/>
      <c r="P1445" s="59"/>
    </row>
    <row r="1446" spans="1:17" x14ac:dyDescent="0.25">
      <c r="A1446" s="19" t="s">
        <v>179</v>
      </c>
      <c r="C1446" s="6">
        <v>28736182.878094282</v>
      </c>
      <c r="D1446" s="6">
        <v>31614263</v>
      </c>
      <c r="F1446" s="100"/>
      <c r="G1446" s="26"/>
      <c r="K1446" s="100"/>
      <c r="L1446" s="100">
        <f t="shared" si="239"/>
        <v>2.6215999999999999</v>
      </c>
      <c r="M1446" s="26" t="s">
        <v>18</v>
      </c>
      <c r="N1446" s="7">
        <f>ROUND($D1446*L1446/100,0)</f>
        <v>828800</v>
      </c>
      <c r="O1446" s="207"/>
      <c r="P1446" s="59"/>
    </row>
    <row r="1447" spans="1:17" x14ac:dyDescent="0.25">
      <c r="A1447" s="19" t="s">
        <v>180</v>
      </c>
      <c r="C1447" s="6">
        <v>57339.679305912599</v>
      </c>
      <c r="D1447" s="6">
        <v>62750</v>
      </c>
      <c r="F1447" s="24">
        <v>15.56</v>
      </c>
      <c r="G1447" s="24"/>
      <c r="H1447" s="7">
        <f t="shared" si="238"/>
        <v>892205</v>
      </c>
      <c r="I1447" s="7">
        <f t="shared" si="238"/>
        <v>976390</v>
      </c>
      <c r="K1447" s="24"/>
      <c r="L1447" s="24"/>
      <c r="M1447" s="24"/>
      <c r="O1447" s="57"/>
      <c r="P1447" s="57"/>
    </row>
    <row r="1448" spans="1:17" x14ac:dyDescent="0.25">
      <c r="A1448" s="19" t="s">
        <v>181</v>
      </c>
      <c r="C1448" s="6">
        <v>76076.985701519196</v>
      </c>
      <c r="D1448" s="6">
        <v>83255</v>
      </c>
      <c r="F1448" s="24">
        <v>11.19</v>
      </c>
      <c r="G1448" s="24"/>
      <c r="H1448" s="7">
        <f t="shared" si="238"/>
        <v>851301</v>
      </c>
      <c r="I1448" s="7">
        <f t="shared" si="238"/>
        <v>931623</v>
      </c>
      <c r="K1448" s="24"/>
      <c r="L1448" s="24"/>
      <c r="M1448" s="24"/>
      <c r="O1448" s="57"/>
      <c r="P1448" s="57"/>
    </row>
    <row r="1449" spans="1:17" x14ac:dyDescent="0.25">
      <c r="A1449" s="19" t="s">
        <v>77</v>
      </c>
      <c r="C1449" s="6">
        <v>78554.203539822993</v>
      </c>
      <c r="D1449" s="6">
        <v>85966</v>
      </c>
      <c r="F1449" s="24">
        <v>-1.1299999999999999</v>
      </c>
      <c r="G1449" s="24"/>
      <c r="H1449" s="7">
        <f t="shared" si="238"/>
        <v>-88766</v>
      </c>
      <c r="I1449" s="7">
        <f t="shared" si="238"/>
        <v>-97142</v>
      </c>
      <c r="K1449" s="24"/>
      <c r="L1449" s="24">
        <f>L1387</f>
        <v>-1.1299999999999999</v>
      </c>
      <c r="M1449" s="24"/>
      <c r="N1449" s="7">
        <f>ROUND($D1449*L1449,0)</f>
        <v>-97142</v>
      </c>
      <c r="O1449" s="57"/>
      <c r="P1449" s="57"/>
    </row>
    <row r="1450" spans="1:17" x14ac:dyDescent="0.25">
      <c r="A1450" s="19" t="s">
        <v>25</v>
      </c>
      <c r="C1450" s="6">
        <v>6702688.1527378578</v>
      </c>
      <c r="D1450" s="6">
        <v>7373997.1969696805</v>
      </c>
      <c r="F1450" s="100">
        <v>5.0473999999999997</v>
      </c>
      <c r="G1450" s="26" t="s">
        <v>18</v>
      </c>
      <c r="H1450" s="7">
        <f t="shared" ref="H1450:I1452" si="240">ROUND($F1450*C1450/100,0)</f>
        <v>338311</v>
      </c>
      <c r="I1450" s="7">
        <f t="shared" si="240"/>
        <v>372195</v>
      </c>
      <c r="K1450" s="100"/>
      <c r="L1450" s="100"/>
      <c r="M1450" s="26"/>
      <c r="O1450" s="207"/>
      <c r="P1450" s="59"/>
    </row>
    <row r="1451" spans="1:17" x14ac:dyDescent="0.25">
      <c r="A1451" s="19" t="s">
        <v>124</v>
      </c>
      <c r="C1451" s="6">
        <v>16184912.352719054</v>
      </c>
      <c r="D1451" s="6">
        <v>17805917</v>
      </c>
      <c r="F1451" s="100">
        <v>3.9510999999999998</v>
      </c>
      <c r="G1451" s="26" t="s">
        <v>18</v>
      </c>
      <c r="H1451" s="7">
        <f t="shared" si="240"/>
        <v>639482</v>
      </c>
      <c r="I1451" s="7">
        <f t="shared" si="240"/>
        <v>703530</v>
      </c>
      <c r="K1451" s="100"/>
      <c r="L1451" s="100"/>
      <c r="M1451" s="26"/>
      <c r="O1451" s="207"/>
      <c r="P1451" s="59"/>
    </row>
    <row r="1452" spans="1:17" x14ac:dyDescent="0.25">
      <c r="A1452" s="19" t="s">
        <v>41</v>
      </c>
      <c r="C1452" s="6">
        <v>34582126.005776182</v>
      </c>
      <c r="D1452" s="6">
        <v>38045708</v>
      </c>
      <c r="F1452" s="100">
        <v>3.4001999999999999</v>
      </c>
      <c r="G1452" s="26" t="s">
        <v>18</v>
      </c>
      <c r="H1452" s="7">
        <f t="shared" si="240"/>
        <v>1175861</v>
      </c>
      <c r="I1452" s="7">
        <f t="shared" si="240"/>
        <v>1293630</v>
      </c>
      <c r="K1452" s="100"/>
      <c r="L1452" s="100"/>
      <c r="M1452" s="26"/>
      <c r="O1452" s="207"/>
      <c r="P1452" s="59"/>
    </row>
    <row r="1453" spans="1:17" x14ac:dyDescent="0.25">
      <c r="A1453" s="19" t="s">
        <v>33</v>
      </c>
      <c r="C1453" s="36">
        <v>304568</v>
      </c>
      <c r="D1453" s="36">
        <v>0</v>
      </c>
      <c r="H1453" s="37">
        <v>25662</v>
      </c>
      <c r="I1453" s="37">
        <v>0</v>
      </c>
      <c r="N1453" s="37">
        <v>0</v>
      </c>
      <c r="Q1453" s="64"/>
    </row>
    <row r="1454" spans="1:17" x14ac:dyDescent="0.25">
      <c r="A1454" s="19" t="s">
        <v>34</v>
      </c>
      <c r="F1454" s="23">
        <v>-3.1800000000000002E-2</v>
      </c>
      <c r="G1454" s="24"/>
      <c r="H1454" s="7">
        <f>SUM(H1447:H1448,H1450:H1452)*$F1454</f>
        <v>-123929.68800000001</v>
      </c>
      <c r="I1454" s="7">
        <f>SUM(I1447:I1448,I1450:I1452)*$F1454</f>
        <v>-136020.30240000002</v>
      </c>
      <c r="K1454" s="93" t="str">
        <f>$K$43</f>
        <v>TAA 1 (1/1/2021)</v>
      </c>
      <c r="L1454" s="23">
        <f>$L$1392</f>
        <v>-2.5000000000000001E-2</v>
      </c>
      <c r="M1454" s="24"/>
      <c r="N1454" s="7">
        <f>L1454*SUM(N1441:N1446)</f>
        <v>-105061.925</v>
      </c>
      <c r="O1454" s="65"/>
      <c r="P1454" s="57"/>
    </row>
    <row r="1455" spans="1:17" x14ac:dyDescent="0.25">
      <c r="A1455" s="19"/>
      <c r="F1455" s="23"/>
      <c r="G1455" s="24"/>
      <c r="K1455" s="93" t="str">
        <f>$K$44</f>
        <v>TAA 2 (1/1/2022)</v>
      </c>
      <c r="L1455" s="23">
        <f>$L$1393</f>
        <v>-1.2500000000000001E-2</v>
      </c>
      <c r="M1455" s="24"/>
      <c r="N1455" s="7">
        <f>L1455*SUM(N1441:N1446)</f>
        <v>-52530.962500000001</v>
      </c>
      <c r="O1455" s="65"/>
      <c r="P1455" s="57"/>
    </row>
    <row r="1456" spans="1:17" ht="16.5" thickBot="1" x14ac:dyDescent="0.3">
      <c r="A1456" s="19" t="s">
        <v>36</v>
      </c>
      <c r="C1456" s="101">
        <v>57774294.511233091</v>
      </c>
      <c r="D1456" s="101">
        <v>63225622.19696968</v>
      </c>
      <c r="F1456" s="41"/>
      <c r="H1456" s="95">
        <f>SUM(H1439:H1454)</f>
        <v>4372327.3119999999</v>
      </c>
      <c r="I1456" s="95">
        <f>SUM(I1439:I1454)</f>
        <v>4770260.6975999996</v>
      </c>
      <c r="K1456" s="41"/>
      <c r="L1456" s="41"/>
      <c r="N1456" s="95">
        <f>SUM(N1439:N1453)</f>
        <v>4839061</v>
      </c>
      <c r="O1456" s="68"/>
      <c r="Q1456" s="208"/>
    </row>
    <row r="1457" spans="1:17" ht="16.5" thickTop="1" x14ac:dyDescent="0.25">
      <c r="A1457" s="113"/>
      <c r="B1457" s="113"/>
      <c r="C1457" s="114"/>
      <c r="D1457" s="114"/>
      <c r="E1457" s="113"/>
      <c r="F1457" s="113"/>
      <c r="G1457" s="113"/>
      <c r="H1457" s="115"/>
      <c r="I1457" s="115"/>
      <c r="J1457" s="113"/>
      <c r="K1457" s="113"/>
      <c r="L1457" s="113"/>
      <c r="M1457" s="113"/>
      <c r="N1457" s="115"/>
      <c r="O1457" s="213"/>
      <c r="P1457" s="213"/>
      <c r="Q1457" s="214"/>
    </row>
    <row r="1458" spans="1:17" x14ac:dyDescent="0.25">
      <c r="A1458" s="15" t="s">
        <v>185</v>
      </c>
    </row>
    <row r="1459" spans="1:17" x14ac:dyDescent="0.25">
      <c r="A1459" s="19" t="s">
        <v>68</v>
      </c>
      <c r="C1459" s="6">
        <v>6</v>
      </c>
      <c r="D1459" s="6">
        <v>0</v>
      </c>
      <c r="F1459" s="24">
        <v>70</v>
      </c>
      <c r="G1459" s="24"/>
      <c r="H1459" s="7">
        <f t="shared" ref="H1459:I1469" si="241">ROUND($F1459*C1459,0)</f>
        <v>420</v>
      </c>
      <c r="I1459" s="7">
        <f t="shared" si="241"/>
        <v>0</v>
      </c>
      <c r="K1459" s="24"/>
      <c r="L1459" s="24">
        <f t="shared" ref="L1459:L1466" si="242">L1377</f>
        <v>71</v>
      </c>
      <c r="M1459" s="24"/>
      <c r="N1459" s="7">
        <f>ROUND($D1459*L1459,0)</f>
        <v>0</v>
      </c>
      <c r="O1459" s="57"/>
      <c r="P1459" s="57"/>
    </row>
    <row r="1460" spans="1:17" x14ac:dyDescent="0.25">
      <c r="A1460" s="19" t="s">
        <v>81</v>
      </c>
      <c r="C1460" s="6">
        <v>4549.6659663865503</v>
      </c>
      <c r="D1460" s="6">
        <v>0</v>
      </c>
      <c r="F1460" s="24">
        <v>4.76</v>
      </c>
      <c r="G1460" s="24"/>
      <c r="H1460" s="7">
        <f>ROUND($F1460*C1460,0)</f>
        <v>21656</v>
      </c>
      <c r="I1460" s="7">
        <f>ROUND($F1460*D1460,0)</f>
        <v>0</v>
      </c>
      <c r="K1460" s="24"/>
      <c r="L1460" s="24">
        <f t="shared" si="242"/>
        <v>4.8099999999999996</v>
      </c>
      <c r="M1460" s="24"/>
      <c r="N1460" s="7">
        <f>ROUND($D1460*L1460,0)</f>
        <v>0</v>
      </c>
      <c r="O1460" s="57"/>
      <c r="P1460" s="57"/>
    </row>
    <row r="1461" spans="1:17" x14ac:dyDescent="0.25">
      <c r="A1461" s="19" t="s">
        <v>176</v>
      </c>
      <c r="C1461" s="6">
        <v>2238.0430456319273</v>
      </c>
      <c r="D1461" s="6">
        <v>0</v>
      </c>
      <c r="F1461" s="24"/>
      <c r="G1461" s="24"/>
      <c r="K1461" s="24"/>
      <c r="L1461" s="24">
        <f t="shared" si="242"/>
        <v>15.73</v>
      </c>
      <c r="M1461" s="24"/>
      <c r="N1461" s="7">
        <f>ROUND($D1461*L1461,0)</f>
        <v>0</v>
      </c>
      <c r="O1461" s="57"/>
      <c r="P1461" s="57"/>
    </row>
    <row r="1462" spans="1:17" x14ac:dyDescent="0.25">
      <c r="A1462" s="19" t="s">
        <v>177</v>
      </c>
      <c r="C1462" s="6">
        <v>1836.2420474444675</v>
      </c>
      <c r="D1462" s="6">
        <v>0</v>
      </c>
      <c r="F1462" s="24"/>
      <c r="G1462" s="24"/>
      <c r="K1462" s="24"/>
      <c r="L1462" s="24">
        <f t="shared" si="242"/>
        <v>13.92</v>
      </c>
      <c r="M1462" s="24"/>
      <c r="N1462" s="7">
        <f>ROUND($D1462*L1462,0)</f>
        <v>0</v>
      </c>
      <c r="O1462" s="57"/>
      <c r="P1462" s="57"/>
    </row>
    <row r="1463" spans="1:17" x14ac:dyDescent="0.25">
      <c r="A1463" s="19" t="s">
        <v>17</v>
      </c>
      <c r="C1463" s="6">
        <v>230965.96629601138</v>
      </c>
      <c r="D1463" s="6">
        <v>0</v>
      </c>
      <c r="F1463" s="100"/>
      <c r="G1463" s="26"/>
      <c r="K1463" s="100"/>
      <c r="L1463" s="100">
        <f t="shared" si="242"/>
        <v>5.8281999999999998</v>
      </c>
      <c r="M1463" s="26" t="s">
        <v>18</v>
      </c>
      <c r="N1463" s="7">
        <f>ROUND($D1463*L1463/100,0)</f>
        <v>0</v>
      </c>
      <c r="O1463" s="207"/>
      <c r="P1463" s="59"/>
    </row>
    <row r="1464" spans="1:17" x14ac:dyDescent="0.25">
      <c r="A1464" s="19" t="s">
        <v>178</v>
      </c>
      <c r="C1464" s="6">
        <v>189381.87509176272</v>
      </c>
      <c r="D1464" s="6">
        <v>0</v>
      </c>
      <c r="F1464" s="100"/>
      <c r="G1464" s="26"/>
      <c r="K1464" s="100"/>
      <c r="L1464" s="100">
        <f t="shared" si="242"/>
        <v>5.1577000000000002</v>
      </c>
      <c r="M1464" s="26" t="s">
        <v>18</v>
      </c>
      <c r="N1464" s="7">
        <f>ROUND($D1464*L1464/100,0)</f>
        <v>0</v>
      </c>
      <c r="O1464" s="207"/>
      <c r="P1464" s="59"/>
    </row>
    <row r="1465" spans="1:17" x14ac:dyDescent="0.25">
      <c r="A1465" s="19" t="s">
        <v>19</v>
      </c>
      <c r="C1465" s="6">
        <v>431146.08244347939</v>
      </c>
      <c r="D1465" s="6">
        <v>0</v>
      </c>
      <c r="F1465" s="100"/>
      <c r="G1465" s="26"/>
      <c r="K1465" s="100"/>
      <c r="L1465" s="100">
        <f t="shared" si="242"/>
        <v>2.9624000000000001</v>
      </c>
      <c r="M1465" s="26" t="s">
        <v>18</v>
      </c>
      <c r="N1465" s="7">
        <f>ROUND($D1465*L1465/100,0)</f>
        <v>0</v>
      </c>
      <c r="O1465" s="207"/>
      <c r="P1465" s="59"/>
    </row>
    <row r="1466" spans="1:17" x14ac:dyDescent="0.25">
      <c r="A1466" s="19" t="s">
        <v>179</v>
      </c>
      <c r="C1466" s="6">
        <v>756697.38315723441</v>
      </c>
      <c r="D1466" s="6">
        <v>0</v>
      </c>
      <c r="F1466" s="100"/>
      <c r="G1466" s="26"/>
      <c r="K1466" s="100"/>
      <c r="L1466" s="100">
        <f t="shared" si="242"/>
        <v>2.6215999999999999</v>
      </c>
      <c r="M1466" s="26" t="s">
        <v>18</v>
      </c>
      <c r="N1466" s="7">
        <f>ROUND($D1466*L1466/100,0)</f>
        <v>0</v>
      </c>
      <c r="O1466" s="207"/>
      <c r="P1466" s="59"/>
    </row>
    <row r="1467" spans="1:17" x14ac:dyDescent="0.25">
      <c r="A1467" s="19" t="s">
        <v>180</v>
      </c>
      <c r="C1467" s="6">
        <v>2769.6433161953701</v>
      </c>
      <c r="D1467" s="6">
        <v>0</v>
      </c>
      <c r="F1467" s="24">
        <v>15.56</v>
      </c>
      <c r="G1467" s="24"/>
      <c r="H1467" s="7">
        <f t="shared" si="241"/>
        <v>43096</v>
      </c>
      <c r="I1467" s="7">
        <f t="shared" si="241"/>
        <v>0</v>
      </c>
      <c r="K1467" s="24"/>
      <c r="L1467" s="24"/>
      <c r="M1467" s="24"/>
      <c r="O1467" s="57"/>
      <c r="P1467" s="57"/>
    </row>
    <row r="1468" spans="1:17" x14ac:dyDescent="0.25">
      <c r="A1468" s="19" t="s">
        <v>181</v>
      </c>
      <c r="C1468" s="6">
        <v>1664.6899016979401</v>
      </c>
      <c r="D1468" s="6">
        <v>0</v>
      </c>
      <c r="F1468" s="24">
        <v>11.19</v>
      </c>
      <c r="G1468" s="24"/>
      <c r="H1468" s="7">
        <f t="shared" si="241"/>
        <v>18628</v>
      </c>
      <c r="I1468" s="7">
        <f t="shared" si="241"/>
        <v>0</v>
      </c>
      <c r="K1468" s="24"/>
      <c r="L1468" s="24"/>
      <c r="M1468" s="24"/>
      <c r="O1468" s="57"/>
      <c r="P1468" s="57"/>
    </row>
    <row r="1469" spans="1:17" x14ac:dyDescent="0.25">
      <c r="A1469" s="19" t="s">
        <v>77</v>
      </c>
      <c r="C1469" s="6">
        <v>4434.3274336283203</v>
      </c>
      <c r="D1469" s="6">
        <v>0</v>
      </c>
      <c r="F1469" s="24">
        <v>-1.1299999999999999</v>
      </c>
      <c r="G1469" s="24"/>
      <c r="H1469" s="7">
        <f t="shared" si="241"/>
        <v>-5011</v>
      </c>
      <c r="I1469" s="7">
        <f t="shared" si="241"/>
        <v>0</v>
      </c>
      <c r="K1469" s="24"/>
      <c r="L1469" s="24">
        <f>L1387</f>
        <v>-1.1299999999999999</v>
      </c>
      <c r="M1469" s="24"/>
      <c r="N1469" s="7">
        <f>ROUND($D1469*L1469,0)</f>
        <v>0</v>
      </c>
      <c r="O1469" s="57"/>
      <c r="P1469" s="57"/>
    </row>
    <row r="1470" spans="1:17" x14ac:dyDescent="0.25">
      <c r="A1470" s="19" t="s">
        <v>25</v>
      </c>
      <c r="C1470" s="6">
        <v>289683.51052581088</v>
      </c>
      <c r="D1470" s="6">
        <v>0</v>
      </c>
      <c r="F1470" s="100">
        <v>5.0473999999999997</v>
      </c>
      <c r="G1470" s="26" t="s">
        <v>18</v>
      </c>
      <c r="H1470" s="7">
        <f t="shared" ref="H1470:I1472" si="243">ROUND($F1470*C1470/100,0)</f>
        <v>14621</v>
      </c>
      <c r="I1470" s="7">
        <f t="shared" si="243"/>
        <v>0</v>
      </c>
      <c r="K1470" s="100"/>
      <c r="L1470" s="100"/>
      <c r="M1470" s="26"/>
      <c r="O1470" s="207"/>
      <c r="P1470" s="59"/>
    </row>
    <row r="1471" spans="1:17" x14ac:dyDescent="0.25">
      <c r="A1471" s="19" t="s">
        <v>124</v>
      </c>
      <c r="C1471" s="6">
        <v>383996.2842306738</v>
      </c>
      <c r="D1471" s="6">
        <v>0</v>
      </c>
      <c r="F1471" s="100">
        <v>3.9510999999999998</v>
      </c>
      <c r="G1471" s="26" t="s">
        <v>18</v>
      </c>
      <c r="H1471" s="7">
        <f t="shared" si="243"/>
        <v>15172</v>
      </c>
      <c r="I1471" s="7">
        <f t="shared" si="243"/>
        <v>0</v>
      </c>
      <c r="K1471" s="100"/>
      <c r="L1471" s="100"/>
      <c r="M1471" s="26"/>
      <c r="O1471" s="207"/>
      <c r="P1471" s="59"/>
    </row>
    <row r="1472" spans="1:17" x14ac:dyDescent="0.25">
      <c r="A1472" s="19" t="s">
        <v>41</v>
      </c>
      <c r="C1472" s="6">
        <v>934511.51223200338</v>
      </c>
      <c r="D1472" s="6">
        <v>0</v>
      </c>
      <c r="F1472" s="100">
        <v>3.4001999999999999</v>
      </c>
      <c r="G1472" s="26" t="s">
        <v>18</v>
      </c>
      <c r="H1472" s="7">
        <f t="shared" si="243"/>
        <v>31775</v>
      </c>
      <c r="I1472" s="7">
        <f t="shared" si="243"/>
        <v>0</v>
      </c>
      <c r="K1472" s="100"/>
      <c r="L1472" s="100"/>
      <c r="M1472" s="26"/>
      <c r="O1472" s="207"/>
      <c r="P1472" s="59"/>
    </row>
    <row r="1473" spans="1:17" x14ac:dyDescent="0.25">
      <c r="A1473" s="19" t="s">
        <v>33</v>
      </c>
      <c r="C1473" s="36">
        <v>8531</v>
      </c>
      <c r="D1473" s="36">
        <v>0</v>
      </c>
      <c r="H1473" s="37">
        <v>806</v>
      </c>
      <c r="I1473" s="37">
        <v>0</v>
      </c>
      <c r="N1473" s="37"/>
      <c r="Q1473" s="64"/>
    </row>
    <row r="1474" spans="1:17" x14ac:dyDescent="0.25">
      <c r="A1474" s="19" t="s">
        <v>34</v>
      </c>
      <c r="F1474" s="23">
        <v>-3.1800000000000002E-2</v>
      </c>
      <c r="G1474" s="24"/>
      <c r="H1474" s="7">
        <f>SUM(H1467:H1468,H1470:H1472)*$F1474</f>
        <v>-3920.6856000000002</v>
      </c>
      <c r="I1474" s="7">
        <f>SUM(I1467:I1468,I1470:I1472)*$F1474</f>
        <v>0</v>
      </c>
      <c r="K1474" s="93" t="str">
        <f>$K$43</f>
        <v>TAA 1 (1/1/2021)</v>
      </c>
      <c r="L1474" s="23">
        <f>$L$1392</f>
        <v>-2.5000000000000001E-2</v>
      </c>
      <c r="M1474" s="24"/>
      <c r="N1474" s="7">
        <f>L1474*SUM(N1461:N1466)</f>
        <v>0</v>
      </c>
      <c r="O1474" s="65"/>
      <c r="P1474" s="57"/>
    </row>
    <row r="1475" spans="1:17" x14ac:dyDescent="0.25">
      <c r="A1475" s="19"/>
      <c r="F1475" s="23"/>
      <c r="G1475" s="24"/>
      <c r="K1475" s="93" t="str">
        <f>$K$44</f>
        <v>TAA 2 (1/1/2022)</v>
      </c>
      <c r="L1475" s="23">
        <f>$L$1393</f>
        <v>-1.2500000000000001E-2</v>
      </c>
      <c r="M1475" s="24"/>
      <c r="N1475" s="7">
        <f>L1475*SUM(N1461:N1466)</f>
        <v>0</v>
      </c>
      <c r="O1475" s="65"/>
      <c r="P1475" s="57"/>
    </row>
    <row r="1476" spans="1:17" ht="16.5" thickBot="1" x14ac:dyDescent="0.3">
      <c r="A1476" s="19" t="s">
        <v>36</v>
      </c>
      <c r="C1476" s="101">
        <v>1616722.306988488</v>
      </c>
      <c r="D1476" s="101">
        <v>0</v>
      </c>
      <c r="F1476" s="41"/>
      <c r="H1476" s="95">
        <f>SUM(H1459:H1474)</f>
        <v>137242.3144</v>
      </c>
      <c r="I1476" s="95">
        <f>SUM(I1459:I1474)</f>
        <v>0</v>
      </c>
      <c r="K1476" s="41"/>
      <c r="L1476" s="41"/>
      <c r="N1476" s="95">
        <f>SUM(N1459:N1473)</f>
        <v>0</v>
      </c>
      <c r="O1476" s="68"/>
      <c r="Q1476" s="208"/>
    </row>
    <row r="1477" spans="1:17" ht="16.5" thickTop="1" x14ac:dyDescent="0.25"/>
    <row r="1478" spans="1:17" x14ac:dyDescent="0.25">
      <c r="A1478" s="15" t="s">
        <v>186</v>
      </c>
    </row>
    <row r="1479" spans="1:17" x14ac:dyDescent="0.25">
      <c r="A1479" s="19" t="s">
        <v>68</v>
      </c>
      <c r="C1479" s="6">
        <v>1822.5331274131279</v>
      </c>
      <c r="D1479" s="6">
        <v>1872</v>
      </c>
      <c r="F1479" s="20">
        <v>259</v>
      </c>
      <c r="G1479" s="20"/>
      <c r="H1479" s="7">
        <f t="shared" ref="H1479:I1488" si="244">ROUND($F1479*C1479,0)</f>
        <v>472036</v>
      </c>
      <c r="I1479" s="7">
        <f t="shared" si="244"/>
        <v>484848</v>
      </c>
      <c r="K1479" s="20"/>
      <c r="L1479" s="20">
        <v>266</v>
      </c>
      <c r="M1479" s="20"/>
      <c r="N1479" s="7">
        <f>ROUND($D1479*L1479,0)</f>
        <v>497952</v>
      </c>
      <c r="O1479" s="55"/>
      <c r="P1479" s="55"/>
    </row>
    <row r="1480" spans="1:17" x14ac:dyDescent="0.25">
      <c r="A1480" s="19" t="s">
        <v>81</v>
      </c>
      <c r="C1480" s="6">
        <v>8204516.3288288303</v>
      </c>
      <c r="D1480" s="6">
        <v>8792631</v>
      </c>
      <c r="F1480" s="20">
        <v>2.2200000000000002</v>
      </c>
      <c r="G1480" s="20"/>
      <c r="H1480" s="7">
        <f>ROUND($F1480*C1480,0)</f>
        <v>18214026</v>
      </c>
      <c r="I1480" s="7">
        <f>ROUND($F1480*D1480,0)</f>
        <v>19519641</v>
      </c>
      <c r="K1480" s="20"/>
      <c r="L1480" s="20">
        <v>2.2799999999999998</v>
      </c>
      <c r="M1480" s="20"/>
      <c r="N1480" s="7">
        <f>ROUND($D1480*L1480,0)</f>
        <v>20047199</v>
      </c>
      <c r="O1480" s="55"/>
      <c r="P1480" s="55"/>
    </row>
    <row r="1481" spans="1:17" x14ac:dyDescent="0.25">
      <c r="A1481" s="19" t="s">
        <v>176</v>
      </c>
      <c r="C1481" s="6">
        <v>2671934.0893816734</v>
      </c>
      <c r="D1481" s="6">
        <v>2857444</v>
      </c>
      <c r="F1481" s="24"/>
      <c r="G1481" s="24"/>
      <c r="K1481" s="24"/>
      <c r="L1481" s="24">
        <v>14.33</v>
      </c>
      <c r="M1481" s="24"/>
      <c r="N1481" s="7">
        <f>ROUND($D1481*L1481,0)</f>
        <v>40947173</v>
      </c>
      <c r="O1481" s="57"/>
      <c r="P1481" s="57"/>
    </row>
    <row r="1482" spans="1:17" x14ac:dyDescent="0.25">
      <c r="A1482" s="19" t="s">
        <v>177</v>
      </c>
      <c r="C1482" s="6">
        <v>5230705.6305531329</v>
      </c>
      <c r="D1482" s="6">
        <v>5600405</v>
      </c>
      <c r="F1482" s="24"/>
      <c r="G1482" s="24"/>
      <c r="K1482" s="24"/>
      <c r="L1482" s="24">
        <v>12.68</v>
      </c>
      <c r="M1482" s="24"/>
      <c r="N1482" s="7">
        <f>ROUND($D1482*L1482,0)</f>
        <v>71013135</v>
      </c>
      <c r="O1482" s="57"/>
      <c r="P1482" s="57"/>
    </row>
    <row r="1483" spans="1:17" x14ac:dyDescent="0.25">
      <c r="A1483" s="19" t="s">
        <v>17</v>
      </c>
      <c r="C1483" s="6">
        <v>319244318.2292161</v>
      </c>
      <c r="D1483" s="6">
        <v>337257779</v>
      </c>
      <c r="F1483" s="100"/>
      <c r="G1483" s="26"/>
      <c r="K1483" s="25"/>
      <c r="L1483" s="100">
        <v>5.1477000000000004</v>
      </c>
      <c r="M1483" s="26" t="s">
        <v>18</v>
      </c>
      <c r="N1483" s="7">
        <f>ROUND($D1483*L1483/100,0)</f>
        <v>17361019</v>
      </c>
      <c r="O1483" s="207"/>
      <c r="P1483" s="59"/>
    </row>
    <row r="1484" spans="1:17" x14ac:dyDescent="0.25">
      <c r="A1484" s="19" t="s">
        <v>178</v>
      </c>
      <c r="C1484" s="6">
        <v>617810732.40477073</v>
      </c>
      <c r="D1484" s="6">
        <v>653220065</v>
      </c>
      <c r="F1484" s="100"/>
      <c r="G1484" s="26"/>
      <c r="K1484" s="25"/>
      <c r="L1484" s="100">
        <v>4.5555000000000003</v>
      </c>
      <c r="M1484" s="26" t="s">
        <v>18</v>
      </c>
      <c r="N1484" s="7">
        <f>ROUND($D1484*L1484/100,0)</f>
        <v>29757440</v>
      </c>
      <c r="O1484" s="207"/>
      <c r="P1484" s="59"/>
    </row>
    <row r="1485" spans="1:17" x14ac:dyDescent="0.25">
      <c r="A1485" s="19" t="s">
        <v>19</v>
      </c>
      <c r="C1485" s="6">
        <v>1249749246.2891898</v>
      </c>
      <c r="D1485" s="6">
        <v>1318310247</v>
      </c>
      <c r="F1485" s="100"/>
      <c r="G1485" s="26"/>
      <c r="K1485" s="25"/>
      <c r="L1485" s="100">
        <v>2.6164999999999998</v>
      </c>
      <c r="M1485" s="26" t="s">
        <v>18</v>
      </c>
      <c r="N1485" s="7">
        <f>ROUND($D1485*L1485/100,0)</f>
        <v>34493588</v>
      </c>
      <c r="O1485" s="207"/>
      <c r="P1485" s="59"/>
    </row>
    <row r="1486" spans="1:17" x14ac:dyDescent="0.25">
      <c r="A1486" s="19" t="s">
        <v>179</v>
      </c>
      <c r="C1486" s="6">
        <v>2408433787.0768232</v>
      </c>
      <c r="D1486" s="6">
        <v>2538543863.3051271</v>
      </c>
      <c r="F1486" s="100"/>
      <c r="G1486" s="26"/>
      <c r="K1486" s="25"/>
      <c r="L1486" s="100">
        <v>2.3155000000000001</v>
      </c>
      <c r="M1486" s="26" t="s">
        <v>18</v>
      </c>
      <c r="N1486" s="7">
        <f>ROUND($D1486*L1486/100,0)</f>
        <v>58779983</v>
      </c>
      <c r="O1486" s="207"/>
      <c r="P1486" s="59"/>
    </row>
    <row r="1487" spans="1:17" x14ac:dyDescent="0.25">
      <c r="A1487" s="19" t="s">
        <v>180</v>
      </c>
      <c r="C1487" s="6">
        <v>3292870.7134670513</v>
      </c>
      <c r="D1487" s="6">
        <v>3521492</v>
      </c>
      <c r="F1487" s="20">
        <v>13.96</v>
      </c>
      <c r="G1487" s="20"/>
      <c r="H1487" s="7">
        <f t="shared" si="244"/>
        <v>45968475</v>
      </c>
      <c r="I1487" s="7">
        <f t="shared" si="244"/>
        <v>49160028</v>
      </c>
      <c r="K1487" s="20"/>
      <c r="L1487" s="20"/>
      <c r="M1487" s="20"/>
      <c r="O1487" s="55"/>
      <c r="P1487" s="55"/>
    </row>
    <row r="1488" spans="1:17" x14ac:dyDescent="0.25">
      <c r="A1488" s="19" t="s">
        <v>181</v>
      </c>
      <c r="C1488" s="6">
        <v>4604756.4213305144</v>
      </c>
      <c r="D1488" s="6">
        <v>4930214</v>
      </c>
      <c r="F1488" s="20">
        <v>9.4700000000000006</v>
      </c>
      <c r="G1488" s="20"/>
      <c r="H1488" s="7">
        <f t="shared" si="244"/>
        <v>43607043</v>
      </c>
      <c r="I1488" s="7">
        <f t="shared" si="244"/>
        <v>46689127</v>
      </c>
      <c r="K1488" s="20"/>
      <c r="L1488" s="20"/>
      <c r="M1488" s="20"/>
      <c r="O1488" s="55"/>
      <c r="P1488" s="55"/>
    </row>
    <row r="1489" spans="1:17" x14ac:dyDescent="0.25">
      <c r="A1489" s="19" t="s">
        <v>187</v>
      </c>
      <c r="C1489" s="6">
        <v>461574942</v>
      </c>
      <c r="D1489" s="6">
        <v>487619452.30512714</v>
      </c>
      <c r="F1489" s="116">
        <v>4.6531000000000002</v>
      </c>
      <c r="G1489" s="26" t="s">
        <v>18</v>
      </c>
      <c r="H1489" s="7">
        <f t="shared" ref="H1489:I1491" si="245">ROUND($F1489*C1489/100,0)</f>
        <v>21477544</v>
      </c>
      <c r="I1489" s="7">
        <f t="shared" si="245"/>
        <v>22689421</v>
      </c>
      <c r="K1489" s="116"/>
      <c r="L1489" s="116"/>
      <c r="M1489" s="26"/>
      <c r="O1489" s="215"/>
      <c r="P1489" s="59"/>
    </row>
    <row r="1490" spans="1:17" x14ac:dyDescent="0.25">
      <c r="A1490" s="19" t="s">
        <v>188</v>
      </c>
      <c r="C1490" s="6">
        <v>1236552267</v>
      </c>
      <c r="D1490" s="6">
        <v>1307424280</v>
      </c>
      <c r="F1490" s="116">
        <v>3.4988999999999999</v>
      </c>
      <c r="G1490" s="26" t="s">
        <v>18</v>
      </c>
      <c r="H1490" s="7">
        <f t="shared" si="245"/>
        <v>43265727</v>
      </c>
      <c r="I1490" s="7">
        <f t="shared" si="245"/>
        <v>45745468</v>
      </c>
      <c r="K1490" s="116"/>
      <c r="L1490" s="116"/>
      <c r="M1490" s="26"/>
      <c r="O1490" s="215"/>
      <c r="P1490" s="59"/>
    </row>
    <row r="1491" spans="1:17" x14ac:dyDescent="0.25">
      <c r="A1491" s="19" t="s">
        <v>41</v>
      </c>
      <c r="C1491" s="6">
        <v>2897110875</v>
      </c>
      <c r="D1491" s="6">
        <v>3052288222</v>
      </c>
      <c r="F1491" s="117">
        <v>2.9224999999999999</v>
      </c>
      <c r="G1491" s="26" t="s">
        <v>18</v>
      </c>
      <c r="H1491" s="7">
        <f t="shared" si="245"/>
        <v>84668065</v>
      </c>
      <c r="I1491" s="7">
        <f t="shared" si="245"/>
        <v>89203123</v>
      </c>
      <c r="K1491" s="117"/>
      <c r="L1491" s="117"/>
      <c r="M1491" s="26"/>
      <c r="O1491" s="216"/>
      <c r="P1491" s="59"/>
    </row>
    <row r="1492" spans="1:17" x14ac:dyDescent="0.25">
      <c r="A1492" s="19" t="s">
        <v>33</v>
      </c>
      <c r="C1492" s="36">
        <v>-53797825</v>
      </c>
      <c r="D1492" s="36">
        <v>0</v>
      </c>
      <c r="H1492" s="37">
        <f>H1513+H1532</f>
        <v>-2671415</v>
      </c>
      <c r="I1492" s="37">
        <f>I1513+I1532</f>
        <v>0</v>
      </c>
      <c r="N1492" s="37">
        <f>N1513+N1532</f>
        <v>0</v>
      </c>
      <c r="Q1492" s="64"/>
    </row>
    <row r="1493" spans="1:17" x14ac:dyDescent="0.25">
      <c r="A1493" s="19" t="s">
        <v>34</v>
      </c>
      <c r="F1493" s="23">
        <v>-3.0700000000000002E-2</v>
      </c>
      <c r="G1493" s="24"/>
      <c r="H1493" s="7">
        <f>SUM(H1487:H1491)*$F1493</f>
        <v>-7336896.4177999999</v>
      </c>
      <c r="I1493" s="7">
        <f>SUM(I1487:I1491)*$F1493</f>
        <v>-7782056.0268999999</v>
      </c>
      <c r="K1493" s="93" t="str">
        <f>$K$43</f>
        <v>TAA 1 (1/1/2021)</v>
      </c>
      <c r="L1493" s="23">
        <v>-2.4299999999999999E-2</v>
      </c>
      <c r="M1493" s="24"/>
      <c r="N1493" s="7">
        <f>L1493*SUM(N1481:N1486)</f>
        <v>-6132161.8133999994</v>
      </c>
      <c r="O1493" s="65"/>
      <c r="P1493" s="57"/>
    </row>
    <row r="1494" spans="1:17" x14ac:dyDescent="0.25">
      <c r="A1494" s="19"/>
      <c r="F1494" s="23"/>
      <c r="G1494" s="24"/>
      <c r="K1494" s="93" t="str">
        <f>$K$44</f>
        <v>TAA 2 (1/1/2022)</v>
      </c>
      <c r="L1494" s="23">
        <v>-1.21E-2</v>
      </c>
      <c r="M1494" s="24"/>
      <c r="N1494" s="7">
        <f>L1494*SUM(N1481:N1486)</f>
        <v>-3053463.2897999999</v>
      </c>
      <c r="O1494" s="65"/>
      <c r="P1494" s="57"/>
    </row>
    <row r="1495" spans="1:17" ht="16.5" thickBot="1" x14ac:dyDescent="0.3">
      <c r="A1495" s="19" t="s">
        <v>36</v>
      </c>
      <c r="C1495" s="101">
        <v>4541440259</v>
      </c>
      <c r="D1495" s="101">
        <v>4847331954.3051271</v>
      </c>
      <c r="F1495" s="41"/>
      <c r="H1495" s="95">
        <f>SUM(H1479:H1493)</f>
        <v>247664604.58219999</v>
      </c>
      <c r="I1495" s="95">
        <f>SUM(I1479:I1493)</f>
        <v>265709599.97310001</v>
      </c>
      <c r="K1495" s="41"/>
      <c r="L1495" s="41"/>
      <c r="N1495" s="95">
        <f>SUM(N1479:N1492)</f>
        <v>272897489</v>
      </c>
      <c r="O1495" s="68"/>
      <c r="Q1495" s="208"/>
    </row>
    <row r="1496" spans="1:17" ht="16.5" thickTop="1" x14ac:dyDescent="0.25"/>
    <row r="1499" spans="1:17" x14ac:dyDescent="0.25">
      <c r="A1499" s="15" t="s">
        <v>189</v>
      </c>
    </row>
    <row r="1500" spans="1:17" x14ac:dyDescent="0.25">
      <c r="A1500" s="19" t="s">
        <v>68</v>
      </c>
      <c r="C1500" s="6">
        <v>469.39992277992297</v>
      </c>
      <c r="D1500" s="6">
        <v>492</v>
      </c>
      <c r="F1500" s="24">
        <v>259</v>
      </c>
      <c r="G1500" s="24"/>
      <c r="H1500" s="7">
        <f t="shared" ref="H1500:I1509" si="246">ROUND($F1500*C1500,0)</f>
        <v>121575</v>
      </c>
      <c r="I1500" s="7">
        <f t="shared" si="246"/>
        <v>127428</v>
      </c>
      <c r="K1500" s="24"/>
      <c r="L1500" s="24">
        <f t="shared" ref="L1500:L1507" si="247">L1479</f>
        <v>266</v>
      </c>
      <c r="M1500" s="24"/>
      <c r="N1500" s="7">
        <f>ROUND($D1500*L1500,0)</f>
        <v>130872</v>
      </c>
      <c r="O1500" s="57"/>
      <c r="P1500" s="57"/>
    </row>
    <row r="1501" spans="1:17" x14ac:dyDescent="0.25">
      <c r="A1501" s="19" t="s">
        <v>81</v>
      </c>
      <c r="C1501" s="6">
        <v>1842774.7972973001</v>
      </c>
      <c r="D1501" s="6">
        <v>2502776</v>
      </c>
      <c r="F1501" s="24">
        <v>2.2200000000000002</v>
      </c>
      <c r="G1501" s="24"/>
      <c r="H1501" s="7">
        <f>ROUND($F1501*C1501,0)</f>
        <v>4090960</v>
      </c>
      <c r="I1501" s="7">
        <f>ROUND($F1501*D1501,0)</f>
        <v>5556163</v>
      </c>
      <c r="K1501" s="24"/>
      <c r="L1501" s="24">
        <f t="shared" si="247"/>
        <v>2.2799999999999998</v>
      </c>
      <c r="M1501" s="24"/>
      <c r="N1501" s="7">
        <f>ROUND($D1501*L1501,0)</f>
        <v>5706329</v>
      </c>
      <c r="O1501" s="57"/>
      <c r="P1501" s="57"/>
    </row>
    <row r="1502" spans="1:17" x14ac:dyDescent="0.25">
      <c r="A1502" s="19" t="s">
        <v>176</v>
      </c>
      <c r="C1502" s="6">
        <v>583838.49794073892</v>
      </c>
      <c r="D1502" s="6">
        <v>792944</v>
      </c>
      <c r="F1502" s="24"/>
      <c r="G1502" s="24"/>
      <c r="K1502" s="24"/>
      <c r="L1502" s="24">
        <f t="shared" si="247"/>
        <v>14.33</v>
      </c>
      <c r="M1502" s="24"/>
      <c r="N1502" s="7">
        <f>ROUND($D1502*L1502,0)</f>
        <v>11362888</v>
      </c>
      <c r="O1502" s="57"/>
      <c r="P1502" s="57"/>
    </row>
    <row r="1503" spans="1:17" x14ac:dyDescent="0.25">
      <c r="A1503" s="19" t="s">
        <v>177</v>
      </c>
      <c r="C1503" s="6">
        <v>1160640.393116374</v>
      </c>
      <c r="D1503" s="6">
        <v>1576331</v>
      </c>
      <c r="F1503" s="24"/>
      <c r="G1503" s="24"/>
      <c r="K1503" s="24"/>
      <c r="L1503" s="24">
        <f t="shared" si="247"/>
        <v>12.68</v>
      </c>
      <c r="M1503" s="24"/>
      <c r="N1503" s="7">
        <f>ROUND($D1503*L1503,0)</f>
        <v>19987877</v>
      </c>
      <c r="O1503" s="57"/>
      <c r="P1503" s="57"/>
    </row>
    <row r="1504" spans="1:17" x14ac:dyDescent="0.25">
      <c r="A1504" s="19" t="s">
        <v>17</v>
      </c>
      <c r="C1504" s="6">
        <v>68088242.39647606</v>
      </c>
      <c r="D1504" s="6">
        <v>92965066</v>
      </c>
      <c r="F1504" s="100"/>
      <c r="G1504" s="26"/>
      <c r="K1504" s="100"/>
      <c r="L1504" s="100">
        <f t="shared" si="247"/>
        <v>5.1477000000000004</v>
      </c>
      <c r="M1504" s="26" t="s">
        <v>18</v>
      </c>
      <c r="N1504" s="7">
        <f>ROUND($D1504*L1504/100,0)</f>
        <v>4785563</v>
      </c>
      <c r="O1504" s="207"/>
      <c r="P1504" s="59"/>
    </row>
    <row r="1505" spans="1:17" x14ac:dyDescent="0.25">
      <c r="A1505" s="19" t="s">
        <v>178</v>
      </c>
      <c r="C1505" s="6">
        <v>133164797.03791294</v>
      </c>
      <c r="D1505" s="6">
        <v>181818090</v>
      </c>
      <c r="F1505" s="100"/>
      <c r="G1505" s="26"/>
      <c r="K1505" s="100"/>
      <c r="L1505" s="100">
        <f t="shared" si="247"/>
        <v>4.5555000000000003</v>
      </c>
      <c r="M1505" s="26" t="s">
        <v>18</v>
      </c>
      <c r="N1505" s="7">
        <f>ROUND($D1505*L1505/100,0)</f>
        <v>8282723</v>
      </c>
      <c r="O1505" s="207"/>
      <c r="P1505" s="59"/>
    </row>
    <row r="1506" spans="1:17" x14ac:dyDescent="0.25">
      <c r="A1506" s="19" t="s">
        <v>19</v>
      </c>
      <c r="C1506" s="6">
        <v>261563495.32008475</v>
      </c>
      <c r="D1506" s="6">
        <v>357128731</v>
      </c>
      <c r="F1506" s="100"/>
      <c r="G1506" s="26"/>
      <c r="K1506" s="100"/>
      <c r="L1506" s="100">
        <f t="shared" si="247"/>
        <v>2.6164999999999998</v>
      </c>
      <c r="M1506" s="26" t="s">
        <v>18</v>
      </c>
      <c r="N1506" s="7">
        <f>ROUND($D1506*L1506/100,0)</f>
        <v>9344273</v>
      </c>
      <c r="O1506" s="207"/>
      <c r="P1506" s="59"/>
    </row>
    <row r="1507" spans="1:17" x14ac:dyDescent="0.25">
      <c r="A1507" s="19" t="s">
        <v>179</v>
      </c>
      <c r="C1507" s="6">
        <v>498933623.24552625</v>
      </c>
      <c r="D1507" s="6">
        <v>681224769.90915966</v>
      </c>
      <c r="F1507" s="100"/>
      <c r="G1507" s="26"/>
      <c r="K1507" s="100"/>
      <c r="L1507" s="100">
        <f t="shared" si="247"/>
        <v>2.3155000000000001</v>
      </c>
      <c r="M1507" s="26" t="s">
        <v>18</v>
      </c>
      <c r="N1507" s="7">
        <f>ROUND($D1507*L1507/100,0)</f>
        <v>15773760</v>
      </c>
      <c r="O1507" s="207"/>
      <c r="P1507" s="59"/>
    </row>
    <row r="1508" spans="1:17" x14ac:dyDescent="0.25">
      <c r="A1508" s="19" t="s">
        <v>180</v>
      </c>
      <c r="C1508" s="6">
        <v>719518.00716332404</v>
      </c>
      <c r="D1508" s="6">
        <v>977218</v>
      </c>
      <c r="F1508" s="24">
        <v>13.96</v>
      </c>
      <c r="G1508" s="24"/>
      <c r="H1508" s="7">
        <f t="shared" si="246"/>
        <v>10044471</v>
      </c>
      <c r="I1508" s="7">
        <f t="shared" si="246"/>
        <v>13641963</v>
      </c>
      <c r="K1508" s="24"/>
      <c r="L1508" s="24"/>
      <c r="M1508" s="24"/>
      <c r="O1508" s="57"/>
      <c r="P1508" s="57"/>
    </row>
    <row r="1509" spans="1:17" x14ac:dyDescent="0.25">
      <c r="A1509" s="19" t="s">
        <v>181</v>
      </c>
      <c r="C1509" s="6">
        <v>1021748.628299894</v>
      </c>
      <c r="D1509" s="6">
        <v>1387694</v>
      </c>
      <c r="F1509" s="24">
        <v>9.4700000000000006</v>
      </c>
      <c r="G1509" s="24"/>
      <c r="H1509" s="7">
        <f t="shared" si="246"/>
        <v>9675960</v>
      </c>
      <c r="I1509" s="7">
        <f t="shared" si="246"/>
        <v>13141462</v>
      </c>
      <c r="K1509" s="24"/>
      <c r="L1509" s="24"/>
      <c r="M1509" s="24"/>
      <c r="O1509" s="57"/>
      <c r="P1509" s="57"/>
    </row>
    <row r="1510" spans="1:17" x14ac:dyDescent="0.25">
      <c r="A1510" s="19" t="s">
        <v>187</v>
      </c>
      <c r="C1510" s="6">
        <v>98444435</v>
      </c>
      <c r="D1510" s="6">
        <v>134412242.90915966</v>
      </c>
      <c r="F1510" s="99">
        <v>4.6531000000000002</v>
      </c>
      <c r="G1510" s="26" t="s">
        <v>18</v>
      </c>
      <c r="H1510" s="7">
        <f t="shared" ref="H1510:I1512" si="248">ROUND($F1510*C1510/100,0)</f>
        <v>4580718</v>
      </c>
      <c r="I1510" s="7">
        <f t="shared" si="248"/>
        <v>6254336</v>
      </c>
      <c r="K1510" s="99"/>
      <c r="L1510" s="99"/>
      <c r="M1510" s="26"/>
      <c r="O1510" s="206"/>
      <c r="P1510" s="59"/>
    </row>
    <row r="1511" spans="1:17" x14ac:dyDescent="0.25">
      <c r="A1511" s="19" t="s">
        <v>188</v>
      </c>
      <c r="C1511" s="6">
        <v>266530222</v>
      </c>
      <c r="D1511" s="6">
        <v>363910109</v>
      </c>
      <c r="F1511" s="99">
        <v>3.4988999999999999</v>
      </c>
      <c r="G1511" s="26" t="s">
        <v>18</v>
      </c>
      <c r="H1511" s="7">
        <f t="shared" si="248"/>
        <v>9325626</v>
      </c>
      <c r="I1511" s="7">
        <f t="shared" si="248"/>
        <v>12732851</v>
      </c>
      <c r="K1511" s="99"/>
      <c r="L1511" s="99"/>
      <c r="M1511" s="26"/>
      <c r="O1511" s="206"/>
      <c r="P1511" s="59"/>
    </row>
    <row r="1512" spans="1:17" x14ac:dyDescent="0.25">
      <c r="A1512" s="19" t="s">
        <v>41</v>
      </c>
      <c r="C1512" s="6">
        <v>596775501</v>
      </c>
      <c r="D1512" s="6">
        <v>814814305</v>
      </c>
      <c r="F1512" s="99">
        <v>2.9224999999999999</v>
      </c>
      <c r="G1512" s="26" t="s">
        <v>18</v>
      </c>
      <c r="H1512" s="7">
        <f t="shared" si="248"/>
        <v>17440764</v>
      </c>
      <c r="I1512" s="7">
        <f t="shared" si="248"/>
        <v>23812948</v>
      </c>
      <c r="K1512" s="99"/>
      <c r="L1512" s="99"/>
      <c r="M1512" s="26"/>
      <c r="O1512" s="206"/>
      <c r="P1512" s="59"/>
    </row>
    <row r="1513" spans="1:17" x14ac:dyDescent="0.25">
      <c r="A1513" s="19" t="s">
        <v>33</v>
      </c>
      <c r="C1513" s="36">
        <v>5102355</v>
      </c>
      <c r="D1513" s="36">
        <v>0</v>
      </c>
      <c r="H1513" s="37">
        <v>317097</v>
      </c>
      <c r="I1513" s="37">
        <v>0</v>
      </c>
      <c r="N1513" s="37">
        <f>N1532+N1551</f>
        <v>0</v>
      </c>
      <c r="Q1513" s="64"/>
    </row>
    <row r="1514" spans="1:17" x14ac:dyDescent="0.25">
      <c r="A1514" s="19" t="s">
        <v>34</v>
      </c>
      <c r="F1514" s="23">
        <v>-3.0700000000000002E-2</v>
      </c>
      <c r="G1514" s="24"/>
      <c r="H1514" s="7">
        <f>SUM(H1508:H1512)*$F1514</f>
        <v>-1567773.4473000001</v>
      </c>
      <c r="I1514" s="7">
        <f>SUM(I1508:I1512)*$F1514</f>
        <v>-2136215.2919999999</v>
      </c>
      <c r="K1514" s="93" t="str">
        <f>$K$43</f>
        <v>TAA 1 (1/1/2021)</v>
      </c>
      <c r="L1514" s="23">
        <f>$L$1493</f>
        <v>-2.4299999999999999E-2</v>
      </c>
      <c r="M1514" s="24"/>
      <c r="N1514" s="7">
        <f>L1514*SUM(N1502:N1507)</f>
        <v>-1689751.1412</v>
      </c>
      <c r="O1514" s="65"/>
      <c r="P1514" s="57"/>
    </row>
    <row r="1515" spans="1:17" x14ac:dyDescent="0.25">
      <c r="A1515" s="19"/>
      <c r="F1515" s="23"/>
      <c r="G1515" s="24"/>
      <c r="K1515" s="93" t="str">
        <f>$K$44</f>
        <v>TAA 2 (1/1/2022)</v>
      </c>
      <c r="L1515" s="23">
        <f>$L$1494</f>
        <v>-1.21E-2</v>
      </c>
      <c r="M1515" s="24"/>
      <c r="N1515" s="7">
        <f>L1515*SUM(N1502:N1507)</f>
        <v>-841398.71639999992</v>
      </c>
      <c r="O1515" s="65"/>
      <c r="P1515" s="57"/>
    </row>
    <row r="1516" spans="1:17" ht="16.5" thickBot="1" x14ac:dyDescent="0.3">
      <c r="A1516" s="19" t="s">
        <v>36</v>
      </c>
      <c r="C1516" s="101">
        <v>966852513</v>
      </c>
      <c r="D1516" s="101">
        <v>1313136656.9091597</v>
      </c>
      <c r="F1516" s="41"/>
      <c r="H1516" s="95">
        <f>SUM(H1500:H1514)</f>
        <v>54029397.552699998</v>
      </c>
      <c r="I1516" s="95">
        <f>SUM(I1500:I1514)</f>
        <v>73130935.708000004</v>
      </c>
      <c r="K1516" s="41"/>
      <c r="L1516" s="41"/>
      <c r="N1516" s="95">
        <f>SUM(N1500:N1513)</f>
        <v>75374285</v>
      </c>
      <c r="O1516" s="68"/>
      <c r="Q1516" s="208"/>
    </row>
    <row r="1517" spans="1:17" ht="16.5" thickTop="1" x14ac:dyDescent="0.25"/>
    <row r="1518" spans="1:17" x14ac:dyDescent="0.25">
      <c r="A1518" s="15" t="s">
        <v>190</v>
      </c>
    </row>
    <row r="1519" spans="1:17" x14ac:dyDescent="0.25">
      <c r="A1519" s="19" t="s">
        <v>68</v>
      </c>
      <c r="C1519" s="6">
        <v>1353.133204633205</v>
      </c>
      <c r="D1519" s="6">
        <v>1380</v>
      </c>
      <c r="F1519" s="24">
        <v>259</v>
      </c>
      <c r="G1519" s="24"/>
      <c r="H1519" s="7">
        <f t="shared" ref="H1519:I1528" si="249">ROUND($F1519*C1519,0)</f>
        <v>350462</v>
      </c>
      <c r="I1519" s="7">
        <f t="shared" si="249"/>
        <v>357420</v>
      </c>
      <c r="K1519" s="24"/>
      <c r="L1519" s="24">
        <f t="shared" ref="L1519:L1526" si="250">L1479</f>
        <v>266</v>
      </c>
      <c r="M1519" s="24"/>
      <c r="N1519" s="7">
        <f>ROUND($D1519*L1519,0)</f>
        <v>367080</v>
      </c>
      <c r="O1519" s="57"/>
      <c r="P1519" s="57"/>
    </row>
    <row r="1520" spans="1:17" x14ac:dyDescent="0.25">
      <c r="A1520" s="19" t="s">
        <v>81</v>
      </c>
      <c r="C1520" s="6">
        <v>6361741.5315315304</v>
      </c>
      <c r="D1520" s="6">
        <v>6289855</v>
      </c>
      <c r="F1520" s="24">
        <v>2.2200000000000002</v>
      </c>
      <c r="G1520" s="24"/>
      <c r="H1520" s="7">
        <f>ROUND($F1520*C1520,0)</f>
        <v>14123066</v>
      </c>
      <c r="I1520" s="7">
        <f>ROUND($F1520*D1520,0)</f>
        <v>13963478</v>
      </c>
      <c r="K1520" s="24"/>
      <c r="L1520" s="24">
        <f t="shared" si="250"/>
        <v>2.2799999999999998</v>
      </c>
      <c r="M1520" s="24"/>
      <c r="N1520" s="7">
        <f>ROUND($D1520*L1520,0)</f>
        <v>14340869</v>
      </c>
      <c r="O1520" s="57"/>
      <c r="P1520" s="57"/>
    </row>
    <row r="1521" spans="1:17" x14ac:dyDescent="0.25">
      <c r="A1521" s="19" t="s">
        <v>176</v>
      </c>
      <c r="C1521" s="6">
        <v>2088095.5914409345</v>
      </c>
      <c r="D1521" s="6">
        <v>2064500</v>
      </c>
      <c r="F1521" s="24"/>
      <c r="G1521" s="24"/>
      <c r="K1521" s="24"/>
      <c r="L1521" s="24">
        <f t="shared" si="250"/>
        <v>14.33</v>
      </c>
      <c r="M1521" s="24"/>
      <c r="N1521" s="7">
        <f>ROUND($D1521*L1521,0)</f>
        <v>29584285</v>
      </c>
      <c r="O1521" s="57"/>
      <c r="P1521" s="57"/>
    </row>
    <row r="1522" spans="1:17" x14ac:dyDescent="0.25">
      <c r="A1522" s="19" t="s">
        <v>177</v>
      </c>
      <c r="C1522" s="6">
        <v>4070065.2374367588</v>
      </c>
      <c r="D1522" s="6">
        <v>4024074</v>
      </c>
      <c r="F1522" s="24"/>
      <c r="G1522" s="24"/>
      <c r="K1522" s="24"/>
      <c r="L1522" s="24">
        <f t="shared" si="250"/>
        <v>12.68</v>
      </c>
      <c r="M1522" s="24"/>
      <c r="N1522" s="7">
        <f>ROUND($D1522*L1522,0)</f>
        <v>51025258</v>
      </c>
      <c r="O1522" s="57"/>
      <c r="P1522" s="57"/>
    </row>
    <row r="1523" spans="1:17" x14ac:dyDescent="0.25">
      <c r="A1523" s="19" t="s">
        <v>17</v>
      </c>
      <c r="C1523" s="6">
        <v>251156075.83274001</v>
      </c>
      <c r="D1523" s="6">
        <v>244292713</v>
      </c>
      <c r="F1523" s="100"/>
      <c r="G1523" s="26"/>
      <c r="K1523" s="100"/>
      <c r="L1523" s="100">
        <f t="shared" si="250"/>
        <v>5.1477000000000004</v>
      </c>
      <c r="M1523" s="26" t="s">
        <v>18</v>
      </c>
      <c r="N1523" s="7">
        <f>ROUND($D1523*L1523/100,0)</f>
        <v>12575456</v>
      </c>
      <c r="O1523" s="207"/>
      <c r="P1523" s="59"/>
    </row>
    <row r="1524" spans="1:17" x14ac:dyDescent="0.25">
      <c r="A1524" s="19" t="s">
        <v>178</v>
      </c>
      <c r="C1524" s="6">
        <v>484645935.36685777</v>
      </c>
      <c r="D1524" s="6">
        <v>471401975</v>
      </c>
      <c r="F1524" s="100"/>
      <c r="G1524" s="26"/>
      <c r="K1524" s="100"/>
      <c r="L1524" s="100">
        <f t="shared" si="250"/>
        <v>4.5555000000000003</v>
      </c>
      <c r="M1524" s="26" t="s">
        <v>18</v>
      </c>
      <c r="N1524" s="7">
        <f>ROUND($D1524*L1524/100,0)</f>
        <v>21474717</v>
      </c>
      <c r="O1524" s="207"/>
      <c r="P1524" s="59"/>
    </row>
    <row r="1525" spans="1:17" x14ac:dyDescent="0.25">
      <c r="A1525" s="19" t="s">
        <v>19</v>
      </c>
      <c r="C1525" s="6">
        <v>988185750.96910501</v>
      </c>
      <c r="D1525" s="6">
        <v>961181516</v>
      </c>
      <c r="F1525" s="100"/>
      <c r="G1525" s="26"/>
      <c r="K1525" s="100"/>
      <c r="L1525" s="100">
        <f t="shared" si="250"/>
        <v>2.6164999999999998</v>
      </c>
      <c r="M1525" s="26" t="s">
        <v>18</v>
      </c>
      <c r="N1525" s="7">
        <f>ROUND($D1525*L1525/100,0)</f>
        <v>25149314</v>
      </c>
      <c r="O1525" s="207"/>
      <c r="P1525" s="59"/>
    </row>
    <row r="1526" spans="1:17" x14ac:dyDescent="0.25">
      <c r="A1526" s="19" t="s">
        <v>179</v>
      </c>
      <c r="C1526" s="6">
        <v>1909500163.8312972</v>
      </c>
      <c r="D1526" s="6">
        <v>1857319093.3959675</v>
      </c>
      <c r="F1526" s="100"/>
      <c r="G1526" s="26"/>
      <c r="K1526" s="100"/>
      <c r="L1526" s="100">
        <f t="shared" si="250"/>
        <v>2.3155000000000001</v>
      </c>
      <c r="M1526" s="26" t="s">
        <v>18</v>
      </c>
      <c r="N1526" s="7">
        <f>ROUND($D1526*L1526/100,0)</f>
        <v>43006224</v>
      </c>
      <c r="O1526" s="207"/>
      <c r="P1526" s="59"/>
    </row>
    <row r="1527" spans="1:17" x14ac:dyDescent="0.25">
      <c r="A1527" s="19" t="s">
        <v>180</v>
      </c>
      <c r="C1527" s="6">
        <v>2573352.7063037273</v>
      </c>
      <c r="D1527" s="6">
        <v>2544274</v>
      </c>
      <c r="F1527" s="24">
        <v>13.96</v>
      </c>
      <c r="G1527" s="24"/>
      <c r="H1527" s="7">
        <f t="shared" si="249"/>
        <v>35924004</v>
      </c>
      <c r="I1527" s="7">
        <f t="shared" si="249"/>
        <v>35518065</v>
      </c>
      <c r="K1527" s="24"/>
      <c r="L1527" s="24"/>
      <c r="M1527" s="24"/>
      <c r="O1527" s="57"/>
      <c r="P1527" s="57"/>
    </row>
    <row r="1528" spans="1:17" x14ac:dyDescent="0.25">
      <c r="A1528" s="19" t="s">
        <v>181</v>
      </c>
      <c r="C1528" s="6">
        <v>3583007.7930306201</v>
      </c>
      <c r="D1528" s="6">
        <v>3542520</v>
      </c>
      <c r="F1528" s="24">
        <v>9.4700000000000006</v>
      </c>
      <c r="G1528" s="24"/>
      <c r="H1528" s="7">
        <f t="shared" si="249"/>
        <v>33931084</v>
      </c>
      <c r="I1528" s="7">
        <f t="shared" si="249"/>
        <v>33547664</v>
      </c>
      <c r="K1528" s="24"/>
      <c r="L1528" s="24"/>
      <c r="M1528" s="24"/>
      <c r="O1528" s="57"/>
      <c r="P1528" s="57"/>
    </row>
    <row r="1529" spans="1:17" x14ac:dyDescent="0.25">
      <c r="A1529" s="19" t="s">
        <v>187</v>
      </c>
      <c r="C1529" s="6">
        <v>363130507</v>
      </c>
      <c r="D1529" s="6">
        <v>353207209.39596748</v>
      </c>
      <c r="F1529" s="99">
        <v>4.6531000000000002</v>
      </c>
      <c r="G1529" s="26" t="s">
        <v>18</v>
      </c>
      <c r="H1529" s="7">
        <f t="shared" ref="H1529:I1531" si="251">ROUND($F1529*C1529/100,0)</f>
        <v>16896826</v>
      </c>
      <c r="I1529" s="7">
        <f t="shared" si="251"/>
        <v>16435085</v>
      </c>
      <c r="K1529" s="99"/>
      <c r="L1529" s="99"/>
      <c r="M1529" s="26"/>
      <c r="O1529" s="206"/>
      <c r="P1529" s="59"/>
    </row>
    <row r="1530" spans="1:17" x14ac:dyDescent="0.25">
      <c r="A1530" s="19" t="s">
        <v>188</v>
      </c>
      <c r="C1530" s="6">
        <v>970022045</v>
      </c>
      <c r="D1530" s="6">
        <v>943514171</v>
      </c>
      <c r="F1530" s="99">
        <v>3.4988999999999999</v>
      </c>
      <c r="G1530" s="26" t="s">
        <v>18</v>
      </c>
      <c r="H1530" s="7">
        <f t="shared" si="251"/>
        <v>33940101</v>
      </c>
      <c r="I1530" s="7">
        <f t="shared" si="251"/>
        <v>33012617</v>
      </c>
      <c r="K1530" s="99"/>
      <c r="L1530" s="99"/>
      <c r="M1530" s="26"/>
      <c r="O1530" s="206"/>
      <c r="P1530" s="59"/>
    </row>
    <row r="1531" spans="1:17" x14ac:dyDescent="0.25">
      <c r="A1531" s="19" t="s">
        <v>41</v>
      </c>
      <c r="C1531" s="6">
        <v>2300335374</v>
      </c>
      <c r="D1531" s="6">
        <v>2237473917</v>
      </c>
      <c r="F1531" s="99">
        <v>2.9224999999999999</v>
      </c>
      <c r="G1531" s="26" t="s">
        <v>18</v>
      </c>
      <c r="H1531" s="7">
        <f t="shared" si="251"/>
        <v>67227301</v>
      </c>
      <c r="I1531" s="7">
        <f t="shared" si="251"/>
        <v>65390175</v>
      </c>
      <c r="K1531" s="99"/>
      <c r="L1531" s="99"/>
      <c r="M1531" s="26"/>
      <c r="O1531" s="206"/>
      <c r="P1531" s="59"/>
    </row>
    <row r="1532" spans="1:17" x14ac:dyDescent="0.25">
      <c r="A1532" s="19" t="s">
        <v>33</v>
      </c>
      <c r="C1532" s="36">
        <v>-58900180</v>
      </c>
      <c r="D1532" s="36">
        <v>0</v>
      </c>
      <c r="H1532" s="37">
        <v>-2988512</v>
      </c>
      <c r="I1532" s="37">
        <v>0</v>
      </c>
      <c r="N1532" s="37">
        <f>N1551+N1570</f>
        <v>0</v>
      </c>
      <c r="Q1532" s="64"/>
    </row>
    <row r="1533" spans="1:17" x14ac:dyDescent="0.25">
      <c r="A1533" s="19" t="s">
        <v>34</v>
      </c>
      <c r="F1533" s="23">
        <v>-3.0700000000000002E-2</v>
      </c>
      <c r="G1533" s="24"/>
      <c r="H1533" s="7">
        <f>SUM(H1527:H1531)*$F1533</f>
        <v>-5769123.0012000008</v>
      </c>
      <c r="I1533" s="7">
        <f>SUM(I1527:I1531)*$F1533</f>
        <v>-5645840.7042000005</v>
      </c>
      <c r="K1533" s="93" t="str">
        <f>$K$43</f>
        <v>TAA 1 (1/1/2021)</v>
      </c>
      <c r="L1533" s="23">
        <f>$L$1493</f>
        <v>-2.4299999999999999E-2</v>
      </c>
      <c r="M1533" s="24"/>
      <c r="N1533" s="7">
        <f>L1533*SUM(N1521:N1526)</f>
        <v>-4442410.6721999999</v>
      </c>
      <c r="O1533" s="65"/>
      <c r="P1533" s="57"/>
    </row>
    <row r="1534" spans="1:17" x14ac:dyDescent="0.25">
      <c r="A1534" s="19"/>
      <c r="F1534" s="23"/>
      <c r="G1534" s="24"/>
      <c r="K1534" s="93" t="str">
        <f>$K$44</f>
        <v>TAA 2 (1/1/2022)</v>
      </c>
      <c r="L1534" s="23">
        <f>$L$1494</f>
        <v>-1.21E-2</v>
      </c>
      <c r="M1534" s="24"/>
      <c r="N1534" s="7">
        <f>L1534*SUM(N1521:N1526)</f>
        <v>-2212064.5734000001</v>
      </c>
      <c r="O1534" s="65"/>
      <c r="P1534" s="57"/>
    </row>
    <row r="1535" spans="1:17" ht="16.5" thickBot="1" x14ac:dyDescent="0.3">
      <c r="A1535" s="19" t="s">
        <v>36</v>
      </c>
      <c r="C1535" s="101">
        <v>3574587746</v>
      </c>
      <c r="D1535" s="101">
        <v>3534195297.3959675</v>
      </c>
      <c r="F1535" s="41"/>
      <c r="H1535" s="95">
        <f>SUM(H1519:H1533)</f>
        <v>193635208.99880001</v>
      </c>
      <c r="I1535" s="95">
        <f>SUM(I1519:I1533)</f>
        <v>192578663.2958</v>
      </c>
      <c r="K1535" s="41"/>
      <c r="L1535" s="41"/>
      <c r="N1535" s="95">
        <f>SUM(N1519:N1532)</f>
        <v>197523203</v>
      </c>
      <c r="O1535" s="68"/>
      <c r="Q1535" s="208"/>
    </row>
    <row r="1536" spans="1:17" ht="16.5" thickTop="1" x14ac:dyDescent="0.25"/>
    <row r="1537" spans="1:16" x14ac:dyDescent="0.25">
      <c r="A1537" s="15" t="s">
        <v>191</v>
      </c>
      <c r="F1537" s="100"/>
      <c r="G1537" s="100"/>
      <c r="K1537" s="100"/>
      <c r="L1537" s="100"/>
      <c r="M1537" s="100"/>
      <c r="O1537" s="207"/>
      <c r="P1537" s="207"/>
    </row>
    <row r="1538" spans="1:16" x14ac:dyDescent="0.25">
      <c r="A1538" s="19" t="s">
        <v>68</v>
      </c>
      <c r="C1538" s="6">
        <v>108</v>
      </c>
      <c r="D1538" s="6">
        <v>108</v>
      </c>
      <c r="F1538" s="20">
        <v>259</v>
      </c>
      <c r="G1538" s="20"/>
      <c r="H1538" s="7">
        <f>ROUND($F1538*C1538,0)</f>
        <v>27972</v>
      </c>
      <c r="I1538" s="7">
        <f>ROUND($F1538*D1538,0)</f>
        <v>27972</v>
      </c>
      <c r="K1538" s="20"/>
      <c r="L1538" s="20">
        <f>L1479</f>
        <v>266</v>
      </c>
      <c r="M1538" s="20"/>
      <c r="N1538" s="7">
        <f>ROUND($D1538*L1538,0)</f>
        <v>28728</v>
      </c>
      <c r="O1538" s="55"/>
      <c r="P1538" s="55"/>
    </row>
    <row r="1539" spans="1:16" x14ac:dyDescent="0.25">
      <c r="A1539" s="19" t="s">
        <v>192</v>
      </c>
      <c r="C1539" s="6">
        <v>234406</v>
      </c>
      <c r="D1539" s="6">
        <v>243087</v>
      </c>
      <c r="F1539" s="20">
        <v>2.2200000000000002</v>
      </c>
      <c r="G1539" s="20"/>
      <c r="H1539" s="7">
        <f>ROUND($F1539*C1539,0)</f>
        <v>520381</v>
      </c>
      <c r="I1539" s="7">
        <f>ROUND($F1539*D1539,0)</f>
        <v>539653</v>
      </c>
      <c r="K1539" s="20"/>
      <c r="L1539" s="20">
        <f>L1480</f>
        <v>2.2799999999999998</v>
      </c>
      <c r="M1539" s="20"/>
      <c r="N1539" s="7">
        <f>ROUND($D1539*L1539,0)</f>
        <v>554238</v>
      </c>
      <c r="O1539" s="55"/>
      <c r="P1539" s="55"/>
    </row>
    <row r="1540" spans="1:16" x14ac:dyDescent="0.25">
      <c r="A1540" s="19" t="s">
        <v>176</v>
      </c>
      <c r="C1540" s="6">
        <v>73367.066484446143</v>
      </c>
      <c r="D1540" s="6">
        <v>76062</v>
      </c>
      <c r="F1540" s="24"/>
      <c r="G1540" s="24"/>
      <c r="K1540" s="24"/>
      <c r="L1540" s="24">
        <v>4.7300000000000004</v>
      </c>
      <c r="M1540" s="24"/>
      <c r="N1540" s="7">
        <f>ROUND($D1540*L1540,0)</f>
        <v>359773</v>
      </c>
      <c r="O1540" s="57"/>
      <c r="P1540" s="57"/>
    </row>
    <row r="1541" spans="1:16" x14ac:dyDescent="0.25">
      <c r="A1541" s="19" t="s">
        <v>177</v>
      </c>
      <c r="C1541" s="6">
        <v>163562.19615631551</v>
      </c>
      <c r="D1541" s="6">
        <v>169650</v>
      </c>
      <c r="F1541" s="24"/>
      <c r="G1541" s="24"/>
      <c r="K1541" s="24"/>
      <c r="L1541" s="24">
        <v>4.18</v>
      </c>
      <c r="M1541" s="24"/>
      <c r="N1541" s="7">
        <f>ROUND($D1541*L1541,0)</f>
        <v>709137</v>
      </c>
      <c r="O1541" s="57"/>
      <c r="P1541" s="57"/>
    </row>
    <row r="1542" spans="1:16" x14ac:dyDescent="0.25">
      <c r="A1542" s="19" t="s">
        <v>17</v>
      </c>
      <c r="C1542" s="6">
        <v>6528826.7241609599</v>
      </c>
      <c r="D1542" s="6">
        <v>6818306</v>
      </c>
      <c r="F1542" s="100"/>
      <c r="G1542" s="26"/>
      <c r="K1542" s="100"/>
      <c r="L1542" s="100">
        <f>L1483</f>
        <v>5.1477000000000004</v>
      </c>
      <c r="M1542" s="26" t="s">
        <v>18</v>
      </c>
      <c r="N1542" s="7">
        <f>ROUND($D1542*L1542/100,0)</f>
        <v>350986</v>
      </c>
      <c r="O1542" s="207"/>
      <c r="P1542" s="59"/>
    </row>
    <row r="1543" spans="1:16" x14ac:dyDescent="0.25">
      <c r="A1543" s="19" t="s">
        <v>178</v>
      </c>
      <c r="C1543" s="6">
        <v>6832346.1464205012</v>
      </c>
      <c r="D1543" s="6">
        <v>7138084</v>
      </c>
      <c r="F1543" s="100"/>
      <c r="G1543" s="26"/>
      <c r="K1543" s="100"/>
      <c r="L1543" s="100">
        <f>L1484</f>
        <v>4.5555000000000003</v>
      </c>
      <c r="M1543" s="26" t="s">
        <v>18</v>
      </c>
      <c r="N1543" s="7">
        <f>ROUND($D1543*L1543/100,0)</f>
        <v>325175</v>
      </c>
      <c r="O1543" s="207"/>
      <c r="P1543" s="59"/>
    </row>
    <row r="1544" spans="1:16" x14ac:dyDescent="0.25">
      <c r="A1544" s="19" t="s">
        <v>19</v>
      </c>
      <c r="C1544" s="6">
        <v>5462224.7361181956</v>
      </c>
      <c r="D1544" s="6">
        <v>5708900</v>
      </c>
      <c r="F1544" s="100"/>
      <c r="G1544" s="26"/>
      <c r="K1544" s="100"/>
      <c r="L1544" s="100">
        <f>L1485</f>
        <v>2.6164999999999998</v>
      </c>
      <c r="M1544" s="26" t="s">
        <v>18</v>
      </c>
      <c r="N1544" s="7">
        <f>ROUND($D1544*L1544/100,0)</f>
        <v>149373</v>
      </c>
      <c r="O1544" s="207"/>
      <c r="P1544" s="59"/>
    </row>
    <row r="1545" spans="1:16" x14ac:dyDescent="0.25">
      <c r="A1545" s="19" t="s">
        <v>179</v>
      </c>
      <c r="C1545" s="6">
        <v>21717553.393300343</v>
      </c>
      <c r="D1545" s="6">
        <v>22274997.423445866</v>
      </c>
      <c r="F1545" s="100"/>
      <c r="G1545" s="26"/>
      <c r="K1545" s="100"/>
      <c r="L1545" s="100">
        <f>L1486</f>
        <v>2.3155000000000001</v>
      </c>
      <c r="M1545" s="26" t="s">
        <v>18</v>
      </c>
      <c r="N1545" s="7">
        <f>ROUND($D1545*L1545/100,0)</f>
        <v>515778</v>
      </c>
      <c r="O1545" s="207"/>
      <c r="P1545" s="59"/>
    </row>
    <row r="1546" spans="1:16" x14ac:dyDescent="0.25">
      <c r="A1546" s="19" t="s">
        <v>193</v>
      </c>
      <c r="C1546" s="6">
        <v>90417</v>
      </c>
      <c r="D1546" s="6">
        <v>0</v>
      </c>
      <c r="F1546" s="100"/>
      <c r="G1546" s="26"/>
      <c r="K1546" s="100"/>
      <c r="L1546" s="100"/>
      <c r="M1546" s="26"/>
      <c r="O1546" s="207"/>
      <c r="P1546" s="59"/>
    </row>
    <row r="1547" spans="1:16" x14ac:dyDescent="0.25">
      <c r="A1547" s="19" t="s">
        <v>194</v>
      </c>
      <c r="C1547" s="6">
        <v>143989</v>
      </c>
      <c r="D1547" s="6">
        <v>0</v>
      </c>
      <c r="F1547" s="100"/>
      <c r="G1547" s="26"/>
      <c r="K1547" s="100"/>
      <c r="L1547" s="100"/>
      <c r="M1547" s="26"/>
      <c r="O1547" s="207"/>
      <c r="P1547" s="59"/>
    </row>
    <row r="1548" spans="1:16" x14ac:dyDescent="0.25">
      <c r="A1548" s="19" t="s">
        <v>195</v>
      </c>
      <c r="C1548" s="6">
        <v>9439613</v>
      </c>
      <c r="D1548" s="6">
        <v>0</v>
      </c>
      <c r="F1548" s="100"/>
      <c r="G1548" s="26"/>
      <c r="K1548" s="100"/>
      <c r="L1548" s="100"/>
      <c r="M1548" s="26"/>
      <c r="O1548" s="207"/>
      <c r="P1548" s="59"/>
    </row>
    <row r="1549" spans="1:16" x14ac:dyDescent="0.25">
      <c r="A1549" s="19" t="s">
        <v>196</v>
      </c>
      <c r="C1549" s="6">
        <v>13674986</v>
      </c>
      <c r="D1549" s="6">
        <v>0</v>
      </c>
      <c r="F1549" s="100"/>
      <c r="G1549" s="26"/>
      <c r="K1549" s="100"/>
      <c r="L1549" s="100"/>
      <c r="M1549" s="26"/>
      <c r="O1549" s="207"/>
      <c r="P1549" s="59"/>
    </row>
    <row r="1550" spans="1:16" x14ac:dyDescent="0.25">
      <c r="A1550" s="19" t="s">
        <v>197</v>
      </c>
      <c r="C1550" s="6">
        <v>6528100</v>
      </c>
      <c r="D1550" s="6">
        <v>0</v>
      </c>
      <c r="F1550" s="100"/>
      <c r="G1550" s="26"/>
      <c r="K1550" s="100"/>
      <c r="L1550" s="100"/>
      <c r="M1550" s="26"/>
      <c r="O1550" s="207"/>
      <c r="P1550" s="59"/>
    </row>
    <row r="1551" spans="1:16" x14ac:dyDescent="0.25">
      <c r="A1551" s="19" t="s">
        <v>198</v>
      </c>
      <c r="C1551" s="6">
        <v>10898252</v>
      </c>
      <c r="D1551" s="6">
        <v>0</v>
      </c>
      <c r="F1551" s="100"/>
      <c r="G1551" s="26"/>
      <c r="K1551" s="100"/>
      <c r="L1551" s="100"/>
      <c r="M1551" s="26"/>
      <c r="O1551" s="207"/>
      <c r="P1551" s="59"/>
    </row>
    <row r="1552" spans="1:16" x14ac:dyDescent="0.25">
      <c r="A1552" s="19" t="s">
        <v>40</v>
      </c>
      <c r="C1552" s="6">
        <v>23114599</v>
      </c>
      <c r="D1552" s="6">
        <v>23854513</v>
      </c>
      <c r="F1552" s="25">
        <v>8.6029</v>
      </c>
      <c r="G1552" s="26" t="s">
        <v>18</v>
      </c>
      <c r="H1552" s="7">
        <f>ROUND($F1552*C1552/100,0)</f>
        <v>1988526</v>
      </c>
      <c r="I1552" s="7">
        <f>ROUND($F1552*D1552/100,0)</f>
        <v>2052180</v>
      </c>
      <c r="K1552" s="25"/>
      <c r="L1552" s="25"/>
      <c r="M1552" s="26"/>
      <c r="O1552" s="58"/>
      <c r="P1552" s="59"/>
    </row>
    <row r="1553" spans="1:17" x14ac:dyDescent="0.25">
      <c r="A1553" s="19" t="s">
        <v>41</v>
      </c>
      <c r="C1553" s="6">
        <v>17426352</v>
      </c>
      <c r="D1553" s="6">
        <v>18085775</v>
      </c>
      <c r="F1553" s="25">
        <v>3.6981000000000002</v>
      </c>
      <c r="G1553" s="26" t="s">
        <v>18</v>
      </c>
      <c r="H1553" s="7">
        <f>ROUND($F1553*C1553/100,0)</f>
        <v>644444</v>
      </c>
      <c r="I1553" s="7">
        <f>ROUND($F1553*D1553/100,0)</f>
        <v>668830</v>
      </c>
      <c r="K1553" s="25"/>
      <c r="L1553" s="25"/>
      <c r="M1553" s="26"/>
      <c r="O1553" s="58"/>
      <c r="P1553" s="59"/>
    </row>
    <row r="1554" spans="1:17" x14ac:dyDescent="0.25">
      <c r="A1554" s="19" t="s">
        <v>33</v>
      </c>
      <c r="C1554" s="36">
        <v>-164095</v>
      </c>
      <c r="D1554" s="36">
        <v>0</v>
      </c>
      <c r="H1554" s="37">
        <f>H1576+H1598</f>
        <v>-14979</v>
      </c>
      <c r="I1554" s="37">
        <f>I1576+I1598</f>
        <v>0</v>
      </c>
      <c r="N1554" s="37"/>
      <c r="Q1554" s="64"/>
    </row>
    <row r="1555" spans="1:17" x14ac:dyDescent="0.25">
      <c r="A1555" s="19" t="s">
        <v>34</v>
      </c>
      <c r="F1555" s="23">
        <v>-3.4099999999999998E-2</v>
      </c>
      <c r="G1555" s="24"/>
      <c r="H1555" s="7">
        <f>SUM(H1552:H1553)*$F1555</f>
        <v>-89784.277000000002</v>
      </c>
      <c r="I1555" s="7">
        <f>SUM(I1552:I1553)*$F1555</f>
        <v>-92786.440999999992</v>
      </c>
      <c r="K1555" s="93" t="str">
        <f>$K$43</f>
        <v>TAA 1 (1/1/2021)</v>
      </c>
      <c r="L1555" s="23">
        <v>-2.4299999999999999E-2</v>
      </c>
      <c r="M1555" s="24"/>
      <c r="N1555" s="7">
        <f>L1555*SUM(N1540:N1545)</f>
        <v>-58568.3946</v>
      </c>
      <c r="O1555" s="65"/>
      <c r="P1555" s="57"/>
    </row>
    <row r="1556" spans="1:17" x14ac:dyDescent="0.25">
      <c r="A1556" s="19"/>
      <c r="F1556" s="23"/>
      <c r="G1556" s="24"/>
      <c r="K1556" s="93" t="str">
        <f>$K$44</f>
        <v>TAA 2 (1/1/2022)</v>
      </c>
      <c r="L1556" s="23">
        <v>-1.21E-2</v>
      </c>
      <c r="M1556" s="24"/>
      <c r="N1556" s="7">
        <f>L1556*SUM(N1540:N1545)</f>
        <v>-29163.6862</v>
      </c>
      <c r="O1556" s="65"/>
      <c r="P1556" s="57"/>
    </row>
    <row r="1557" spans="1:17" ht="16.5" thickBot="1" x14ac:dyDescent="0.3">
      <c r="A1557" s="19" t="s">
        <v>36</v>
      </c>
      <c r="C1557" s="101">
        <v>40376856</v>
      </c>
      <c r="D1557" s="101">
        <v>41940288</v>
      </c>
      <c r="F1557" s="41"/>
      <c r="H1557" s="95">
        <f>SUM(H1538:H1555)</f>
        <v>3076559.7230000002</v>
      </c>
      <c r="I1557" s="95">
        <f>SUM(I1538:I1555)</f>
        <v>3195848.5589999999</v>
      </c>
      <c r="K1557" s="41"/>
      <c r="L1557" s="41"/>
      <c r="N1557" s="95">
        <f>SUM(N1538:N1545)</f>
        <v>2993188</v>
      </c>
      <c r="O1557" s="68"/>
      <c r="Q1557" s="208"/>
    </row>
    <row r="1558" spans="1:17" ht="16.5" thickTop="1" x14ac:dyDescent="0.25"/>
    <row r="1559" spans="1:17" x14ac:dyDescent="0.25">
      <c r="A1559" s="15" t="s">
        <v>199</v>
      </c>
      <c r="F1559" s="100"/>
      <c r="G1559" s="100"/>
      <c r="K1559" s="100"/>
      <c r="L1559" s="100"/>
      <c r="M1559" s="100"/>
      <c r="O1559" s="207"/>
      <c r="P1559" s="207"/>
    </row>
    <row r="1560" spans="1:17" x14ac:dyDescent="0.25">
      <c r="A1560" s="19" t="s">
        <v>68</v>
      </c>
      <c r="C1560" s="6">
        <v>24</v>
      </c>
      <c r="D1560" s="6">
        <v>24</v>
      </c>
      <c r="F1560" s="20">
        <v>259</v>
      </c>
      <c r="G1560" s="20"/>
      <c r="H1560" s="7">
        <f>ROUND($F1560*C1560,0)</f>
        <v>6216</v>
      </c>
      <c r="I1560" s="7">
        <f>ROUND($F1560*D1560,0)</f>
        <v>6216</v>
      </c>
      <c r="K1560" s="20"/>
      <c r="L1560" s="20">
        <f>L1538</f>
        <v>266</v>
      </c>
      <c r="M1560" s="20"/>
      <c r="N1560" s="7">
        <f>ROUND($D1560*L1560,0)</f>
        <v>6384</v>
      </c>
      <c r="O1560" s="55"/>
      <c r="P1560" s="55"/>
    </row>
    <row r="1561" spans="1:17" x14ac:dyDescent="0.25">
      <c r="A1561" s="19" t="s">
        <v>192</v>
      </c>
      <c r="C1561" s="6">
        <v>72449</v>
      </c>
      <c r="D1561" s="6">
        <v>75455</v>
      </c>
      <c r="F1561" s="20">
        <v>2.2200000000000002</v>
      </c>
      <c r="G1561" s="20"/>
      <c r="H1561" s="7">
        <f>ROUND($F1561*C1561,0)</f>
        <v>160837</v>
      </c>
      <c r="I1561" s="7">
        <f>ROUND($F1561*D1561,0)</f>
        <v>167510</v>
      </c>
      <c r="K1561" s="20"/>
      <c r="L1561" s="20">
        <f t="shared" ref="L1561:L1567" si="252">L1539</f>
        <v>2.2799999999999998</v>
      </c>
      <c r="M1561" s="20"/>
      <c r="N1561" s="7">
        <f>ROUND($D1561*L1561,0)</f>
        <v>172037</v>
      </c>
      <c r="O1561" s="55"/>
      <c r="P1561" s="55"/>
    </row>
    <row r="1562" spans="1:17" x14ac:dyDescent="0.25">
      <c r="A1562" s="19" t="s">
        <v>176</v>
      </c>
      <c r="C1562" s="6">
        <v>19256.85680578736</v>
      </c>
      <c r="D1562" s="6">
        <v>20056</v>
      </c>
      <c r="F1562" s="24"/>
      <c r="G1562" s="24"/>
      <c r="K1562" s="24"/>
      <c r="L1562" s="24">
        <f t="shared" si="252"/>
        <v>4.7300000000000004</v>
      </c>
      <c r="M1562" s="24"/>
      <c r="N1562" s="7">
        <f>ROUND($D1562*L1562,0)</f>
        <v>94865</v>
      </c>
      <c r="O1562" s="57"/>
      <c r="P1562" s="57"/>
    </row>
    <row r="1563" spans="1:17" x14ac:dyDescent="0.25">
      <c r="A1563" s="19" t="s">
        <v>177</v>
      </c>
      <c r="C1563" s="6">
        <v>55339.362799569572</v>
      </c>
      <c r="D1563" s="6">
        <v>57635</v>
      </c>
      <c r="F1563" s="24"/>
      <c r="G1563" s="24"/>
      <c r="K1563" s="24"/>
      <c r="L1563" s="24">
        <f t="shared" si="252"/>
        <v>4.18</v>
      </c>
      <c r="M1563" s="24"/>
      <c r="N1563" s="7">
        <f>ROUND($D1563*L1563,0)</f>
        <v>240914</v>
      </c>
      <c r="O1563" s="57"/>
      <c r="P1563" s="57"/>
    </row>
    <row r="1564" spans="1:17" x14ac:dyDescent="0.25">
      <c r="A1564" s="19" t="s">
        <v>17</v>
      </c>
      <c r="C1564" s="6">
        <v>2782302.3349684644</v>
      </c>
      <c r="D1564" s="6">
        <v>2913115</v>
      </c>
      <c r="F1564" s="100"/>
      <c r="G1564" s="26"/>
      <c r="K1564" s="100"/>
      <c r="L1564" s="100">
        <f t="shared" si="252"/>
        <v>5.1477000000000004</v>
      </c>
      <c r="M1564" s="26" t="s">
        <v>18</v>
      </c>
      <c r="N1564" s="7">
        <f>ROUND($D1564*L1564/100,0)</f>
        <v>149958</v>
      </c>
      <c r="O1564" s="207"/>
      <c r="P1564" s="59"/>
    </row>
    <row r="1565" spans="1:17" x14ac:dyDescent="0.25">
      <c r="A1565" s="19" t="s">
        <v>178</v>
      </c>
      <c r="C1565" s="6">
        <v>3512037.3579818872</v>
      </c>
      <c r="D1565" s="6">
        <v>3677159</v>
      </c>
      <c r="F1565" s="100"/>
      <c r="G1565" s="26"/>
      <c r="K1565" s="100"/>
      <c r="L1565" s="100">
        <f t="shared" si="252"/>
        <v>4.5555000000000003</v>
      </c>
      <c r="M1565" s="26" t="s">
        <v>18</v>
      </c>
      <c r="N1565" s="7">
        <f>ROUND($D1565*L1565/100,0)</f>
        <v>167513</v>
      </c>
      <c r="O1565" s="207"/>
      <c r="P1565" s="59"/>
    </row>
    <row r="1566" spans="1:17" x14ac:dyDescent="0.25">
      <c r="A1566" s="19" t="s">
        <v>19</v>
      </c>
      <c r="C1566" s="6">
        <v>3289467.3547564573</v>
      </c>
      <c r="D1566" s="6">
        <v>3444125</v>
      </c>
      <c r="F1566" s="100"/>
      <c r="G1566" s="26"/>
      <c r="K1566" s="100"/>
      <c r="L1566" s="100">
        <f t="shared" si="252"/>
        <v>2.6164999999999998</v>
      </c>
      <c r="M1566" s="26" t="s">
        <v>18</v>
      </c>
      <c r="N1566" s="7">
        <f>ROUND($D1566*L1566/100,0)</f>
        <v>90116</v>
      </c>
      <c r="O1566" s="207"/>
      <c r="P1566" s="59"/>
    </row>
    <row r="1567" spans="1:17" x14ac:dyDescent="0.25">
      <c r="A1567" s="19" t="s">
        <v>179</v>
      </c>
      <c r="C1567" s="6">
        <v>13333883.952293191</v>
      </c>
      <c r="D1567" s="6">
        <v>13960788.423445866</v>
      </c>
      <c r="F1567" s="100"/>
      <c r="G1567" s="26"/>
      <c r="K1567" s="100"/>
      <c r="L1567" s="100">
        <f t="shared" si="252"/>
        <v>2.3155000000000001</v>
      </c>
      <c r="M1567" s="26" t="s">
        <v>18</v>
      </c>
      <c r="N1567" s="7">
        <f>ROUND($D1567*L1567/100,0)</f>
        <v>323262</v>
      </c>
      <c r="O1567" s="207"/>
      <c r="P1567" s="59"/>
    </row>
    <row r="1568" spans="1:17" x14ac:dyDescent="0.25">
      <c r="A1568" s="19" t="s">
        <v>193</v>
      </c>
      <c r="C1568" s="6">
        <v>23732</v>
      </c>
      <c r="F1568" s="100"/>
      <c r="G1568" s="26"/>
      <c r="K1568" s="100"/>
      <c r="L1568" s="100"/>
      <c r="M1568" s="26"/>
      <c r="O1568" s="207"/>
      <c r="P1568" s="59"/>
    </row>
    <row r="1569" spans="1:17" x14ac:dyDescent="0.25">
      <c r="A1569" s="19" t="s">
        <v>194</v>
      </c>
      <c r="C1569" s="6">
        <v>48717</v>
      </c>
      <c r="F1569" s="100"/>
      <c r="G1569" s="26"/>
      <c r="K1569" s="100"/>
      <c r="L1569" s="100"/>
      <c r="M1569" s="26"/>
      <c r="O1569" s="207"/>
      <c r="P1569" s="59"/>
    </row>
    <row r="1570" spans="1:17" x14ac:dyDescent="0.25">
      <c r="A1570" s="19" t="s">
        <v>195</v>
      </c>
      <c r="C1570" s="6">
        <v>4022753</v>
      </c>
      <c r="F1570" s="100"/>
      <c r="G1570" s="26"/>
      <c r="K1570" s="100"/>
      <c r="L1570" s="100"/>
      <c r="M1570" s="26"/>
      <c r="O1570" s="207"/>
      <c r="P1570" s="59"/>
    </row>
    <row r="1571" spans="1:17" x14ac:dyDescent="0.25">
      <c r="A1571" s="19" t="s">
        <v>196</v>
      </c>
      <c r="C1571" s="6">
        <v>7029366</v>
      </c>
      <c r="F1571" s="100"/>
      <c r="G1571" s="26"/>
      <c r="K1571" s="100"/>
      <c r="L1571" s="100"/>
      <c r="M1571" s="26"/>
      <c r="O1571" s="207"/>
      <c r="P1571" s="59"/>
    </row>
    <row r="1572" spans="1:17" x14ac:dyDescent="0.25">
      <c r="A1572" s="19" t="s">
        <v>197</v>
      </c>
      <c r="C1572" s="6">
        <v>3931360</v>
      </c>
      <c r="F1572" s="100"/>
      <c r="G1572" s="26"/>
      <c r="K1572" s="100"/>
      <c r="L1572" s="100"/>
      <c r="M1572" s="26"/>
      <c r="O1572" s="207"/>
      <c r="P1572" s="59"/>
    </row>
    <row r="1573" spans="1:17" x14ac:dyDescent="0.25">
      <c r="A1573" s="19" t="s">
        <v>198</v>
      </c>
      <c r="C1573" s="6">
        <v>7934212</v>
      </c>
      <c r="F1573" s="100"/>
      <c r="G1573" s="26"/>
      <c r="K1573" s="100"/>
      <c r="L1573" s="100"/>
      <c r="M1573" s="26"/>
      <c r="O1573" s="207"/>
      <c r="P1573" s="59"/>
    </row>
    <row r="1574" spans="1:17" x14ac:dyDescent="0.25">
      <c r="A1574" s="19" t="s">
        <v>40</v>
      </c>
      <c r="C1574" s="6">
        <v>11052119</v>
      </c>
      <c r="D1574" s="6">
        <v>11571745</v>
      </c>
      <c r="F1574" s="25">
        <v>8.6029</v>
      </c>
      <c r="G1574" s="26" t="s">
        <v>18</v>
      </c>
      <c r="H1574" s="7">
        <f>ROUND($F1574*C1574/100,0)</f>
        <v>950803</v>
      </c>
      <c r="I1574" s="7">
        <f>ROUND($F1574*D1574/100,0)</f>
        <v>995506</v>
      </c>
      <c r="K1574" s="25"/>
      <c r="L1574" s="25"/>
      <c r="M1574" s="26"/>
      <c r="O1574" s="58"/>
      <c r="P1574" s="59"/>
    </row>
    <row r="1575" spans="1:17" x14ac:dyDescent="0.25">
      <c r="A1575" s="19" t="s">
        <v>41</v>
      </c>
      <c r="C1575" s="6">
        <v>11865572</v>
      </c>
      <c r="D1575" s="6">
        <v>12423443</v>
      </c>
      <c r="F1575" s="25">
        <v>3.6981000000000002</v>
      </c>
      <c r="G1575" s="26" t="s">
        <v>18</v>
      </c>
      <c r="H1575" s="7">
        <f>ROUND($F1575*C1575/100,0)</f>
        <v>438801</v>
      </c>
      <c r="I1575" s="7">
        <f>ROUND($F1575*D1575/100,0)</f>
        <v>459431</v>
      </c>
      <c r="K1575" s="25"/>
      <c r="L1575" s="25"/>
      <c r="M1575" s="26"/>
      <c r="O1575" s="58"/>
      <c r="P1575" s="59"/>
    </row>
    <row r="1576" spans="1:17" x14ac:dyDescent="0.25">
      <c r="A1576" s="19" t="s">
        <v>33</v>
      </c>
      <c r="C1576" s="36">
        <v>121585</v>
      </c>
      <c r="D1576" s="36">
        <v>0</v>
      </c>
      <c r="H1576" s="37">
        <v>8886</v>
      </c>
      <c r="I1576" s="37">
        <v>0</v>
      </c>
      <c r="N1576" s="37"/>
      <c r="Q1576" s="64"/>
    </row>
    <row r="1577" spans="1:17" x14ac:dyDescent="0.25">
      <c r="A1577" s="19" t="s">
        <v>34</v>
      </c>
      <c r="F1577" s="23">
        <v>-3.4099999999999998E-2</v>
      </c>
      <c r="G1577" s="24"/>
      <c r="H1577" s="7">
        <f>SUM(H1574:H1575)*$F1577</f>
        <v>-47385.496399999996</v>
      </c>
      <c r="I1577" s="7">
        <f>SUM(I1574:I1575)*$F1577</f>
        <v>-49613.351699999999</v>
      </c>
      <c r="K1577" s="93" t="str">
        <f>$K$43</f>
        <v>TAA 1 (1/1/2021)</v>
      </c>
      <c r="L1577" s="23">
        <f>$L$1555</f>
        <v>-2.4299999999999999E-2</v>
      </c>
      <c r="M1577" s="24"/>
      <c r="N1577" s="7">
        <f>L1577*SUM(N1562:N1567)</f>
        <v>-25919.060399999998</v>
      </c>
      <c r="O1577" s="65"/>
      <c r="P1577" s="57"/>
    </row>
    <row r="1578" spans="1:17" x14ac:dyDescent="0.25">
      <c r="A1578" s="19"/>
      <c r="F1578" s="23"/>
      <c r="G1578" s="24"/>
      <c r="K1578" s="93" t="str">
        <f>$K$44</f>
        <v>TAA 2 (1/1/2022)</v>
      </c>
      <c r="L1578" s="23">
        <f>$L$1556</f>
        <v>-1.21E-2</v>
      </c>
      <c r="M1578" s="24"/>
      <c r="N1578" s="7">
        <f>L1578*SUM(N1562:N1567)</f>
        <v>-12906.1988</v>
      </c>
      <c r="O1578" s="65"/>
      <c r="P1578" s="57"/>
    </row>
    <row r="1579" spans="1:17" ht="16.5" thickBot="1" x14ac:dyDescent="0.3">
      <c r="A1579" s="19" t="s">
        <v>36</v>
      </c>
      <c r="C1579" s="101">
        <v>23039276</v>
      </c>
      <c r="D1579" s="101">
        <v>23995187.423445866</v>
      </c>
      <c r="F1579" s="41"/>
      <c r="H1579" s="95">
        <f>SUM(H1560:H1577)</f>
        <v>1518157.5035999999</v>
      </c>
      <c r="I1579" s="95">
        <f>SUM(I1560:I1577)</f>
        <v>1579049.6483</v>
      </c>
      <c r="K1579" s="41"/>
      <c r="L1579" s="41"/>
      <c r="N1579" s="95">
        <f>SUM(N1560:N1567)</f>
        <v>1245049</v>
      </c>
      <c r="O1579" s="68"/>
      <c r="Q1579" s="208"/>
    </row>
    <row r="1580" spans="1:17" ht="16.5" thickTop="1" x14ac:dyDescent="0.25"/>
    <row r="1581" spans="1:17" x14ac:dyDescent="0.25">
      <c r="A1581" s="15" t="s">
        <v>200</v>
      </c>
      <c r="F1581" s="100"/>
      <c r="G1581" s="100"/>
      <c r="K1581" s="100"/>
      <c r="L1581" s="100"/>
      <c r="M1581" s="100"/>
      <c r="O1581" s="207"/>
      <c r="P1581" s="207"/>
    </row>
    <row r="1582" spans="1:17" x14ac:dyDescent="0.25">
      <c r="A1582" s="19" t="s">
        <v>68</v>
      </c>
      <c r="C1582" s="6">
        <v>84</v>
      </c>
      <c r="D1582" s="6">
        <v>84</v>
      </c>
      <c r="F1582" s="24">
        <v>259</v>
      </c>
      <c r="G1582" s="24"/>
      <c r="H1582" s="7">
        <f>ROUND($F1582*C1582,0)</f>
        <v>21756</v>
      </c>
      <c r="I1582" s="7">
        <f>ROUND($F1582*D1582,0)</f>
        <v>21756</v>
      </c>
      <c r="K1582" s="24"/>
      <c r="L1582" s="24">
        <f>L1538</f>
        <v>266</v>
      </c>
      <c r="M1582" s="24"/>
      <c r="N1582" s="7">
        <f>ROUND($D1582*L1582,0)</f>
        <v>22344</v>
      </c>
      <c r="O1582" s="57"/>
      <c r="P1582" s="57"/>
    </row>
    <row r="1583" spans="1:17" x14ac:dyDescent="0.25">
      <c r="A1583" s="19" t="s">
        <v>192</v>
      </c>
      <c r="C1583" s="6">
        <v>161957</v>
      </c>
      <c r="D1583" s="6">
        <v>167632</v>
      </c>
      <c r="F1583" s="24">
        <v>2.2200000000000002</v>
      </c>
      <c r="G1583" s="24"/>
      <c r="H1583" s="7">
        <f>ROUND($F1583*C1583,0)</f>
        <v>359545</v>
      </c>
      <c r="I1583" s="7">
        <f>ROUND($F1583*D1583,0)</f>
        <v>372143</v>
      </c>
      <c r="K1583" s="24"/>
      <c r="L1583" s="24">
        <f t="shared" ref="L1583:L1589" si="253">L1539</f>
        <v>2.2799999999999998</v>
      </c>
      <c r="M1583" s="24"/>
      <c r="N1583" s="7">
        <f>ROUND($D1583*L1583,0)</f>
        <v>382201</v>
      </c>
      <c r="O1583" s="57"/>
      <c r="P1583" s="57"/>
    </row>
    <row r="1584" spans="1:17" x14ac:dyDescent="0.25">
      <c r="A1584" s="19" t="s">
        <v>176</v>
      </c>
      <c r="C1584" s="6">
        <v>54110.209678658779</v>
      </c>
      <c r="D1584" s="6">
        <v>56006</v>
      </c>
      <c r="F1584" s="24"/>
      <c r="G1584" s="24"/>
      <c r="K1584" s="24"/>
      <c r="L1584" s="24">
        <f t="shared" si="253"/>
        <v>4.7300000000000004</v>
      </c>
      <c r="M1584" s="24"/>
      <c r="N1584" s="7">
        <f>ROUND($D1584*L1584,0)</f>
        <v>264908</v>
      </c>
      <c r="O1584" s="57"/>
      <c r="P1584" s="57"/>
    </row>
    <row r="1585" spans="1:17" x14ac:dyDescent="0.25">
      <c r="A1585" s="19" t="s">
        <v>177</v>
      </c>
      <c r="C1585" s="6">
        <v>108222.83335674595</v>
      </c>
      <c r="D1585" s="6">
        <v>112015</v>
      </c>
      <c r="F1585" s="24"/>
      <c r="G1585" s="24"/>
      <c r="K1585" s="24"/>
      <c r="L1585" s="24">
        <f t="shared" si="253"/>
        <v>4.18</v>
      </c>
      <c r="M1585" s="24"/>
      <c r="N1585" s="7">
        <f>ROUND($D1585*L1585,0)</f>
        <v>468223</v>
      </c>
      <c r="O1585" s="57"/>
      <c r="P1585" s="57"/>
    </row>
    <row r="1586" spans="1:17" x14ac:dyDescent="0.25">
      <c r="A1586" s="19" t="s">
        <v>17</v>
      </c>
      <c r="C1586" s="6">
        <v>3746524.389192495</v>
      </c>
      <c r="D1586" s="6">
        <v>3905191</v>
      </c>
      <c r="F1586" s="100"/>
      <c r="G1586" s="26"/>
      <c r="K1586" s="100"/>
      <c r="L1586" s="100">
        <f t="shared" si="253"/>
        <v>5.1477000000000004</v>
      </c>
      <c r="M1586" s="26" t="s">
        <v>18</v>
      </c>
      <c r="N1586" s="7">
        <f>ROUND($D1586*L1586/100,0)</f>
        <v>201028</v>
      </c>
      <c r="O1586" s="207"/>
      <c r="P1586" s="59"/>
    </row>
    <row r="1587" spans="1:17" x14ac:dyDescent="0.25">
      <c r="A1587" s="19" t="s">
        <v>178</v>
      </c>
      <c r="C1587" s="6">
        <v>3320308.7884386145</v>
      </c>
      <c r="D1587" s="6">
        <v>3460925</v>
      </c>
      <c r="F1587" s="100"/>
      <c r="G1587" s="26"/>
      <c r="K1587" s="100"/>
      <c r="L1587" s="100">
        <f t="shared" si="253"/>
        <v>4.5555000000000003</v>
      </c>
      <c r="M1587" s="26" t="s">
        <v>18</v>
      </c>
      <c r="N1587" s="7">
        <f>ROUND($D1587*L1587/100,0)</f>
        <v>157662</v>
      </c>
      <c r="O1587" s="207"/>
      <c r="P1587" s="59"/>
    </row>
    <row r="1588" spans="1:17" x14ac:dyDescent="0.25">
      <c r="A1588" s="19" t="s">
        <v>19</v>
      </c>
      <c r="C1588" s="6">
        <v>2172757.3813617383</v>
      </c>
      <c r="D1588" s="6">
        <v>2264775</v>
      </c>
      <c r="F1588" s="100"/>
      <c r="G1588" s="26"/>
      <c r="K1588" s="100"/>
      <c r="L1588" s="100">
        <f t="shared" si="253"/>
        <v>2.6164999999999998</v>
      </c>
      <c r="M1588" s="26" t="s">
        <v>18</v>
      </c>
      <c r="N1588" s="7">
        <f>ROUND($D1588*L1588/100,0)</f>
        <v>59258</v>
      </c>
      <c r="O1588" s="207"/>
      <c r="P1588" s="59"/>
    </row>
    <row r="1589" spans="1:17" x14ac:dyDescent="0.25">
      <c r="A1589" s="19" t="s">
        <v>179</v>
      </c>
      <c r="C1589" s="6">
        <v>8383669.4410071522</v>
      </c>
      <c r="D1589" s="6">
        <v>8314209</v>
      </c>
      <c r="F1589" s="100"/>
      <c r="G1589" s="26"/>
      <c r="K1589" s="100"/>
      <c r="L1589" s="100">
        <f t="shared" si="253"/>
        <v>2.3155000000000001</v>
      </c>
      <c r="M1589" s="26" t="s">
        <v>18</v>
      </c>
      <c r="N1589" s="7">
        <f>ROUND($D1589*L1589/100,0)</f>
        <v>192516</v>
      </c>
      <c r="O1589" s="207"/>
      <c r="P1589" s="59"/>
    </row>
    <row r="1590" spans="1:17" x14ac:dyDescent="0.25">
      <c r="A1590" s="19" t="s">
        <v>193</v>
      </c>
      <c r="C1590" s="6">
        <v>66685</v>
      </c>
      <c r="F1590" s="100"/>
      <c r="G1590" s="26"/>
      <c r="K1590" s="100"/>
      <c r="L1590" s="100"/>
      <c r="M1590" s="26"/>
      <c r="O1590" s="207"/>
      <c r="P1590" s="59"/>
    </row>
    <row r="1591" spans="1:17" x14ac:dyDescent="0.25">
      <c r="A1591" s="19" t="s">
        <v>194</v>
      </c>
      <c r="C1591" s="6">
        <v>95272</v>
      </c>
      <c r="F1591" s="100"/>
      <c r="G1591" s="26"/>
      <c r="K1591" s="100"/>
      <c r="L1591" s="100"/>
      <c r="M1591" s="26"/>
      <c r="O1591" s="207"/>
      <c r="P1591" s="59"/>
    </row>
    <row r="1592" spans="1:17" x14ac:dyDescent="0.25">
      <c r="A1592" s="19" t="s">
        <v>195</v>
      </c>
      <c r="C1592" s="6">
        <v>5416860</v>
      </c>
      <c r="F1592" s="100"/>
      <c r="G1592" s="26"/>
      <c r="K1592" s="100"/>
      <c r="L1592" s="100"/>
      <c r="M1592" s="26"/>
      <c r="O1592" s="207"/>
      <c r="P1592" s="59"/>
    </row>
    <row r="1593" spans="1:17" x14ac:dyDescent="0.25">
      <c r="A1593" s="19" t="s">
        <v>196</v>
      </c>
      <c r="C1593" s="6">
        <v>6645620</v>
      </c>
      <c r="F1593" s="100"/>
      <c r="G1593" s="26"/>
      <c r="K1593" s="100"/>
      <c r="L1593" s="100"/>
      <c r="M1593" s="26"/>
      <c r="O1593" s="207"/>
      <c r="P1593" s="59"/>
    </row>
    <row r="1594" spans="1:17" x14ac:dyDescent="0.25">
      <c r="A1594" s="19" t="s">
        <v>197</v>
      </c>
      <c r="C1594" s="6">
        <v>2596740</v>
      </c>
      <c r="F1594" s="100"/>
      <c r="G1594" s="26"/>
      <c r="K1594" s="100"/>
      <c r="L1594" s="100"/>
      <c r="M1594" s="26"/>
      <c r="O1594" s="207"/>
      <c r="P1594" s="59"/>
    </row>
    <row r="1595" spans="1:17" x14ac:dyDescent="0.25">
      <c r="A1595" s="19" t="s">
        <v>198</v>
      </c>
      <c r="C1595" s="6">
        <v>2964040</v>
      </c>
      <c r="F1595" s="100"/>
      <c r="G1595" s="26"/>
      <c r="K1595" s="100"/>
      <c r="L1595" s="100"/>
      <c r="M1595" s="26"/>
      <c r="O1595" s="207"/>
      <c r="P1595" s="59"/>
    </row>
    <row r="1596" spans="1:17" x14ac:dyDescent="0.25">
      <c r="A1596" s="19" t="s">
        <v>40</v>
      </c>
      <c r="C1596" s="6">
        <v>12062480</v>
      </c>
      <c r="D1596" s="6">
        <v>12282768</v>
      </c>
      <c r="F1596" s="99">
        <v>8.6029</v>
      </c>
      <c r="G1596" s="26" t="s">
        <v>18</v>
      </c>
      <c r="H1596" s="7">
        <f>ROUND($F1596*C1596/100,0)</f>
        <v>1037723</v>
      </c>
      <c r="I1596" s="7">
        <f>ROUND($F1596*D1596/100,0)</f>
        <v>1056674</v>
      </c>
      <c r="K1596" s="25"/>
      <c r="L1596" s="25"/>
      <c r="M1596" s="26"/>
      <c r="O1596" s="58"/>
      <c r="P1596" s="59"/>
    </row>
    <row r="1597" spans="1:17" x14ac:dyDescent="0.25">
      <c r="A1597" s="19" t="s">
        <v>41</v>
      </c>
      <c r="C1597" s="6">
        <v>5560780</v>
      </c>
      <c r="D1597" s="6">
        <v>5662332</v>
      </c>
      <c r="F1597" s="99">
        <v>3.6981000000000002</v>
      </c>
      <c r="G1597" s="26" t="s">
        <v>18</v>
      </c>
      <c r="H1597" s="7">
        <f>ROUND($F1597*C1597/100,0)</f>
        <v>205643</v>
      </c>
      <c r="I1597" s="7">
        <f>ROUND($F1597*D1597/100,0)</f>
        <v>209399</v>
      </c>
      <c r="K1597" s="25"/>
      <c r="L1597" s="25"/>
      <c r="M1597" s="26"/>
      <c r="O1597" s="58"/>
      <c r="P1597" s="59"/>
    </row>
    <row r="1598" spans="1:17" x14ac:dyDescent="0.25">
      <c r="A1598" s="19" t="s">
        <v>33</v>
      </c>
      <c r="C1598" s="36">
        <v>-285680</v>
      </c>
      <c r="D1598" s="36">
        <v>0</v>
      </c>
      <c r="H1598" s="37">
        <v>-23865</v>
      </c>
      <c r="I1598" s="37">
        <v>0</v>
      </c>
      <c r="N1598" s="37"/>
      <c r="Q1598" s="64"/>
    </row>
    <row r="1599" spans="1:17" x14ac:dyDescent="0.25">
      <c r="A1599" s="19" t="s">
        <v>34</v>
      </c>
      <c r="F1599" s="23">
        <v>-3.4099999999999998E-2</v>
      </c>
      <c r="G1599" s="24"/>
      <c r="H1599" s="7">
        <f>SUM(H1596:H1597)*$F1599</f>
        <v>-42398.780599999998</v>
      </c>
      <c r="I1599" s="7">
        <f>SUM(I1596:I1597)*$F1599</f>
        <v>-43173.0893</v>
      </c>
      <c r="K1599" s="93" t="str">
        <f>$K$43</f>
        <v>TAA 1 (1/1/2021)</v>
      </c>
      <c r="L1599" s="23">
        <f>$L$1555</f>
        <v>-2.4299999999999999E-2</v>
      </c>
      <c r="M1599" s="24"/>
      <c r="N1599" s="7">
        <f>L1599*SUM(N1584:N1589)</f>
        <v>-32649.358499999998</v>
      </c>
      <c r="O1599" s="65"/>
      <c r="P1599" s="57"/>
    </row>
    <row r="1600" spans="1:17" x14ac:dyDescent="0.25">
      <c r="A1600" s="19"/>
      <c r="F1600" s="23"/>
      <c r="G1600" s="24"/>
      <c r="K1600" s="93" t="str">
        <f>$K$44</f>
        <v>TAA 2 (1/1/2022)</v>
      </c>
      <c r="L1600" s="23">
        <f>$L$1556</f>
        <v>-1.21E-2</v>
      </c>
      <c r="M1600" s="24"/>
      <c r="N1600" s="7">
        <f>L1600*SUM(N1584:N1589)</f>
        <v>-16257.4995</v>
      </c>
      <c r="O1600" s="65"/>
      <c r="P1600" s="57"/>
    </row>
    <row r="1601" spans="1:17" ht="16.5" thickBot="1" x14ac:dyDescent="0.3">
      <c r="A1601" s="19" t="s">
        <v>36</v>
      </c>
      <c r="C1601" s="101">
        <v>17337580</v>
      </c>
      <c r="D1601" s="101">
        <v>17945100</v>
      </c>
      <c r="F1601" s="41"/>
      <c r="H1601" s="95">
        <f>SUM(H1582:H1599)</f>
        <v>1558403.2194000001</v>
      </c>
      <c r="I1601" s="95">
        <f>SUM(I1582:I1599)</f>
        <v>1616798.9106999999</v>
      </c>
      <c r="K1601" s="41"/>
      <c r="L1601" s="41"/>
      <c r="N1601" s="95">
        <f>SUM(N1582:N1589)</f>
        <v>1748140</v>
      </c>
      <c r="O1601" s="68"/>
      <c r="Q1601" s="208"/>
    </row>
    <row r="1602" spans="1:17" ht="16.5" thickTop="1" x14ac:dyDescent="0.25"/>
    <row r="1603" spans="1:17" x14ac:dyDescent="0.25">
      <c r="A1603" s="15" t="s">
        <v>201</v>
      </c>
    </row>
    <row r="1604" spans="1:17" x14ac:dyDescent="0.25">
      <c r="A1604" s="19" t="s">
        <v>202</v>
      </c>
      <c r="C1604" s="6">
        <v>9.5836800000000011</v>
      </c>
      <c r="D1604" s="6">
        <v>10</v>
      </c>
      <c r="F1604" s="24">
        <v>125</v>
      </c>
      <c r="G1604" s="24"/>
      <c r="H1604" s="7">
        <f t="shared" ref="H1604:I1608" si="254">ROUND($F1604*C1604,0)</f>
        <v>1198</v>
      </c>
      <c r="I1604" s="7">
        <f t="shared" si="254"/>
        <v>1250</v>
      </c>
      <c r="K1604" s="24"/>
      <c r="L1604" s="24">
        <v>122</v>
      </c>
      <c r="M1604" s="24"/>
      <c r="N1604" s="7">
        <f>ROUND($D1604*L1604,0)</f>
        <v>1220</v>
      </c>
      <c r="O1604" s="57"/>
      <c r="P1604" s="57"/>
    </row>
    <row r="1605" spans="1:17" x14ac:dyDescent="0.25">
      <c r="A1605" s="19" t="s">
        <v>203</v>
      </c>
      <c r="C1605" s="6">
        <v>3100.0205263157914</v>
      </c>
      <c r="D1605" s="6">
        <v>3273</v>
      </c>
      <c r="F1605" s="24">
        <v>38</v>
      </c>
      <c r="G1605" s="24"/>
      <c r="H1605" s="7">
        <f t="shared" si="254"/>
        <v>117801</v>
      </c>
      <c r="I1605" s="7">
        <f t="shared" si="254"/>
        <v>124374</v>
      </c>
      <c r="K1605" s="24"/>
      <c r="L1605" s="24">
        <v>37</v>
      </c>
      <c r="M1605" s="24"/>
      <c r="N1605" s="7">
        <f>ROUND($D1605*L1605,0)</f>
        <v>121101</v>
      </c>
      <c r="O1605" s="57"/>
      <c r="P1605" s="57"/>
    </row>
    <row r="1606" spans="1:17" x14ac:dyDescent="0.25">
      <c r="A1606" s="19" t="s">
        <v>204</v>
      </c>
      <c r="C1606" s="6">
        <v>14065.268571428629</v>
      </c>
      <c r="D1606" s="6">
        <v>14850</v>
      </c>
      <c r="F1606" s="24">
        <v>14</v>
      </c>
      <c r="G1606" s="24"/>
      <c r="H1606" s="7">
        <f t="shared" si="254"/>
        <v>196914</v>
      </c>
      <c r="I1606" s="7">
        <f t="shared" si="254"/>
        <v>207900</v>
      </c>
      <c r="K1606" s="24"/>
      <c r="L1606" s="24">
        <v>14</v>
      </c>
      <c r="M1606" s="24"/>
      <c r="N1606" s="7">
        <f>ROUND($D1606*L1606,0)</f>
        <v>207900</v>
      </c>
      <c r="O1606" s="57"/>
      <c r="P1606" s="57"/>
    </row>
    <row r="1607" spans="1:17" x14ac:dyDescent="0.25">
      <c r="A1607" s="19" t="s">
        <v>205</v>
      </c>
      <c r="C1607" s="6">
        <v>382160.32605729927</v>
      </c>
      <c r="D1607" s="6">
        <v>425282</v>
      </c>
      <c r="F1607" s="24">
        <v>7.33</v>
      </c>
      <c r="G1607" s="24"/>
      <c r="H1607" s="7">
        <f t="shared" si="254"/>
        <v>2801235</v>
      </c>
      <c r="I1607" s="7">
        <f t="shared" si="254"/>
        <v>3117317</v>
      </c>
      <c r="K1607" s="24"/>
      <c r="L1607" s="24">
        <v>7.14</v>
      </c>
      <c r="M1607" s="24"/>
      <c r="N1607" s="7">
        <f>ROUND($D1607*L1607,0)</f>
        <v>3036513</v>
      </c>
      <c r="O1607" s="57"/>
      <c r="P1607" s="57"/>
    </row>
    <row r="1608" spans="1:17" x14ac:dyDescent="0.25">
      <c r="A1608" s="19" t="s">
        <v>77</v>
      </c>
      <c r="C1608" s="6">
        <v>4222.9317073170741</v>
      </c>
      <c r="D1608" s="6">
        <v>4699</v>
      </c>
      <c r="F1608" s="24">
        <v>-2.0499999999999998</v>
      </c>
      <c r="G1608" s="24"/>
      <c r="H1608" s="7">
        <f t="shared" si="254"/>
        <v>-8657</v>
      </c>
      <c r="I1608" s="7">
        <f t="shared" si="254"/>
        <v>-9633</v>
      </c>
      <c r="K1608" s="24"/>
      <c r="L1608" s="24">
        <v>-2.0499999999999998</v>
      </c>
      <c r="M1608" s="24"/>
      <c r="N1608" s="7">
        <f>ROUND($D1608*L1608,0)</f>
        <v>-9633</v>
      </c>
      <c r="O1608" s="57"/>
      <c r="P1608" s="57"/>
    </row>
    <row r="1609" spans="1:17" x14ac:dyDescent="0.25">
      <c r="A1609" s="19" t="s">
        <v>206</v>
      </c>
      <c r="C1609" s="6">
        <v>81533915.261207223</v>
      </c>
      <c r="D1609" s="6">
        <v>90734008</v>
      </c>
      <c r="F1609" s="25">
        <v>7.2971000000000004</v>
      </c>
      <c r="G1609" s="26" t="s">
        <v>18</v>
      </c>
      <c r="H1609" s="7">
        <f>ROUND($F1609*C1609/100,0)</f>
        <v>5949611</v>
      </c>
      <c r="I1609" s="7">
        <f>ROUND($F1609*D1609/100,0)</f>
        <v>6620951</v>
      </c>
      <c r="K1609" s="25"/>
      <c r="L1609" s="25">
        <v>7.1125999999999996</v>
      </c>
      <c r="M1609" s="26" t="s">
        <v>18</v>
      </c>
      <c r="N1609" s="7">
        <f>ROUND($D1609*L1609/100,0)</f>
        <v>6453547</v>
      </c>
      <c r="O1609" s="58"/>
      <c r="P1609" s="59"/>
    </row>
    <row r="1610" spans="1:17" x14ac:dyDescent="0.25">
      <c r="A1610" s="19" t="s">
        <v>207</v>
      </c>
      <c r="C1610" s="36">
        <v>49286217.0382604</v>
      </c>
      <c r="D1610" s="36">
        <v>54847557</v>
      </c>
      <c r="F1610" s="25">
        <v>5.3936000000000002</v>
      </c>
      <c r="G1610" s="26" t="s">
        <v>18</v>
      </c>
      <c r="H1610" s="37">
        <f>ROUND($F1610*C1610/100,0)</f>
        <v>2658301</v>
      </c>
      <c r="I1610" s="37">
        <f>ROUND($F1610*D1610/100,0)</f>
        <v>2958258</v>
      </c>
      <c r="K1610" s="25"/>
      <c r="L1610" s="25">
        <v>5.2572999999999999</v>
      </c>
      <c r="M1610" s="26" t="s">
        <v>18</v>
      </c>
      <c r="N1610" s="7">
        <f>ROUND($D1610*L1610/100,0)</f>
        <v>2883501</v>
      </c>
      <c r="O1610" s="58"/>
      <c r="P1610" s="59"/>
    </row>
    <row r="1611" spans="1:17" x14ac:dyDescent="0.25">
      <c r="A1611" s="19" t="s">
        <v>208</v>
      </c>
      <c r="C1611" s="36">
        <v>130820132.29946762</v>
      </c>
      <c r="D1611" s="36">
        <v>145581565</v>
      </c>
      <c r="F1611" s="118"/>
      <c r="H1611" s="37">
        <f>SUM(H1604:H1610)</f>
        <v>11716403</v>
      </c>
      <c r="I1611" s="37">
        <f>SUM(I1604:I1610)</f>
        <v>13020417</v>
      </c>
      <c r="K1611" s="118"/>
      <c r="L1611" s="118"/>
      <c r="N1611" s="37">
        <f>SUM(N1604:N1610)</f>
        <v>12694149</v>
      </c>
      <c r="O1611" s="217"/>
      <c r="Q1611" s="64"/>
    </row>
    <row r="1612" spans="1:17" x14ac:dyDescent="0.25">
      <c r="A1612" s="19" t="s">
        <v>209</v>
      </c>
    </row>
    <row r="1613" spans="1:17" x14ac:dyDescent="0.25">
      <c r="A1613" s="19" t="s">
        <v>210</v>
      </c>
      <c r="C1613" s="6">
        <v>6655.8378571428157</v>
      </c>
      <c r="D1613" s="6">
        <v>7027</v>
      </c>
      <c r="F1613" s="24">
        <v>14</v>
      </c>
      <c r="G1613" s="24"/>
      <c r="H1613" s="7">
        <f>ROUND($F1613*C1613,0)</f>
        <v>93182</v>
      </c>
      <c r="I1613" s="7">
        <f>ROUND($F1613*D1613,0)</f>
        <v>98378</v>
      </c>
      <c r="K1613" s="24"/>
      <c r="L1613" s="24">
        <f>L1606</f>
        <v>14</v>
      </c>
      <c r="M1613" s="24"/>
      <c r="N1613" s="7">
        <f>ROUND($D1613*L1613,0)</f>
        <v>98378</v>
      </c>
      <c r="O1613" s="57"/>
      <c r="P1613" s="57"/>
    </row>
    <row r="1614" spans="1:17" x14ac:dyDescent="0.25">
      <c r="A1614" s="19" t="s">
        <v>211</v>
      </c>
      <c r="C1614" s="36">
        <v>46055318.353969723</v>
      </c>
      <c r="D1614" s="36">
        <v>51252091</v>
      </c>
      <c r="F1614" s="100">
        <v>4.9983000000000004</v>
      </c>
      <c r="G1614" s="26" t="s">
        <v>18</v>
      </c>
      <c r="H1614" s="110">
        <f>ROUND($F1614*C1614/100,0)</f>
        <v>2301983</v>
      </c>
      <c r="I1614" s="110">
        <f>ROUND($F1614*D1614/100,0)</f>
        <v>2561733</v>
      </c>
      <c r="K1614" s="25"/>
      <c r="L1614" s="25">
        <v>4.8788999999999998</v>
      </c>
      <c r="M1614" s="26" t="s">
        <v>18</v>
      </c>
      <c r="N1614" s="7">
        <f>ROUND($D1614*L1614/100,0)</f>
        <v>2500538</v>
      </c>
      <c r="O1614" s="58"/>
      <c r="P1614" s="59"/>
    </row>
    <row r="1615" spans="1:17" x14ac:dyDescent="0.25">
      <c r="A1615" s="19" t="s">
        <v>212</v>
      </c>
      <c r="C1615" s="36">
        <v>46055318.353969723</v>
      </c>
      <c r="D1615" s="36">
        <v>51252091</v>
      </c>
      <c r="F1615" s="118"/>
      <c r="H1615" s="37">
        <f>H1613+H1614</f>
        <v>2395165</v>
      </c>
      <c r="I1615" s="37">
        <f>I1613+I1614</f>
        <v>2660111</v>
      </c>
      <c r="K1615" s="118"/>
      <c r="L1615" s="118"/>
      <c r="N1615" s="37">
        <f>N1613+N1614</f>
        <v>2598916</v>
      </c>
      <c r="O1615" s="217"/>
      <c r="Q1615" s="64"/>
    </row>
    <row r="1616" spans="1:17" x14ac:dyDescent="0.25">
      <c r="A1616" s="19" t="s">
        <v>33</v>
      </c>
      <c r="C1616" s="36">
        <v>335950</v>
      </c>
      <c r="D1616" s="36">
        <v>0</v>
      </c>
      <c r="H1616" s="37">
        <v>20486.63</v>
      </c>
      <c r="I1616" s="37">
        <v>0</v>
      </c>
      <c r="N1616" s="37">
        <v>0</v>
      </c>
      <c r="Q1616" s="64"/>
    </row>
    <row r="1617" spans="1:17" x14ac:dyDescent="0.25">
      <c r="A1617" s="19" t="s">
        <v>34</v>
      </c>
      <c r="F1617" s="23">
        <v>-4.2099999999999999E-2</v>
      </c>
      <c r="G1617" s="24"/>
      <c r="H1617" s="7">
        <f>SUM(H1607,H1609:H1610,H1614)*$F1617</f>
        <v>-577238.57299999997</v>
      </c>
      <c r="I1617" s="7">
        <f>SUM(I1607,I1609:I1610,I1614)*$F1617</f>
        <v>-642372.70389999996</v>
      </c>
      <c r="K1617" s="93" t="str">
        <f>$K$43</f>
        <v>TAA 1 (1/1/2021)</v>
      </c>
      <c r="L1617" s="23">
        <v>-2.5899999999999999E-2</v>
      </c>
      <c r="M1617" s="24"/>
      <c r="N1617" s="7">
        <f>L1617*SUM(N1607,N1609:N1610,N1614)</f>
        <v>-385239.16409999999</v>
      </c>
      <c r="O1617" s="65"/>
      <c r="P1617" s="57"/>
    </row>
    <row r="1618" spans="1:17" x14ac:dyDescent="0.25">
      <c r="A1618" s="19"/>
      <c r="F1618" s="23"/>
      <c r="G1618" s="24"/>
      <c r="K1618" s="93" t="str">
        <f>$K$44</f>
        <v>TAA 2 (1/1/2022)</v>
      </c>
      <c r="L1618" s="23">
        <v>-1.29E-2</v>
      </c>
      <c r="M1618" s="24"/>
      <c r="N1618" s="7">
        <f>L1618*SUM(N1607,N1609:N1610,N1614)</f>
        <v>-191875.87710000001</v>
      </c>
      <c r="O1618" s="65"/>
      <c r="P1618" s="57"/>
    </row>
    <row r="1619" spans="1:17" ht="16.5" thickBot="1" x14ac:dyDescent="0.3">
      <c r="A1619" s="19" t="s">
        <v>213</v>
      </c>
      <c r="C1619" s="101">
        <v>177211400.65343735</v>
      </c>
      <c r="D1619" s="101">
        <v>196833656</v>
      </c>
      <c r="F1619" s="41"/>
      <c r="H1619" s="95">
        <f>SUM(H1611,H1615:H1617)</f>
        <v>13554816.057</v>
      </c>
      <c r="I1619" s="95">
        <f>SUM(I1611,I1615:I1617)</f>
        <v>15038155.2961</v>
      </c>
      <c r="K1619" s="41"/>
      <c r="L1619" s="41"/>
      <c r="N1619" s="95">
        <f>SUM(N1611,N1615:N1616)</f>
        <v>15293065</v>
      </c>
      <c r="O1619" s="68"/>
      <c r="Q1619" s="208"/>
    </row>
    <row r="1620" spans="1:17" ht="16.5" thickTop="1" x14ac:dyDescent="0.25"/>
    <row r="1621" spans="1:17" x14ac:dyDescent="0.25">
      <c r="A1621" s="15" t="s">
        <v>214</v>
      </c>
    </row>
    <row r="1622" spans="1:17" x14ac:dyDescent="0.25">
      <c r="A1622" s="19" t="s">
        <v>202</v>
      </c>
      <c r="C1622" s="6">
        <v>1</v>
      </c>
      <c r="D1622" s="6">
        <v>1</v>
      </c>
      <c r="F1622" s="24">
        <v>125</v>
      </c>
      <c r="G1622" s="24"/>
      <c r="H1622" s="7">
        <f t="shared" ref="H1622:I1626" si="255">ROUND($F1622*C1622,0)</f>
        <v>125</v>
      </c>
      <c r="I1622" s="7">
        <f t="shared" si="255"/>
        <v>125</v>
      </c>
      <c r="K1622" s="24"/>
      <c r="L1622" s="24">
        <f>L1604</f>
        <v>122</v>
      </c>
      <c r="M1622" s="24"/>
      <c r="N1622" s="7">
        <f>ROUND($D1622*L1622,0)</f>
        <v>122</v>
      </c>
      <c r="O1622" s="57"/>
      <c r="P1622" s="57"/>
    </row>
    <row r="1623" spans="1:17" x14ac:dyDescent="0.25">
      <c r="A1623" s="19" t="s">
        <v>203</v>
      </c>
      <c r="C1623" s="6">
        <v>60.7226315789474</v>
      </c>
      <c r="D1623" s="6">
        <v>55</v>
      </c>
      <c r="F1623" s="24">
        <v>38</v>
      </c>
      <c r="G1623" s="24"/>
      <c r="H1623" s="7">
        <f t="shared" si="255"/>
        <v>2307</v>
      </c>
      <c r="I1623" s="7">
        <f t="shared" si="255"/>
        <v>2090</v>
      </c>
      <c r="K1623" s="24"/>
      <c r="L1623" s="24">
        <f t="shared" ref="L1623:L1628" si="256">L1605</f>
        <v>37</v>
      </c>
      <c r="M1623" s="24"/>
      <c r="N1623" s="7">
        <f>ROUND($D1623*L1623,0)</f>
        <v>2035</v>
      </c>
      <c r="O1623" s="57"/>
      <c r="P1623" s="57"/>
    </row>
    <row r="1624" spans="1:17" x14ac:dyDescent="0.25">
      <c r="A1624" s="19" t="s">
        <v>204</v>
      </c>
      <c r="C1624" s="6">
        <v>314.37</v>
      </c>
      <c r="D1624" s="6">
        <v>285</v>
      </c>
      <c r="F1624" s="24">
        <v>14</v>
      </c>
      <c r="G1624" s="24"/>
      <c r="H1624" s="7">
        <f t="shared" si="255"/>
        <v>4401</v>
      </c>
      <c r="I1624" s="7">
        <f t="shared" si="255"/>
        <v>3990</v>
      </c>
      <c r="K1624" s="24"/>
      <c r="L1624" s="24">
        <f t="shared" si="256"/>
        <v>14</v>
      </c>
      <c r="M1624" s="24"/>
      <c r="N1624" s="7">
        <f>ROUND($D1624*L1624,0)</f>
        <v>3990</v>
      </c>
      <c r="O1624" s="57"/>
      <c r="P1624" s="57"/>
    </row>
    <row r="1625" spans="1:17" x14ac:dyDescent="0.25">
      <c r="A1625" s="19" t="s">
        <v>205</v>
      </c>
      <c r="C1625" s="6">
        <v>23200.406548431107</v>
      </c>
      <c r="D1625" s="6">
        <v>26155</v>
      </c>
      <c r="F1625" s="24">
        <v>7.33</v>
      </c>
      <c r="G1625" s="24"/>
      <c r="H1625" s="7">
        <f t="shared" si="255"/>
        <v>170059</v>
      </c>
      <c r="I1625" s="7">
        <f t="shared" si="255"/>
        <v>191716</v>
      </c>
      <c r="K1625" s="24"/>
      <c r="L1625" s="24">
        <f t="shared" si="256"/>
        <v>7.14</v>
      </c>
      <c r="M1625" s="24"/>
      <c r="N1625" s="7">
        <f>ROUND($D1625*L1625,0)</f>
        <v>186747</v>
      </c>
      <c r="O1625" s="57"/>
      <c r="P1625" s="57"/>
    </row>
    <row r="1626" spans="1:17" x14ac:dyDescent="0.25">
      <c r="A1626" s="19" t="s">
        <v>77</v>
      </c>
      <c r="C1626" s="6">
        <v>8.4536585365853707</v>
      </c>
      <c r="D1626" s="6">
        <v>10</v>
      </c>
      <c r="F1626" s="24">
        <v>-2.0499999999999998</v>
      </c>
      <c r="G1626" s="24"/>
      <c r="H1626" s="7">
        <f t="shared" si="255"/>
        <v>-17</v>
      </c>
      <c r="I1626" s="7">
        <f t="shared" si="255"/>
        <v>-21</v>
      </c>
      <c r="K1626" s="24"/>
      <c r="L1626" s="24">
        <f t="shared" si="256"/>
        <v>-2.0499999999999998</v>
      </c>
      <c r="M1626" s="24"/>
      <c r="N1626" s="7">
        <f>ROUND($D1626*L1626,0)</f>
        <v>-21</v>
      </c>
      <c r="O1626" s="57"/>
      <c r="P1626" s="57"/>
    </row>
    <row r="1627" spans="1:17" x14ac:dyDescent="0.25">
      <c r="A1627" s="19" t="s">
        <v>206</v>
      </c>
      <c r="C1627" s="6">
        <v>3285476.7387927799</v>
      </c>
      <c r="D1627" s="6">
        <v>3703888</v>
      </c>
      <c r="F1627" s="25">
        <v>7.2971000000000004</v>
      </c>
      <c r="G1627" s="26" t="s">
        <v>18</v>
      </c>
      <c r="H1627" s="7">
        <f t="shared" ref="H1627:I1630" si="257">ROUND($F1627*C1627/100,0)</f>
        <v>239745</v>
      </c>
      <c r="I1627" s="7">
        <f t="shared" si="257"/>
        <v>270276</v>
      </c>
      <c r="K1627" s="25"/>
      <c r="L1627" s="25">
        <f t="shared" si="256"/>
        <v>7.1125999999999996</v>
      </c>
      <c r="M1627" s="26" t="s">
        <v>18</v>
      </c>
      <c r="N1627" s="7">
        <f>ROUND($D1627*L1627/100,0)</f>
        <v>263443</v>
      </c>
      <c r="O1627" s="58"/>
      <c r="P1627" s="59"/>
    </row>
    <row r="1628" spans="1:17" x14ac:dyDescent="0.25">
      <c r="A1628" s="19" t="s">
        <v>207</v>
      </c>
      <c r="C1628" s="36">
        <v>2902041.7617576825</v>
      </c>
      <c r="D1628" s="36">
        <v>3271622</v>
      </c>
      <c r="F1628" s="25">
        <v>5.3936000000000002</v>
      </c>
      <c r="G1628" s="26" t="s">
        <v>18</v>
      </c>
      <c r="H1628" s="37">
        <f t="shared" si="257"/>
        <v>156525</v>
      </c>
      <c r="I1628" s="37">
        <f t="shared" si="257"/>
        <v>176458</v>
      </c>
      <c r="K1628" s="25"/>
      <c r="L1628" s="25">
        <f t="shared" si="256"/>
        <v>5.2572999999999999</v>
      </c>
      <c r="M1628" s="26" t="s">
        <v>18</v>
      </c>
      <c r="N1628" s="7">
        <f>ROUND($D1628*L1628/100,0)</f>
        <v>171999</v>
      </c>
      <c r="O1628" s="58"/>
      <c r="P1628" s="59"/>
    </row>
    <row r="1629" spans="1:17" x14ac:dyDescent="0.25">
      <c r="A1629" s="19" t="s">
        <v>40</v>
      </c>
      <c r="C1629" s="6">
        <v>117281</v>
      </c>
      <c r="D1629" s="6">
        <v>132217</v>
      </c>
      <c r="F1629" s="25">
        <v>14.416399999999999</v>
      </c>
      <c r="G1629" s="26" t="s">
        <v>18</v>
      </c>
      <c r="H1629" s="7">
        <f t="shared" si="257"/>
        <v>16908</v>
      </c>
      <c r="I1629" s="7">
        <f t="shared" si="257"/>
        <v>19061</v>
      </c>
      <c r="K1629" s="25"/>
      <c r="L1629" s="25">
        <f>L1647</f>
        <v>14.052</v>
      </c>
      <c r="M1629" s="26" t="s">
        <v>18</v>
      </c>
      <c r="N1629" s="7">
        <f>ROUND($D1629*L1629/100,0)</f>
        <v>18579</v>
      </c>
      <c r="O1629" s="58"/>
      <c r="P1629" s="59"/>
    </row>
    <row r="1630" spans="1:17" x14ac:dyDescent="0.25">
      <c r="A1630" s="19" t="s">
        <v>41</v>
      </c>
      <c r="C1630" s="36">
        <v>438822</v>
      </c>
      <c r="D1630" s="36">
        <v>494707</v>
      </c>
      <c r="F1630" s="100">
        <v>4.1542000000000003</v>
      </c>
      <c r="G1630" s="26" t="s">
        <v>18</v>
      </c>
      <c r="H1630" s="110">
        <f t="shared" si="257"/>
        <v>18230</v>
      </c>
      <c r="I1630" s="110">
        <f t="shared" si="257"/>
        <v>20551</v>
      </c>
      <c r="K1630" s="25"/>
      <c r="L1630" s="25">
        <f>L1648</f>
        <v>4.0491999999999999</v>
      </c>
      <c r="M1630" s="26" t="s">
        <v>18</v>
      </c>
      <c r="N1630" s="7">
        <f>ROUND($D1630*L1630/100,0)</f>
        <v>20032</v>
      </c>
      <c r="O1630" s="58"/>
      <c r="P1630" s="59"/>
    </row>
    <row r="1631" spans="1:17" x14ac:dyDescent="0.25">
      <c r="A1631" s="19" t="s">
        <v>208</v>
      </c>
      <c r="C1631" s="36">
        <v>6743621.5005504619</v>
      </c>
      <c r="D1631" s="36">
        <v>7602434</v>
      </c>
      <c r="F1631" s="118"/>
      <c r="H1631" s="37">
        <f>SUM(H1622:H1630)</f>
        <v>608283</v>
      </c>
      <c r="I1631" s="37">
        <f>SUM(I1622:I1630)</f>
        <v>684246</v>
      </c>
      <c r="K1631" s="118"/>
      <c r="L1631" s="118"/>
      <c r="N1631" s="37">
        <f>SUM(N1622:N1630)</f>
        <v>666926</v>
      </c>
      <c r="O1631" s="217"/>
      <c r="Q1631" s="64"/>
    </row>
    <row r="1632" spans="1:17" x14ac:dyDescent="0.25">
      <c r="A1632" s="19" t="s">
        <v>209</v>
      </c>
    </row>
    <row r="1633" spans="1:17" x14ac:dyDescent="0.25">
      <c r="A1633" s="19" t="s">
        <v>210</v>
      </c>
      <c r="C1633" s="6">
        <v>135.45857142857102</v>
      </c>
      <c r="D1633" s="6">
        <v>123</v>
      </c>
      <c r="F1633" s="24">
        <v>14</v>
      </c>
      <c r="G1633" s="24"/>
      <c r="H1633" s="7">
        <f>ROUND($F1633*C1633,0)</f>
        <v>1896</v>
      </c>
      <c r="I1633" s="7">
        <f>ROUND($F1633*D1633,0)</f>
        <v>1722</v>
      </c>
      <c r="K1633" s="24"/>
      <c r="L1633" s="24">
        <f>L1613</f>
        <v>14</v>
      </c>
      <c r="M1633" s="24"/>
      <c r="N1633" s="7">
        <f>ROUND($D1633*L1633/100,0)</f>
        <v>17</v>
      </c>
      <c r="O1633" s="57"/>
      <c r="P1633" s="57"/>
    </row>
    <row r="1634" spans="1:17" x14ac:dyDescent="0.25">
      <c r="A1634" s="19" t="s">
        <v>211</v>
      </c>
      <c r="C1634" s="36">
        <v>1506180.9657492132</v>
      </c>
      <c r="D1634" s="36">
        <v>1697995.5822001491</v>
      </c>
      <c r="F1634" s="100">
        <v>4.9983000000000004</v>
      </c>
      <c r="G1634" s="26" t="s">
        <v>18</v>
      </c>
      <c r="H1634" s="110">
        <f>ROUND($F1634*C1634/100,0)</f>
        <v>75283</v>
      </c>
      <c r="I1634" s="110">
        <f>ROUND($F1634*D1634/100,0)</f>
        <v>84871</v>
      </c>
      <c r="K1634" s="100"/>
      <c r="L1634" s="100">
        <f>L1614</f>
        <v>4.8788999999999998</v>
      </c>
      <c r="M1634" s="26" t="s">
        <v>18</v>
      </c>
      <c r="N1634" s="7">
        <f>ROUND($D1634*L1634/100,0)</f>
        <v>82844</v>
      </c>
      <c r="O1634" s="207"/>
      <c r="P1634" s="59"/>
    </row>
    <row r="1635" spans="1:17" x14ac:dyDescent="0.25">
      <c r="A1635" s="19" t="s">
        <v>212</v>
      </c>
      <c r="C1635" s="36">
        <v>1506180.9657492132</v>
      </c>
      <c r="D1635" s="36">
        <v>1697995.5822001491</v>
      </c>
      <c r="F1635" s="118"/>
      <c r="H1635" s="37">
        <f>H1633+H1634</f>
        <v>77179</v>
      </c>
      <c r="I1635" s="37">
        <f>I1633+I1634</f>
        <v>86593</v>
      </c>
      <c r="K1635" s="118"/>
      <c r="L1635" s="118"/>
      <c r="N1635" s="37">
        <f>N1633+N1634</f>
        <v>82861</v>
      </c>
      <c r="O1635" s="217"/>
      <c r="Q1635" s="64"/>
    </row>
    <row r="1636" spans="1:17" x14ac:dyDescent="0.25">
      <c r="A1636" s="19" t="s">
        <v>33</v>
      </c>
      <c r="C1636" s="36">
        <v>15646</v>
      </c>
      <c r="D1636" s="36">
        <v>0</v>
      </c>
      <c r="H1636" s="37">
        <v>988.36999999999898</v>
      </c>
      <c r="I1636" s="37">
        <v>0</v>
      </c>
      <c r="N1636" s="37">
        <v>0</v>
      </c>
      <c r="Q1636" s="64"/>
    </row>
    <row r="1637" spans="1:17" x14ac:dyDescent="0.25">
      <c r="A1637" s="19" t="s">
        <v>34</v>
      </c>
      <c r="F1637" s="23">
        <v>-4.2099999999999999E-2</v>
      </c>
      <c r="G1637" s="24"/>
      <c r="H1637" s="7">
        <f>SUM(H1625,H1627:H1630,H1634)*$F1637</f>
        <v>-28491.174999999999</v>
      </c>
      <c r="I1637" s="7">
        <f>SUM(I1625,I1627:I1630,I1634)*$F1637</f>
        <v>-32119.479299999999</v>
      </c>
      <c r="K1637" s="93" t="str">
        <f>$K$43</f>
        <v>TAA 1 (1/1/2021)</v>
      </c>
      <c r="L1637" s="23">
        <f>$L$1617</f>
        <v>-2.5899999999999999E-2</v>
      </c>
      <c r="M1637" s="24"/>
      <c r="N1637" s="7">
        <f>L1637*SUM(N1625,N1627:N1630,N1634)</f>
        <v>-19260.3796</v>
      </c>
      <c r="O1637" s="65"/>
      <c r="P1637" s="57"/>
    </row>
    <row r="1638" spans="1:17" x14ac:dyDescent="0.25">
      <c r="A1638" s="19"/>
      <c r="F1638" s="23"/>
      <c r="G1638" s="24"/>
      <c r="K1638" s="93" t="str">
        <f>$K$44</f>
        <v>TAA 2 (1/1/2022)</v>
      </c>
      <c r="L1638" s="23">
        <f>$L$1618</f>
        <v>-1.29E-2</v>
      </c>
      <c r="M1638" s="24"/>
      <c r="N1638" s="7">
        <f>L1638*SUM(N1625,N1627:N1630,N1634)</f>
        <v>-9593.0076000000008</v>
      </c>
      <c r="O1638" s="65"/>
      <c r="P1638" s="57"/>
    </row>
    <row r="1639" spans="1:17" ht="16.5" thickBot="1" x14ac:dyDescent="0.3">
      <c r="A1639" s="19" t="s">
        <v>215</v>
      </c>
      <c r="C1639" s="101">
        <v>8265448.4662996754</v>
      </c>
      <c r="D1639" s="101">
        <v>9300429.5822001491</v>
      </c>
      <c r="F1639" s="41"/>
      <c r="H1639" s="95">
        <f>SUM(H1631,H1635:H1637)</f>
        <v>657959.19499999995</v>
      </c>
      <c r="I1639" s="95">
        <f>SUM(I1631,I1635:I1637)</f>
        <v>738719.52069999999</v>
      </c>
      <c r="K1639" s="41"/>
      <c r="L1639" s="41"/>
      <c r="N1639" s="95">
        <f>SUM(N1631,N1635:N1636)</f>
        <v>749787</v>
      </c>
      <c r="O1639" s="68"/>
      <c r="Q1639" s="208"/>
    </row>
    <row r="1640" spans="1:17" ht="16.5" thickTop="1" x14ac:dyDescent="0.25"/>
    <row r="1641" spans="1:17" x14ac:dyDescent="0.25">
      <c r="A1641" s="15" t="s">
        <v>216</v>
      </c>
    </row>
    <row r="1642" spans="1:17" x14ac:dyDescent="0.25">
      <c r="A1642" s="19" t="s">
        <v>202</v>
      </c>
      <c r="C1642" s="6">
        <v>3</v>
      </c>
      <c r="D1642" s="6">
        <v>3</v>
      </c>
      <c r="F1642" s="24">
        <v>125</v>
      </c>
      <c r="G1642" s="24"/>
      <c r="H1642" s="7">
        <f t="shared" ref="H1642:I1646" si="258">ROUND($F1642*C1642,0)</f>
        <v>375</v>
      </c>
      <c r="I1642" s="7">
        <f t="shared" si="258"/>
        <v>375</v>
      </c>
      <c r="K1642" s="24"/>
      <c r="L1642" s="24">
        <f>L1604</f>
        <v>122</v>
      </c>
      <c r="M1642" s="24"/>
      <c r="N1642" s="7">
        <f>ROUND($D1642*L1642,0)</f>
        <v>366</v>
      </c>
      <c r="O1642" s="57"/>
      <c r="P1642" s="57"/>
    </row>
    <row r="1643" spans="1:17" x14ac:dyDescent="0.25">
      <c r="A1643" s="19" t="s">
        <v>203</v>
      </c>
      <c r="C1643" s="6">
        <v>251.37552631578899</v>
      </c>
      <c r="D1643" s="6">
        <v>266</v>
      </c>
      <c r="F1643" s="24">
        <v>38</v>
      </c>
      <c r="G1643" s="24"/>
      <c r="H1643" s="7">
        <f t="shared" si="258"/>
        <v>9552</v>
      </c>
      <c r="I1643" s="7">
        <f t="shared" si="258"/>
        <v>10108</v>
      </c>
      <c r="K1643" s="24"/>
      <c r="L1643" s="24">
        <f>L1605</f>
        <v>37</v>
      </c>
      <c r="M1643" s="24"/>
      <c r="N1643" s="7">
        <f>ROUND($D1643*L1643,0)</f>
        <v>9842</v>
      </c>
      <c r="O1643" s="57"/>
      <c r="P1643" s="57"/>
    </row>
    <row r="1644" spans="1:17" x14ac:dyDescent="0.25">
      <c r="A1644" s="19" t="s">
        <v>217</v>
      </c>
      <c r="C1644" s="6">
        <v>1131.199285714287</v>
      </c>
      <c r="D1644" s="6">
        <v>1196</v>
      </c>
      <c r="F1644" s="24">
        <v>14</v>
      </c>
      <c r="G1644" s="24"/>
      <c r="H1644" s="7">
        <f t="shared" si="258"/>
        <v>15837</v>
      </c>
      <c r="I1644" s="7">
        <f t="shared" si="258"/>
        <v>16744</v>
      </c>
      <c r="K1644" s="24"/>
      <c r="L1644" s="24">
        <f>L1606</f>
        <v>14</v>
      </c>
      <c r="M1644" s="24"/>
      <c r="N1644" s="7">
        <f>ROUND($D1644*L1644,0)</f>
        <v>16744</v>
      </c>
      <c r="O1644" s="57"/>
      <c r="P1644" s="57"/>
    </row>
    <row r="1645" spans="1:17" x14ac:dyDescent="0.25">
      <c r="A1645" s="19" t="s">
        <v>205</v>
      </c>
      <c r="C1645" s="6">
        <v>56614.135061391513</v>
      </c>
      <c r="D1645" s="6">
        <v>63002</v>
      </c>
      <c r="F1645" s="24">
        <v>7.33</v>
      </c>
      <c r="G1645" s="24"/>
      <c r="H1645" s="7">
        <f t="shared" si="258"/>
        <v>414982</v>
      </c>
      <c r="I1645" s="7">
        <f t="shared" si="258"/>
        <v>461805</v>
      </c>
      <c r="K1645" s="24"/>
      <c r="L1645" s="24">
        <f>L1607</f>
        <v>7.14</v>
      </c>
      <c r="M1645" s="24"/>
      <c r="N1645" s="7">
        <f>ROUND($D1645*L1645,0)</f>
        <v>449834</v>
      </c>
      <c r="O1645" s="57"/>
      <c r="P1645" s="57"/>
    </row>
    <row r="1646" spans="1:17" x14ac:dyDescent="0.25">
      <c r="A1646" s="19" t="s">
        <v>218</v>
      </c>
      <c r="C1646" s="6">
        <v>2123.3268292682901</v>
      </c>
      <c r="D1646" s="6">
        <v>2363</v>
      </c>
      <c r="F1646" s="24">
        <v>-2.0499999999999998</v>
      </c>
      <c r="G1646" s="24"/>
      <c r="H1646" s="7">
        <f t="shared" si="258"/>
        <v>-4353</v>
      </c>
      <c r="I1646" s="7">
        <f t="shared" si="258"/>
        <v>-4844</v>
      </c>
      <c r="K1646" s="24"/>
      <c r="L1646" s="24">
        <f>L1608</f>
        <v>-2.0499999999999998</v>
      </c>
      <c r="M1646" s="24"/>
      <c r="N1646" s="7">
        <f>ROUND($D1646*L1646,0)</f>
        <v>-4844</v>
      </c>
      <c r="O1646" s="57"/>
      <c r="P1646" s="57"/>
    </row>
    <row r="1647" spans="1:17" x14ac:dyDescent="0.25">
      <c r="A1647" s="19" t="s">
        <v>40</v>
      </c>
      <c r="C1647" s="6">
        <v>3950193</v>
      </c>
      <c r="D1647" s="6">
        <v>4395923</v>
      </c>
      <c r="F1647" s="25">
        <v>14.416399999999999</v>
      </c>
      <c r="G1647" s="26" t="s">
        <v>18</v>
      </c>
      <c r="H1647" s="7">
        <f>ROUND($F1647*C1647/100,0)</f>
        <v>569476</v>
      </c>
      <c r="I1647" s="7">
        <f>ROUND($F1647*D1647/100,0)</f>
        <v>633734</v>
      </c>
      <c r="K1647" s="25"/>
      <c r="L1647" s="25">
        <v>14.052</v>
      </c>
      <c r="M1647" s="26" t="s">
        <v>18</v>
      </c>
      <c r="N1647" s="7">
        <f>ROUND($D1647*L1647/100,0)</f>
        <v>617715</v>
      </c>
      <c r="O1647" s="58"/>
      <c r="P1647" s="59"/>
    </row>
    <row r="1648" spans="1:17" x14ac:dyDescent="0.25">
      <c r="A1648" s="19" t="s">
        <v>41</v>
      </c>
      <c r="C1648" s="36">
        <v>12067058.279081918</v>
      </c>
      <c r="D1648" s="36">
        <v>13428677</v>
      </c>
      <c r="F1648" s="100">
        <v>4.1542000000000003</v>
      </c>
      <c r="G1648" s="26" t="s">
        <v>18</v>
      </c>
      <c r="H1648" s="110">
        <f>ROUND($F1648*C1648/100,0)</f>
        <v>501290</v>
      </c>
      <c r="I1648" s="110">
        <f>ROUND($F1648*D1648/100,0)</f>
        <v>557854</v>
      </c>
      <c r="K1648" s="25"/>
      <c r="L1648" s="25">
        <v>4.0491999999999999</v>
      </c>
      <c r="M1648" s="26" t="s">
        <v>18</v>
      </c>
      <c r="N1648" s="7">
        <f>ROUND($D1648*L1648/100,0)</f>
        <v>543754</v>
      </c>
      <c r="O1648" s="58"/>
      <c r="P1648" s="59"/>
    </row>
    <row r="1649" spans="1:17" x14ac:dyDescent="0.25">
      <c r="A1649" s="19" t="s">
        <v>208</v>
      </c>
      <c r="C1649" s="36">
        <v>16017251.279081918</v>
      </c>
      <c r="D1649" s="36">
        <v>17824600</v>
      </c>
      <c r="F1649" s="118"/>
      <c r="H1649" s="37">
        <f>SUM(H1642:H1648)</f>
        <v>1507159</v>
      </c>
      <c r="I1649" s="37">
        <f>SUM(I1642:I1648)</f>
        <v>1675776</v>
      </c>
      <c r="K1649" s="118"/>
      <c r="L1649" s="118"/>
      <c r="N1649" s="37">
        <f>SUM(N1642:N1648)</f>
        <v>1633411</v>
      </c>
      <c r="O1649" s="217"/>
      <c r="Q1649" s="64"/>
    </row>
    <row r="1650" spans="1:17" x14ac:dyDescent="0.25">
      <c r="A1650" s="19" t="s">
        <v>209</v>
      </c>
    </row>
    <row r="1651" spans="1:17" x14ac:dyDescent="0.25">
      <c r="A1651" s="19" t="s">
        <v>210</v>
      </c>
      <c r="C1651" s="6">
        <v>572.07357142857097</v>
      </c>
      <c r="D1651" s="6">
        <v>605</v>
      </c>
      <c r="F1651" s="24">
        <v>14</v>
      </c>
      <c r="G1651" s="24"/>
      <c r="H1651" s="7">
        <f>ROUND($F1651*C1651,0)</f>
        <v>8009</v>
      </c>
      <c r="I1651" s="7">
        <f>ROUND($F1651*D1651,0)</f>
        <v>8470</v>
      </c>
      <c r="K1651" s="24"/>
      <c r="L1651" s="24">
        <f>L1613</f>
        <v>14</v>
      </c>
      <c r="M1651" s="24"/>
      <c r="N1651" s="7">
        <f>ROUND($D1651*L1651/100,0)</f>
        <v>85</v>
      </c>
      <c r="O1651" s="57"/>
      <c r="P1651" s="57"/>
    </row>
    <row r="1652" spans="1:17" x14ac:dyDescent="0.25">
      <c r="A1652" s="19" t="s">
        <v>211</v>
      </c>
      <c r="C1652" s="36">
        <v>5781425.1723810686</v>
      </c>
      <c r="D1652" s="36">
        <v>6433787.1371411681</v>
      </c>
      <c r="F1652" s="100">
        <v>4.9983000000000004</v>
      </c>
      <c r="G1652" s="26" t="s">
        <v>18</v>
      </c>
      <c r="H1652" s="110">
        <f>ROUND($F1652*C1652/100,0)</f>
        <v>288973</v>
      </c>
      <c r="I1652" s="110">
        <f>ROUND($F1652*D1652/100,0)</f>
        <v>321580</v>
      </c>
      <c r="K1652" s="100"/>
      <c r="L1652" s="100">
        <f>L1614</f>
        <v>4.8788999999999998</v>
      </c>
      <c r="M1652" s="26" t="s">
        <v>18</v>
      </c>
      <c r="N1652" s="7">
        <f>ROUND($D1652*L1652/100,0)</f>
        <v>313898</v>
      </c>
      <c r="O1652" s="207"/>
      <c r="P1652" s="59"/>
    </row>
    <row r="1653" spans="1:17" x14ac:dyDescent="0.25">
      <c r="A1653" s="19" t="s">
        <v>212</v>
      </c>
      <c r="C1653" s="36">
        <v>5781425.1723810686</v>
      </c>
      <c r="D1653" s="36">
        <v>6433787.1371411681</v>
      </c>
      <c r="F1653" s="118"/>
      <c r="H1653" s="37">
        <f>H1651+H1652</f>
        <v>296982</v>
      </c>
      <c r="I1653" s="37">
        <f>I1651+I1652</f>
        <v>330050</v>
      </c>
      <c r="K1653" s="118"/>
      <c r="L1653" s="118"/>
      <c r="N1653" s="37">
        <f>N1651+N1652</f>
        <v>313983</v>
      </c>
      <c r="O1653" s="217"/>
      <c r="Q1653" s="64"/>
    </row>
    <row r="1654" spans="1:17" x14ac:dyDescent="0.25">
      <c r="A1654" s="19" t="s">
        <v>33</v>
      </c>
      <c r="C1654" s="36">
        <v>41404</v>
      </c>
      <c r="D1654" s="36">
        <v>0</v>
      </c>
      <c r="H1654" s="37">
        <v>2525</v>
      </c>
      <c r="I1654" s="37">
        <v>0</v>
      </c>
      <c r="N1654" s="37">
        <v>0</v>
      </c>
      <c r="Q1654" s="64"/>
    </row>
    <row r="1655" spans="1:17" x14ac:dyDescent="0.25">
      <c r="A1655" s="19" t="s">
        <v>34</v>
      </c>
      <c r="F1655" s="23">
        <v>-4.2099999999999999E-2</v>
      </c>
      <c r="G1655" s="24"/>
      <c r="H1655" s="7">
        <f>SUM(H1645,H1647:H1648,H1652)*$F1655</f>
        <v>-74715.754099999991</v>
      </c>
      <c r="I1655" s="7">
        <f>SUM(I1645,I1647:I1648,I1652)*$F1655</f>
        <v>-83146.363299999997</v>
      </c>
      <c r="K1655" s="93" t="str">
        <f>$K$43</f>
        <v>TAA 1 (1/1/2021)</v>
      </c>
      <c r="L1655" s="23">
        <f>$L$1617</f>
        <v>-2.5899999999999999E-2</v>
      </c>
      <c r="M1655" s="24"/>
      <c r="N1655" s="7">
        <f>L1655*SUM(N1645,N1647:N1648,N1652)</f>
        <v>-49862.705900000001</v>
      </c>
      <c r="O1655" s="65"/>
      <c r="P1655" s="57"/>
    </row>
    <row r="1656" spans="1:17" x14ac:dyDescent="0.25">
      <c r="A1656" s="19"/>
      <c r="F1656" s="23"/>
      <c r="G1656" s="24"/>
      <c r="K1656" s="93" t="str">
        <f>$K$44</f>
        <v>TAA 2 (1/1/2022)</v>
      </c>
      <c r="L1656" s="23">
        <f>$L$1618</f>
        <v>-1.29E-2</v>
      </c>
      <c r="M1656" s="24"/>
      <c r="N1656" s="7">
        <f>L1656*SUM(N1645,N1647:N1648,N1652)</f>
        <v>-24835.0929</v>
      </c>
      <c r="O1656" s="65"/>
      <c r="P1656" s="57"/>
    </row>
    <row r="1657" spans="1:17" ht="16.5" thickBot="1" x14ac:dyDescent="0.3">
      <c r="A1657" s="19" t="s">
        <v>219</v>
      </c>
      <c r="C1657" s="101">
        <v>21840080.451462988</v>
      </c>
      <c r="D1657" s="101">
        <v>24258387.137141168</v>
      </c>
      <c r="F1657" s="41"/>
      <c r="H1657" s="95">
        <f>SUM(H1649,H1653:H1655)</f>
        <v>1731950.2459</v>
      </c>
      <c r="I1657" s="95">
        <f>SUM(I1649,I1653:I1655)</f>
        <v>1922679.6366999999</v>
      </c>
      <c r="K1657" s="41"/>
      <c r="L1657" s="41"/>
      <c r="N1657" s="95">
        <f>SUM(N1649,N1653:N1654)</f>
        <v>1947394</v>
      </c>
      <c r="O1657" s="68"/>
      <c r="Q1657" s="208"/>
    </row>
    <row r="1658" spans="1:17" ht="16.5" thickTop="1" x14ac:dyDescent="0.25">
      <c r="C1658" s="6" t="s">
        <v>220</v>
      </c>
      <c r="D1658" s="6" t="s">
        <v>220</v>
      </c>
    </row>
    <row r="1659" spans="1:17" x14ac:dyDescent="0.25">
      <c r="A1659" s="15" t="s">
        <v>221</v>
      </c>
    </row>
    <row r="1660" spans="1:17" x14ac:dyDescent="0.25">
      <c r="A1660" s="119" t="s">
        <v>222</v>
      </c>
      <c r="F1660" s="20"/>
      <c r="G1660" s="20"/>
      <c r="K1660" s="20"/>
      <c r="L1660" s="20"/>
      <c r="M1660" s="20"/>
      <c r="O1660" s="55"/>
      <c r="P1660" s="55"/>
    </row>
    <row r="1661" spans="1:17" x14ac:dyDescent="0.25">
      <c r="A1661" s="32" t="s">
        <v>223</v>
      </c>
      <c r="C1661" s="6">
        <v>2738.8798586572402</v>
      </c>
      <c r="D1661" s="6">
        <v>2745</v>
      </c>
      <c r="F1661" s="21">
        <v>11.32</v>
      </c>
      <c r="G1661" s="20"/>
      <c r="H1661" s="7">
        <f t="shared" ref="H1661:I1664" si="259">ROUND(C1661*$F1661,0)</f>
        <v>31004</v>
      </c>
      <c r="I1661" s="7">
        <f t="shared" si="259"/>
        <v>31073</v>
      </c>
      <c r="K1661" s="21"/>
      <c r="L1661" s="21"/>
      <c r="M1661" s="20"/>
      <c r="O1661" s="71"/>
      <c r="P1661" s="55"/>
    </row>
    <row r="1662" spans="1:17" x14ac:dyDescent="0.25">
      <c r="A1662" s="32" t="s">
        <v>224</v>
      </c>
      <c r="C1662" s="6">
        <v>1171.24449035813</v>
      </c>
      <c r="D1662" s="6">
        <v>1174</v>
      </c>
      <c r="F1662" s="21">
        <v>14.52</v>
      </c>
      <c r="G1662" s="20"/>
      <c r="H1662" s="7">
        <f t="shared" si="259"/>
        <v>17006</v>
      </c>
      <c r="I1662" s="7">
        <f t="shared" si="259"/>
        <v>17046</v>
      </c>
      <c r="K1662" s="21"/>
      <c r="L1662" s="21"/>
      <c r="M1662" s="20"/>
      <c r="O1662" s="71"/>
      <c r="P1662" s="55"/>
    </row>
    <row r="1663" spans="1:17" x14ac:dyDescent="0.25">
      <c r="A1663" s="32" t="s">
        <v>225</v>
      </c>
      <c r="C1663" s="6">
        <v>62.466666666666697</v>
      </c>
      <c r="D1663" s="6">
        <v>63</v>
      </c>
      <c r="F1663" s="21">
        <v>19.8</v>
      </c>
      <c r="G1663" s="20"/>
      <c r="H1663" s="7">
        <f t="shared" si="259"/>
        <v>1237</v>
      </c>
      <c r="I1663" s="7">
        <f t="shared" si="259"/>
        <v>1247</v>
      </c>
      <c r="K1663" s="21"/>
      <c r="L1663" s="21"/>
      <c r="M1663" s="20"/>
      <c r="O1663" s="71"/>
      <c r="P1663" s="55"/>
    </row>
    <row r="1664" spans="1:17" x14ac:dyDescent="0.25">
      <c r="A1664" s="32" t="s">
        <v>226</v>
      </c>
      <c r="C1664" s="6">
        <v>114.133333333333</v>
      </c>
      <c r="D1664" s="6">
        <v>114</v>
      </c>
      <c r="F1664" s="21">
        <v>22.95</v>
      </c>
      <c r="G1664" s="20"/>
      <c r="H1664" s="7">
        <f t="shared" si="259"/>
        <v>2619</v>
      </c>
      <c r="I1664" s="7">
        <f t="shared" si="259"/>
        <v>2616</v>
      </c>
      <c r="K1664" s="21"/>
      <c r="L1664" s="21"/>
      <c r="M1664" s="20"/>
      <c r="O1664" s="71"/>
      <c r="P1664" s="55"/>
    </row>
    <row r="1665" spans="1:16" x14ac:dyDescent="0.25">
      <c r="A1665" s="106" t="s">
        <v>227</v>
      </c>
      <c r="F1665" s="20"/>
      <c r="G1665" s="20"/>
      <c r="K1665" s="20"/>
      <c r="L1665" s="20"/>
      <c r="M1665" s="20"/>
      <c r="O1665" s="55"/>
      <c r="P1665" s="55"/>
    </row>
    <row r="1666" spans="1:16" x14ac:dyDescent="0.25">
      <c r="A1666" s="19" t="s">
        <v>228</v>
      </c>
      <c r="C1666" s="6">
        <v>28619.111016949199</v>
      </c>
      <c r="D1666" s="6">
        <v>28679</v>
      </c>
      <c r="F1666" s="20">
        <v>11.8</v>
      </c>
      <c r="G1666" s="20"/>
      <c r="H1666" s="7">
        <f t="shared" ref="H1666:I1680" si="260">ROUND(C1666*$F1666,0)</f>
        <v>337706</v>
      </c>
      <c r="I1666" s="7">
        <f t="shared" si="260"/>
        <v>338412</v>
      </c>
      <c r="K1666" s="20"/>
      <c r="L1666" s="20"/>
      <c r="M1666" s="20"/>
      <c r="O1666" s="55"/>
      <c r="P1666" s="55"/>
    </row>
    <row r="1667" spans="1:16" x14ac:dyDescent="0.25">
      <c r="A1667" s="19" t="s">
        <v>229</v>
      </c>
      <c r="C1667" s="6">
        <v>194114.982785603</v>
      </c>
      <c r="D1667" s="6">
        <v>194524</v>
      </c>
      <c r="F1667" s="20">
        <v>12.78</v>
      </c>
      <c r="G1667" s="20"/>
      <c r="H1667" s="7">
        <f t="shared" si="260"/>
        <v>2480789</v>
      </c>
      <c r="I1667" s="7">
        <f t="shared" si="260"/>
        <v>2486017</v>
      </c>
      <c r="K1667" s="20"/>
      <c r="L1667" s="20"/>
      <c r="M1667" s="20"/>
      <c r="O1667" s="55"/>
      <c r="P1667" s="55"/>
    </row>
    <row r="1668" spans="1:16" x14ac:dyDescent="0.25">
      <c r="A1668" s="19" t="s">
        <v>230</v>
      </c>
      <c r="C1668" s="6">
        <v>144</v>
      </c>
      <c r="D1668" s="6">
        <v>144</v>
      </c>
      <c r="F1668" s="20">
        <v>11.5</v>
      </c>
      <c r="G1668" s="20"/>
      <c r="H1668" s="7">
        <f t="shared" si="260"/>
        <v>1656</v>
      </c>
      <c r="I1668" s="7">
        <f t="shared" si="260"/>
        <v>1656</v>
      </c>
      <c r="K1668" s="20"/>
      <c r="L1668" s="20"/>
      <c r="M1668" s="20"/>
      <c r="O1668" s="55"/>
      <c r="P1668" s="55"/>
    </row>
    <row r="1669" spans="1:16" x14ac:dyDescent="0.25">
      <c r="A1669" s="19" t="s">
        <v>231</v>
      </c>
      <c r="C1669" s="6">
        <v>432</v>
      </c>
      <c r="D1669" s="6">
        <v>433</v>
      </c>
      <c r="F1669" s="20">
        <v>46.54</v>
      </c>
      <c r="G1669" s="20"/>
      <c r="H1669" s="7">
        <f t="shared" si="260"/>
        <v>20105</v>
      </c>
      <c r="I1669" s="7">
        <f t="shared" si="260"/>
        <v>20152</v>
      </c>
      <c r="K1669" s="20"/>
      <c r="L1669" s="20"/>
      <c r="M1669" s="20"/>
      <c r="O1669" s="55"/>
      <c r="P1669" s="55"/>
    </row>
    <row r="1670" spans="1:16" x14ac:dyDescent="0.25">
      <c r="A1670" s="19" t="s">
        <v>232</v>
      </c>
      <c r="C1670" s="6">
        <v>49.735348226018402</v>
      </c>
      <c r="D1670" s="6">
        <v>50</v>
      </c>
      <c r="F1670" s="20">
        <v>38.049999999999997</v>
      </c>
      <c r="G1670" s="20"/>
      <c r="H1670" s="7">
        <f t="shared" si="260"/>
        <v>1892</v>
      </c>
      <c r="I1670" s="7">
        <f t="shared" si="260"/>
        <v>1903</v>
      </c>
      <c r="K1670" s="20"/>
      <c r="L1670" s="20"/>
      <c r="M1670" s="20"/>
      <c r="O1670" s="55"/>
      <c r="P1670" s="55"/>
    </row>
    <row r="1671" spans="1:16" x14ac:dyDescent="0.25">
      <c r="A1671" s="19" t="s">
        <v>233</v>
      </c>
      <c r="C1671" s="6">
        <v>19332.8754427391</v>
      </c>
      <c r="D1671" s="6">
        <v>19374</v>
      </c>
      <c r="F1671" s="20">
        <v>16.940000000000001</v>
      </c>
      <c r="G1671" s="20"/>
      <c r="H1671" s="7">
        <f t="shared" si="260"/>
        <v>327499</v>
      </c>
      <c r="I1671" s="7">
        <f t="shared" si="260"/>
        <v>328196</v>
      </c>
      <c r="K1671" s="20"/>
      <c r="L1671" s="20"/>
      <c r="M1671" s="20"/>
      <c r="O1671" s="55"/>
      <c r="P1671" s="55"/>
    </row>
    <row r="1672" spans="1:16" x14ac:dyDescent="0.25">
      <c r="A1672" s="19" t="s">
        <v>234</v>
      </c>
      <c r="C1672" s="6">
        <v>48</v>
      </c>
      <c r="D1672" s="6">
        <v>48</v>
      </c>
      <c r="F1672" s="20">
        <v>15.25</v>
      </c>
      <c r="G1672" s="20"/>
      <c r="H1672" s="7">
        <f t="shared" si="260"/>
        <v>732</v>
      </c>
      <c r="I1672" s="7">
        <f t="shared" si="260"/>
        <v>732</v>
      </c>
      <c r="K1672" s="20"/>
      <c r="L1672" s="20"/>
      <c r="M1672" s="20"/>
      <c r="O1672" s="55"/>
      <c r="P1672" s="55"/>
    </row>
    <row r="1673" spans="1:16" x14ac:dyDescent="0.25">
      <c r="A1673" s="19" t="s">
        <v>235</v>
      </c>
      <c r="C1673" s="6">
        <v>2376</v>
      </c>
      <c r="D1673" s="6">
        <v>2381</v>
      </c>
      <c r="F1673" s="20">
        <v>47.83</v>
      </c>
      <c r="G1673" s="20"/>
      <c r="H1673" s="7">
        <f t="shared" si="260"/>
        <v>113644</v>
      </c>
      <c r="I1673" s="7">
        <f t="shared" si="260"/>
        <v>113883</v>
      </c>
      <c r="K1673" s="20"/>
      <c r="L1673" s="20"/>
      <c r="M1673" s="20"/>
      <c r="O1673" s="55"/>
      <c r="P1673" s="55"/>
    </row>
    <row r="1674" spans="1:16" x14ac:dyDescent="0.25">
      <c r="A1674" s="19" t="s">
        <v>236</v>
      </c>
      <c r="C1674" s="6">
        <v>396</v>
      </c>
      <c r="D1674" s="6">
        <v>397</v>
      </c>
      <c r="F1674" s="20">
        <v>39.340000000000003</v>
      </c>
      <c r="G1674" s="20"/>
      <c r="H1674" s="7">
        <f t="shared" si="260"/>
        <v>15579</v>
      </c>
      <c r="I1674" s="7">
        <f t="shared" si="260"/>
        <v>15618</v>
      </c>
      <c r="K1674" s="20"/>
      <c r="L1674" s="20"/>
      <c r="M1674" s="20"/>
      <c r="O1674" s="55"/>
      <c r="P1674" s="55"/>
    </row>
    <row r="1675" spans="1:16" x14ac:dyDescent="0.25">
      <c r="A1675" s="19" t="s">
        <v>237</v>
      </c>
      <c r="C1675" s="6">
        <v>22425.718543046401</v>
      </c>
      <c r="D1675" s="6">
        <v>22473</v>
      </c>
      <c r="F1675" s="20">
        <v>21.14</v>
      </c>
      <c r="G1675" s="20"/>
      <c r="H1675" s="7">
        <f t="shared" si="260"/>
        <v>474080</v>
      </c>
      <c r="I1675" s="7">
        <f t="shared" si="260"/>
        <v>475079</v>
      </c>
      <c r="K1675" s="20"/>
      <c r="L1675" s="20"/>
      <c r="M1675" s="20"/>
      <c r="O1675" s="55"/>
      <c r="P1675" s="55"/>
    </row>
    <row r="1676" spans="1:16" x14ac:dyDescent="0.25">
      <c r="A1676" s="19" t="s">
        <v>238</v>
      </c>
      <c r="C1676" s="6">
        <v>12</v>
      </c>
      <c r="D1676" s="6">
        <v>12</v>
      </c>
      <c r="F1676" s="20">
        <v>19.03</v>
      </c>
      <c r="G1676" s="20"/>
      <c r="H1676" s="7">
        <f t="shared" si="260"/>
        <v>228</v>
      </c>
      <c r="I1676" s="7">
        <f t="shared" si="260"/>
        <v>228</v>
      </c>
      <c r="K1676" s="20"/>
      <c r="L1676" s="20"/>
      <c r="M1676" s="20"/>
      <c r="O1676" s="55"/>
      <c r="P1676" s="55"/>
    </row>
    <row r="1677" spans="1:16" x14ac:dyDescent="0.25">
      <c r="A1677" s="19" t="s">
        <v>239</v>
      </c>
      <c r="C1677" s="6">
        <v>1248</v>
      </c>
      <c r="D1677" s="6">
        <v>1251</v>
      </c>
      <c r="F1677" s="20">
        <v>51.48</v>
      </c>
      <c r="G1677" s="20"/>
      <c r="H1677" s="7">
        <f t="shared" si="260"/>
        <v>64247</v>
      </c>
      <c r="I1677" s="7">
        <f t="shared" si="260"/>
        <v>64401</v>
      </c>
      <c r="K1677" s="20"/>
      <c r="L1677" s="20"/>
      <c r="M1677" s="20"/>
      <c r="O1677" s="55"/>
      <c r="P1677" s="55"/>
    </row>
    <row r="1678" spans="1:16" x14ac:dyDescent="0.25">
      <c r="A1678" s="19" t="s">
        <v>240</v>
      </c>
      <c r="C1678" s="6">
        <v>0</v>
      </c>
      <c r="D1678" s="6">
        <v>0</v>
      </c>
      <c r="F1678" s="20">
        <v>43.01</v>
      </c>
      <c r="G1678" s="20"/>
      <c r="H1678" s="7">
        <f t="shared" si="260"/>
        <v>0</v>
      </c>
      <c r="I1678" s="7">
        <f t="shared" si="260"/>
        <v>0</v>
      </c>
      <c r="K1678" s="20"/>
      <c r="L1678" s="20"/>
      <c r="M1678" s="20"/>
      <c r="O1678" s="55"/>
      <c r="P1678" s="55"/>
    </row>
    <row r="1679" spans="1:16" x14ac:dyDescent="0.25">
      <c r="A1679" s="19" t="s">
        <v>241</v>
      </c>
      <c r="C1679" s="6">
        <v>7669.15680245965</v>
      </c>
      <c r="D1679" s="6">
        <v>7685</v>
      </c>
      <c r="F1679" s="20">
        <v>26.02</v>
      </c>
      <c r="G1679" s="20"/>
      <c r="H1679" s="7">
        <f t="shared" si="260"/>
        <v>199551</v>
      </c>
      <c r="I1679" s="7">
        <f t="shared" si="260"/>
        <v>199964</v>
      </c>
      <c r="K1679" s="20"/>
      <c r="L1679" s="20"/>
      <c r="M1679" s="20"/>
      <c r="O1679" s="55"/>
      <c r="P1679" s="55"/>
    </row>
    <row r="1680" spans="1:16" x14ac:dyDescent="0.25">
      <c r="A1680" s="19" t="s">
        <v>242</v>
      </c>
      <c r="C1680" s="6">
        <v>0</v>
      </c>
      <c r="D1680" s="6">
        <v>0</v>
      </c>
      <c r="F1680" s="20">
        <v>51.54</v>
      </c>
      <c r="G1680" s="20"/>
      <c r="H1680" s="7">
        <f t="shared" si="260"/>
        <v>0</v>
      </c>
      <c r="I1680" s="7">
        <f t="shared" si="260"/>
        <v>0</v>
      </c>
      <c r="K1680" s="20"/>
      <c r="L1680" s="20"/>
      <c r="M1680" s="20"/>
      <c r="O1680" s="55"/>
      <c r="P1680" s="55"/>
    </row>
    <row r="1681" spans="1:16" x14ac:dyDescent="0.25">
      <c r="A1681" s="106" t="s">
        <v>243</v>
      </c>
      <c r="F1681" s="24"/>
      <c r="G1681" s="24"/>
      <c r="K1681" s="24"/>
      <c r="L1681" s="24"/>
      <c r="M1681" s="24"/>
      <c r="O1681" s="57"/>
      <c r="P1681" s="57"/>
    </row>
    <row r="1682" spans="1:16" x14ac:dyDescent="0.25">
      <c r="A1682" s="19" t="s">
        <v>244</v>
      </c>
      <c r="C1682" s="6">
        <v>27.862125564218299</v>
      </c>
      <c r="D1682" s="6">
        <v>28</v>
      </c>
      <c r="F1682" s="20">
        <v>48.74</v>
      </c>
      <c r="G1682" s="20"/>
      <c r="H1682" s="7">
        <f t="shared" ref="H1682:I1692" si="261">ROUND(C1682*$F1682,0)</f>
        <v>1358</v>
      </c>
      <c r="I1682" s="7">
        <f t="shared" si="261"/>
        <v>1365</v>
      </c>
      <c r="K1682" s="20"/>
      <c r="L1682" s="20"/>
      <c r="M1682" s="20"/>
      <c r="O1682" s="55"/>
      <c r="P1682" s="55"/>
    </row>
    <row r="1683" spans="1:16" x14ac:dyDescent="0.25">
      <c r="A1683" s="19" t="s">
        <v>245</v>
      </c>
      <c r="C1683" s="6">
        <v>36</v>
      </c>
      <c r="D1683" s="6">
        <v>36</v>
      </c>
      <c r="F1683" s="20">
        <v>40.270000000000003</v>
      </c>
      <c r="G1683" s="20"/>
      <c r="H1683" s="7">
        <f t="shared" si="261"/>
        <v>1450</v>
      </c>
      <c r="I1683" s="7">
        <f t="shared" si="261"/>
        <v>1450</v>
      </c>
      <c r="K1683" s="20"/>
      <c r="L1683" s="20"/>
      <c r="M1683" s="20"/>
      <c r="O1683" s="55"/>
      <c r="P1683" s="55"/>
    </row>
    <row r="1684" spans="1:16" x14ac:dyDescent="0.25">
      <c r="A1684" s="19" t="s">
        <v>246</v>
      </c>
      <c r="C1684" s="6">
        <v>48.0998509687034</v>
      </c>
      <c r="D1684" s="6">
        <v>48</v>
      </c>
      <c r="F1684" s="20">
        <v>20.13</v>
      </c>
      <c r="G1684" s="20"/>
      <c r="H1684" s="7">
        <f t="shared" si="261"/>
        <v>968</v>
      </c>
      <c r="I1684" s="7">
        <f t="shared" si="261"/>
        <v>966</v>
      </c>
      <c r="K1684" s="20"/>
      <c r="L1684" s="20"/>
      <c r="M1684" s="20"/>
      <c r="O1684" s="55"/>
      <c r="P1684" s="55"/>
    </row>
    <row r="1685" spans="1:16" x14ac:dyDescent="0.25">
      <c r="A1685" s="19" t="s">
        <v>247</v>
      </c>
      <c r="C1685" s="6">
        <v>0</v>
      </c>
      <c r="D1685" s="6">
        <v>0</v>
      </c>
      <c r="F1685" s="20">
        <v>50.65</v>
      </c>
      <c r="G1685" s="20"/>
      <c r="H1685" s="7">
        <f t="shared" si="261"/>
        <v>0</v>
      </c>
      <c r="I1685" s="7">
        <f t="shared" si="261"/>
        <v>0</v>
      </c>
      <c r="K1685" s="20"/>
      <c r="L1685" s="20"/>
      <c r="M1685" s="20"/>
      <c r="O1685" s="55"/>
      <c r="P1685" s="55"/>
    </row>
    <row r="1686" spans="1:16" x14ac:dyDescent="0.25">
      <c r="A1686" s="19" t="s">
        <v>248</v>
      </c>
      <c r="C1686" s="6">
        <v>12</v>
      </c>
      <c r="D1686" s="6">
        <v>12</v>
      </c>
      <c r="F1686" s="20">
        <v>42.17</v>
      </c>
      <c r="G1686" s="20"/>
      <c r="H1686" s="7">
        <f t="shared" si="261"/>
        <v>506</v>
      </c>
      <c r="I1686" s="7">
        <f t="shared" si="261"/>
        <v>506</v>
      </c>
      <c r="K1686" s="20"/>
      <c r="L1686" s="20"/>
      <c r="M1686" s="20"/>
      <c r="O1686" s="55"/>
      <c r="P1686" s="55"/>
    </row>
    <row r="1687" spans="1:16" x14ac:dyDescent="0.25">
      <c r="A1687" s="19" t="s">
        <v>249</v>
      </c>
      <c r="C1687" s="6">
        <v>312</v>
      </c>
      <c r="D1687" s="6">
        <v>313</v>
      </c>
      <c r="F1687" s="20">
        <v>22.13</v>
      </c>
      <c r="G1687" s="20"/>
      <c r="H1687" s="7">
        <f t="shared" si="261"/>
        <v>6905</v>
      </c>
      <c r="I1687" s="7">
        <f t="shared" si="261"/>
        <v>6927</v>
      </c>
      <c r="K1687" s="20"/>
      <c r="L1687" s="20"/>
      <c r="M1687" s="20"/>
      <c r="O1687" s="55"/>
      <c r="P1687" s="55"/>
    </row>
    <row r="1688" spans="1:16" x14ac:dyDescent="0.25">
      <c r="A1688" s="19" t="s">
        <v>250</v>
      </c>
      <c r="C1688" s="6">
        <v>0</v>
      </c>
      <c r="D1688" s="6">
        <v>0</v>
      </c>
      <c r="F1688" s="20">
        <v>53.69</v>
      </c>
      <c r="G1688" s="20"/>
      <c r="H1688" s="7">
        <f t="shared" si="261"/>
        <v>0</v>
      </c>
      <c r="I1688" s="7">
        <f t="shared" si="261"/>
        <v>0</v>
      </c>
      <c r="K1688" s="20"/>
      <c r="L1688" s="20"/>
      <c r="M1688" s="20"/>
      <c r="O1688" s="55"/>
      <c r="P1688" s="55"/>
    </row>
    <row r="1689" spans="1:16" x14ac:dyDescent="0.25">
      <c r="A1689" s="19" t="s">
        <v>251</v>
      </c>
      <c r="C1689" s="6">
        <v>516</v>
      </c>
      <c r="D1689" s="6">
        <v>517</v>
      </c>
      <c r="F1689" s="20">
        <v>45.2</v>
      </c>
      <c r="G1689" s="20"/>
      <c r="H1689" s="7">
        <f t="shared" si="261"/>
        <v>23323</v>
      </c>
      <c r="I1689" s="7">
        <f t="shared" si="261"/>
        <v>23368</v>
      </c>
      <c r="K1689" s="20"/>
      <c r="L1689" s="20"/>
      <c r="M1689" s="20"/>
      <c r="O1689" s="55"/>
      <c r="P1689" s="55"/>
    </row>
    <row r="1690" spans="1:16" x14ac:dyDescent="0.25">
      <c r="A1690" s="19" t="s">
        <v>252</v>
      </c>
      <c r="C1690" s="6">
        <v>0</v>
      </c>
      <c r="D1690" s="6">
        <v>0</v>
      </c>
      <c r="F1690" s="20">
        <v>25.78</v>
      </c>
      <c r="G1690" s="20"/>
      <c r="H1690" s="7">
        <f t="shared" si="261"/>
        <v>0</v>
      </c>
      <c r="I1690" s="7">
        <f t="shared" si="261"/>
        <v>0</v>
      </c>
      <c r="K1690" s="20"/>
      <c r="L1690" s="20"/>
      <c r="M1690" s="20"/>
      <c r="O1690" s="55"/>
      <c r="P1690" s="55"/>
    </row>
    <row r="1691" spans="1:16" x14ac:dyDescent="0.25">
      <c r="A1691" s="19" t="s">
        <v>253</v>
      </c>
      <c r="C1691" s="6">
        <v>0</v>
      </c>
      <c r="D1691" s="6">
        <v>0</v>
      </c>
      <c r="F1691" s="20">
        <v>55.33</v>
      </c>
      <c r="G1691" s="20"/>
      <c r="H1691" s="7">
        <f t="shared" si="261"/>
        <v>0</v>
      </c>
      <c r="I1691" s="7">
        <f t="shared" si="261"/>
        <v>0</v>
      </c>
      <c r="K1691" s="20"/>
      <c r="L1691" s="20"/>
      <c r="M1691" s="20"/>
      <c r="O1691" s="55"/>
      <c r="P1691" s="55"/>
    </row>
    <row r="1692" spans="1:16" x14ac:dyDescent="0.25">
      <c r="A1692" s="19" t="s">
        <v>254</v>
      </c>
      <c r="C1692" s="6">
        <v>0</v>
      </c>
      <c r="D1692" s="6">
        <v>0</v>
      </c>
      <c r="F1692" s="20">
        <v>46.86</v>
      </c>
      <c r="G1692" s="20"/>
      <c r="H1692" s="7">
        <f t="shared" si="261"/>
        <v>0</v>
      </c>
      <c r="I1692" s="7">
        <f t="shared" si="261"/>
        <v>0</v>
      </c>
      <c r="K1692" s="20"/>
      <c r="L1692" s="20"/>
      <c r="M1692" s="20"/>
      <c r="O1692" s="55"/>
      <c r="P1692" s="55"/>
    </row>
    <row r="1693" spans="1:16" x14ac:dyDescent="0.25">
      <c r="A1693" s="106" t="s">
        <v>255</v>
      </c>
      <c r="F1693" s="20"/>
      <c r="G1693" s="20"/>
      <c r="K1693" s="20"/>
      <c r="L1693" s="20"/>
      <c r="M1693" s="20"/>
      <c r="O1693" s="55"/>
      <c r="P1693" s="55"/>
    </row>
    <row r="1694" spans="1:16" x14ac:dyDescent="0.25">
      <c r="A1694" s="19" t="s">
        <v>256</v>
      </c>
      <c r="C1694" s="6">
        <v>276</v>
      </c>
      <c r="D1694" s="6">
        <v>277</v>
      </c>
      <c r="F1694" s="20">
        <v>11.09</v>
      </c>
      <c r="G1694" s="20"/>
      <c r="H1694" s="7">
        <f t="shared" ref="H1694:I1698" si="262">ROUND(C1694*$F1694,0)</f>
        <v>3061</v>
      </c>
      <c r="I1694" s="7">
        <f t="shared" si="262"/>
        <v>3072</v>
      </c>
      <c r="K1694" s="20"/>
      <c r="L1694" s="20"/>
      <c r="M1694" s="20"/>
      <c r="O1694" s="55"/>
      <c r="P1694" s="55"/>
    </row>
    <row r="1695" spans="1:16" x14ac:dyDescent="0.25">
      <c r="A1695" s="19" t="s">
        <v>137</v>
      </c>
      <c r="C1695" s="6">
        <v>2900.0853217642798</v>
      </c>
      <c r="D1695" s="6">
        <v>2906</v>
      </c>
      <c r="F1695" s="20">
        <v>13.83</v>
      </c>
      <c r="G1695" s="20"/>
      <c r="H1695" s="7">
        <f t="shared" si="262"/>
        <v>40108</v>
      </c>
      <c r="I1695" s="7">
        <f t="shared" si="262"/>
        <v>40190</v>
      </c>
      <c r="K1695" s="20"/>
      <c r="L1695" s="20"/>
      <c r="M1695" s="20"/>
      <c r="O1695" s="55"/>
      <c r="P1695" s="55"/>
    </row>
    <row r="1696" spans="1:16" x14ac:dyDescent="0.25">
      <c r="A1696" s="19" t="s">
        <v>257</v>
      </c>
      <c r="C1696" s="6">
        <v>96</v>
      </c>
      <c r="D1696" s="6">
        <v>96</v>
      </c>
      <c r="F1696" s="20">
        <v>19.399999999999999</v>
      </c>
      <c r="G1696" s="20"/>
      <c r="H1696" s="7">
        <f t="shared" si="262"/>
        <v>1862</v>
      </c>
      <c r="I1696" s="7">
        <f t="shared" si="262"/>
        <v>1862</v>
      </c>
      <c r="K1696" s="20"/>
      <c r="L1696" s="20"/>
      <c r="M1696" s="20"/>
      <c r="O1696" s="55"/>
      <c r="P1696" s="55"/>
    </row>
    <row r="1697" spans="1:16" x14ac:dyDescent="0.25">
      <c r="A1697" s="19" t="s">
        <v>258</v>
      </c>
      <c r="C1697" s="6">
        <v>0</v>
      </c>
      <c r="D1697" s="6">
        <v>0</v>
      </c>
      <c r="F1697" s="20">
        <v>17.46</v>
      </c>
      <c r="G1697" s="20"/>
      <c r="H1697" s="7">
        <f t="shared" si="262"/>
        <v>0</v>
      </c>
      <c r="I1697" s="7">
        <f t="shared" si="262"/>
        <v>0</v>
      </c>
      <c r="K1697" s="20"/>
      <c r="L1697" s="20"/>
      <c r="M1697" s="20"/>
      <c r="O1697" s="55"/>
      <c r="P1697" s="55"/>
    </row>
    <row r="1698" spans="1:16" x14ac:dyDescent="0.25">
      <c r="A1698" s="19" t="s">
        <v>139</v>
      </c>
      <c r="C1698" s="6">
        <v>245.900122799836</v>
      </c>
      <c r="D1698" s="6">
        <v>246</v>
      </c>
      <c r="F1698" s="20">
        <v>24.43</v>
      </c>
      <c r="G1698" s="20"/>
      <c r="H1698" s="7">
        <f t="shared" si="262"/>
        <v>6007</v>
      </c>
      <c r="I1698" s="7">
        <f t="shared" si="262"/>
        <v>6010</v>
      </c>
      <c r="K1698" s="20"/>
      <c r="L1698" s="20"/>
      <c r="M1698" s="20"/>
      <c r="O1698" s="55"/>
      <c r="P1698" s="55"/>
    </row>
    <row r="1699" spans="1:16" x14ac:dyDescent="0.25">
      <c r="A1699" s="106" t="s">
        <v>259</v>
      </c>
    </row>
    <row r="1700" spans="1:16" x14ac:dyDescent="0.25">
      <c r="A1700" s="19" t="s">
        <v>260</v>
      </c>
      <c r="C1700" s="6">
        <v>0</v>
      </c>
      <c r="D1700" s="6">
        <v>0</v>
      </c>
      <c r="F1700" s="20">
        <v>11.99</v>
      </c>
      <c r="G1700" s="20"/>
      <c r="H1700" s="7">
        <f t="shared" ref="H1700:I1705" si="263">ROUND(C1700*$F1700,0)</f>
        <v>0</v>
      </c>
      <c r="I1700" s="7">
        <f t="shared" si="263"/>
        <v>0</v>
      </c>
      <c r="K1700" s="20"/>
      <c r="L1700" s="20"/>
      <c r="M1700" s="20"/>
      <c r="O1700" s="55"/>
      <c r="P1700" s="55"/>
    </row>
    <row r="1701" spans="1:16" x14ac:dyDescent="0.25">
      <c r="A1701" s="19" t="s">
        <v>261</v>
      </c>
      <c r="C1701" s="6">
        <v>144</v>
      </c>
      <c r="D1701" s="6">
        <v>144</v>
      </c>
      <c r="F1701" s="20">
        <v>4.24</v>
      </c>
      <c r="G1701" s="20"/>
      <c r="H1701" s="7">
        <f t="shared" si="263"/>
        <v>611</v>
      </c>
      <c r="I1701" s="7">
        <f t="shared" si="263"/>
        <v>611</v>
      </c>
      <c r="K1701" s="20"/>
      <c r="L1701" s="20"/>
      <c r="M1701" s="20"/>
      <c r="O1701" s="55"/>
      <c r="P1701" s="55"/>
    </row>
    <row r="1702" spans="1:16" x14ac:dyDescent="0.25">
      <c r="A1702" s="19" t="s">
        <v>262</v>
      </c>
      <c r="C1702" s="6">
        <v>0</v>
      </c>
      <c r="D1702" s="6">
        <v>0</v>
      </c>
      <c r="F1702" s="20">
        <v>17.11</v>
      </c>
      <c r="G1702" s="20"/>
      <c r="H1702" s="7">
        <f t="shared" si="263"/>
        <v>0</v>
      </c>
      <c r="I1702" s="7">
        <f t="shared" si="263"/>
        <v>0</v>
      </c>
      <c r="K1702" s="20"/>
      <c r="L1702" s="20"/>
      <c r="M1702" s="20"/>
      <c r="O1702" s="55"/>
      <c r="P1702" s="55"/>
    </row>
    <row r="1703" spans="1:16" x14ac:dyDescent="0.25">
      <c r="A1703" s="19" t="s">
        <v>256</v>
      </c>
      <c r="C1703" s="6">
        <v>53.645129711209002</v>
      </c>
      <c r="D1703" s="6">
        <v>54</v>
      </c>
      <c r="F1703" s="20">
        <v>20.43</v>
      </c>
      <c r="G1703" s="20"/>
      <c r="H1703" s="7">
        <f t="shared" si="263"/>
        <v>1096</v>
      </c>
      <c r="I1703" s="7">
        <f t="shared" si="263"/>
        <v>1103</v>
      </c>
      <c r="K1703" s="20"/>
      <c r="L1703" s="20"/>
      <c r="M1703" s="20"/>
      <c r="O1703" s="55"/>
      <c r="P1703" s="55"/>
    </row>
    <row r="1704" spans="1:16" x14ac:dyDescent="0.25">
      <c r="A1704" s="19" t="s">
        <v>263</v>
      </c>
      <c r="C1704" s="6">
        <v>0</v>
      </c>
      <c r="D1704" s="6">
        <v>0</v>
      </c>
      <c r="F1704" s="20">
        <v>23.82</v>
      </c>
      <c r="G1704" s="20"/>
      <c r="H1704" s="7">
        <f t="shared" si="263"/>
        <v>0</v>
      </c>
      <c r="I1704" s="7">
        <f t="shared" si="263"/>
        <v>0</v>
      </c>
      <c r="K1704" s="20"/>
      <c r="L1704" s="20"/>
      <c r="M1704" s="20"/>
      <c r="O1704" s="55"/>
      <c r="P1704" s="55"/>
    </row>
    <row r="1705" spans="1:16" x14ac:dyDescent="0.25">
      <c r="A1705" s="19" t="s">
        <v>257</v>
      </c>
      <c r="C1705" s="6">
        <v>0</v>
      </c>
      <c r="D1705" s="6">
        <v>0</v>
      </c>
      <c r="F1705" s="20">
        <v>31.47</v>
      </c>
      <c r="G1705" s="20"/>
      <c r="H1705" s="7">
        <f t="shared" si="263"/>
        <v>0</v>
      </c>
      <c r="I1705" s="7">
        <f t="shared" si="263"/>
        <v>0</v>
      </c>
      <c r="K1705" s="20"/>
      <c r="L1705" s="20"/>
      <c r="M1705" s="20"/>
      <c r="O1705" s="55"/>
      <c r="P1705" s="55"/>
    </row>
    <row r="1706" spans="1:16" x14ac:dyDescent="0.25">
      <c r="A1706" s="106" t="s">
        <v>264</v>
      </c>
      <c r="F1706" s="20"/>
      <c r="G1706" s="20"/>
      <c r="K1706" s="20"/>
      <c r="L1706" s="20"/>
      <c r="M1706" s="20"/>
      <c r="O1706" s="55"/>
      <c r="P1706" s="55"/>
    </row>
    <row r="1707" spans="1:16" x14ac:dyDescent="0.25">
      <c r="A1707" s="19" t="s">
        <v>265</v>
      </c>
      <c r="C1707" s="6">
        <v>15</v>
      </c>
      <c r="D1707" s="6">
        <v>15</v>
      </c>
      <c r="F1707" s="20">
        <v>27.85</v>
      </c>
      <c r="G1707" s="20"/>
      <c r="H1707" s="7">
        <f>ROUND(C1707*$F1707,0)</f>
        <v>418</v>
      </c>
      <c r="I1707" s="7">
        <f>ROUND(D1707*$F1707,0)</f>
        <v>418</v>
      </c>
      <c r="K1707" s="20"/>
      <c r="L1707" s="20"/>
      <c r="M1707" s="20"/>
      <c r="O1707" s="55"/>
      <c r="P1707" s="55"/>
    </row>
    <row r="1708" spans="1:16" x14ac:dyDescent="0.25">
      <c r="A1708" s="106" t="s">
        <v>266</v>
      </c>
      <c r="F1708" s="20"/>
      <c r="G1708" s="20"/>
      <c r="K1708" s="20"/>
      <c r="L1708" s="20"/>
      <c r="M1708" s="20"/>
      <c r="O1708" s="55"/>
      <c r="P1708" s="55"/>
    </row>
    <row r="1709" spans="1:16" x14ac:dyDescent="0.25">
      <c r="A1709" s="19" t="s">
        <v>267</v>
      </c>
      <c r="C1709" s="6">
        <v>0</v>
      </c>
      <c r="D1709" s="6">
        <v>0</v>
      </c>
      <c r="F1709" s="20">
        <v>39.04</v>
      </c>
      <c r="G1709" s="20"/>
      <c r="H1709" s="7">
        <f>ROUND(C1709*$F1709,0)</f>
        <v>0</v>
      </c>
      <c r="I1709" s="7">
        <f>ROUND(D1709*$F1709,0)</f>
        <v>0</v>
      </c>
      <c r="K1709" s="20"/>
      <c r="L1709" s="20"/>
      <c r="M1709" s="20"/>
      <c r="O1709" s="55"/>
      <c r="P1709" s="55"/>
    </row>
    <row r="1710" spans="1:16" x14ac:dyDescent="0.25">
      <c r="A1710" s="19" t="s">
        <v>268</v>
      </c>
      <c r="C1710" s="36">
        <v>285636.89683884697</v>
      </c>
      <c r="D1710" s="36">
        <v>286239</v>
      </c>
      <c r="F1710" s="118"/>
      <c r="H1710" s="37">
        <f>SUM(H1661:H1709)</f>
        <v>4177247</v>
      </c>
      <c r="I1710" s="37">
        <f>SUM(I1661:I1709)</f>
        <v>4186071</v>
      </c>
      <c r="K1710" s="118"/>
      <c r="L1710" s="118"/>
      <c r="O1710" s="217"/>
    </row>
    <row r="1711" spans="1:16" ht="16.5" thickBot="1" x14ac:dyDescent="0.3">
      <c r="A1711" s="19" t="s">
        <v>163</v>
      </c>
      <c r="C1711" s="120">
        <v>13543958.85338369</v>
      </c>
      <c r="D1711" s="120">
        <v>13572508.23362934</v>
      </c>
      <c r="F1711" s="41"/>
      <c r="H1711" s="95"/>
      <c r="I1711" s="95"/>
      <c r="K1711" s="41"/>
      <c r="L1711" s="41"/>
      <c r="O1711" s="68"/>
    </row>
    <row r="1712" spans="1:16" ht="16.5" thickTop="1" x14ac:dyDescent="0.25">
      <c r="A1712" s="19" t="s">
        <v>165</v>
      </c>
      <c r="C1712" s="107">
        <v>717.16666666666697</v>
      </c>
      <c r="D1712" s="107">
        <v>715</v>
      </c>
    </row>
    <row r="1713" spans="1:17" x14ac:dyDescent="0.25">
      <c r="A1713" s="19" t="s">
        <v>164</v>
      </c>
      <c r="C1713" s="121">
        <v>-501829</v>
      </c>
      <c r="D1713" s="121">
        <v>0</v>
      </c>
      <c r="F1713" s="118"/>
      <c r="H1713" s="37">
        <v>-143813</v>
      </c>
      <c r="I1713" s="37">
        <v>0</v>
      </c>
      <c r="K1713" s="118"/>
      <c r="L1713" s="118"/>
      <c r="O1713" s="217"/>
    </row>
    <row r="1714" spans="1:17" x14ac:dyDescent="0.25">
      <c r="A1714" s="19" t="s">
        <v>34</v>
      </c>
      <c r="F1714" s="23">
        <v>-1.9800000000000002E-2</v>
      </c>
      <c r="G1714" s="24"/>
      <c r="H1714" s="7">
        <f>H1710*$F1714</f>
        <v>-82709.490600000005</v>
      </c>
      <c r="I1714" s="7">
        <f>I1710*$F1714</f>
        <v>-82884.205800000011</v>
      </c>
      <c r="K1714" s="93" t="str">
        <f>$K$43</f>
        <v>TAA 1 (1/1/2021)</v>
      </c>
      <c r="L1714" s="23">
        <v>-1.7500000000000002E-2</v>
      </c>
      <c r="M1714" s="24"/>
      <c r="N1714" s="7">
        <f>L1714*N1716</f>
        <v>-65789.585223239119</v>
      </c>
      <c r="O1714" s="65"/>
      <c r="P1714" s="57"/>
    </row>
    <row r="1715" spans="1:17" x14ac:dyDescent="0.25">
      <c r="A1715" s="19"/>
      <c r="F1715" s="23"/>
      <c r="G1715" s="24"/>
      <c r="K1715" s="93" t="str">
        <f>$K$44</f>
        <v>TAA 2 (1/1/2022)</v>
      </c>
      <c r="L1715" s="23">
        <v>-8.6999999999999994E-3</v>
      </c>
      <c r="M1715" s="24"/>
      <c r="N1715" s="7">
        <f>L1715*N1716</f>
        <v>-32706.822368124587</v>
      </c>
      <c r="O1715" s="65"/>
      <c r="P1715" s="57"/>
    </row>
    <row r="1716" spans="1:17" ht="16.5" thickBot="1" x14ac:dyDescent="0.3">
      <c r="A1716" s="19" t="s">
        <v>58</v>
      </c>
      <c r="C1716" s="120">
        <v>13042129.85338369</v>
      </c>
      <c r="D1716" s="120">
        <v>13572508.23362934</v>
      </c>
      <c r="F1716" s="122"/>
      <c r="G1716" s="123"/>
      <c r="H1716" s="124">
        <f>H1713+H1710+H1714</f>
        <v>3950724.5093999999</v>
      </c>
      <c r="I1716" s="124">
        <f>I1713+I1710+I1714</f>
        <v>4103186.7941999999</v>
      </c>
      <c r="K1716" s="122"/>
      <c r="L1716" s="122"/>
      <c r="M1716" s="123"/>
      <c r="N1716" s="124">
        <v>3759404.8698993782</v>
      </c>
      <c r="O1716" s="122"/>
      <c r="P1716" s="123"/>
      <c r="Q1716" s="124"/>
    </row>
    <row r="1717" spans="1:17" ht="16.5" thickTop="1" x14ac:dyDescent="0.25"/>
    <row r="1718" spans="1:17" x14ac:dyDescent="0.25">
      <c r="A1718" s="15" t="s">
        <v>269</v>
      </c>
    </row>
    <row r="1719" spans="1:17" x14ac:dyDescent="0.25">
      <c r="A1719" s="125" t="s">
        <v>270</v>
      </c>
    </row>
    <row r="1720" spans="1:17" x14ac:dyDescent="0.25">
      <c r="A1720" s="106" t="s">
        <v>271</v>
      </c>
    </row>
    <row r="1721" spans="1:17" x14ac:dyDescent="0.25">
      <c r="A1721" s="19" t="s">
        <v>272</v>
      </c>
      <c r="C1721" s="6">
        <v>88517.224043715803</v>
      </c>
      <c r="D1721" s="6">
        <v>51176</v>
      </c>
      <c r="F1721" s="20">
        <v>1.83</v>
      </c>
      <c r="G1721" s="20"/>
      <c r="H1721" s="7">
        <f t="shared" ref="H1721:I1725" si="264">ROUND(C1721*$F1721,0)</f>
        <v>161987</v>
      </c>
      <c r="I1721" s="7">
        <f t="shared" si="264"/>
        <v>93652</v>
      </c>
      <c r="K1721" s="20"/>
      <c r="L1721" s="20">
        <v>1.33</v>
      </c>
      <c r="M1721" s="20"/>
      <c r="N1721" s="7">
        <f>D1721*L1721</f>
        <v>68064.08</v>
      </c>
      <c r="O1721" s="55"/>
      <c r="P1721" s="55"/>
    </row>
    <row r="1722" spans="1:17" x14ac:dyDescent="0.25">
      <c r="A1722" s="19" t="s">
        <v>273</v>
      </c>
      <c r="C1722" s="6">
        <v>139165.98000000001</v>
      </c>
      <c r="D1722" s="6">
        <v>80459</v>
      </c>
      <c r="F1722" s="20">
        <v>2.5</v>
      </c>
      <c r="G1722" s="20"/>
      <c r="H1722" s="7">
        <f t="shared" si="264"/>
        <v>347915</v>
      </c>
      <c r="I1722" s="7">
        <f t="shared" si="264"/>
        <v>201148</v>
      </c>
      <c r="K1722" s="20"/>
      <c r="L1722" s="20">
        <v>1.81</v>
      </c>
      <c r="M1722" s="20"/>
      <c r="N1722" s="7">
        <f t="shared" ref="N1722:N1730" si="265">D1722*L1722</f>
        <v>145630.79</v>
      </c>
      <c r="O1722" s="55"/>
      <c r="P1722" s="55"/>
    </row>
    <row r="1723" spans="1:17" x14ac:dyDescent="0.25">
      <c r="A1723" s="19" t="s">
        <v>274</v>
      </c>
      <c r="C1723" s="6">
        <v>116720.612021858</v>
      </c>
      <c r="D1723" s="6">
        <v>67482</v>
      </c>
      <c r="F1723" s="20">
        <v>3.66</v>
      </c>
      <c r="G1723" s="20"/>
      <c r="H1723" s="7">
        <f t="shared" si="264"/>
        <v>427197</v>
      </c>
      <c r="I1723" s="7">
        <f t="shared" si="264"/>
        <v>246984</v>
      </c>
      <c r="K1723" s="20"/>
      <c r="L1723" s="20">
        <v>2.65</v>
      </c>
      <c r="M1723" s="20"/>
      <c r="N1723" s="7">
        <f t="shared" si="265"/>
        <v>178827.3</v>
      </c>
      <c r="O1723" s="55"/>
      <c r="P1723" s="55"/>
    </row>
    <row r="1724" spans="1:17" x14ac:dyDescent="0.25">
      <c r="A1724" s="19" t="s">
        <v>275</v>
      </c>
      <c r="C1724" s="6">
        <v>29670.9739263804</v>
      </c>
      <c r="D1724" s="6">
        <v>17154</v>
      </c>
      <c r="F1724" s="20">
        <v>6.52</v>
      </c>
      <c r="G1724" s="20"/>
      <c r="H1724" s="7">
        <f t="shared" si="264"/>
        <v>193455</v>
      </c>
      <c r="I1724" s="7">
        <f t="shared" si="264"/>
        <v>111844</v>
      </c>
      <c r="K1724" s="20"/>
      <c r="L1724" s="20">
        <v>4.7300000000000004</v>
      </c>
      <c r="M1724" s="20"/>
      <c r="N1724" s="7">
        <f t="shared" si="265"/>
        <v>81138.420000000013</v>
      </c>
      <c r="O1724" s="55"/>
      <c r="P1724" s="55"/>
    </row>
    <row r="1725" spans="1:17" x14ac:dyDescent="0.25">
      <c r="A1725" s="19" t="s">
        <v>276</v>
      </c>
      <c r="C1725" s="6">
        <v>17455.575848303401</v>
      </c>
      <c r="D1725" s="6">
        <v>10092</v>
      </c>
      <c r="F1725" s="20">
        <v>10.02</v>
      </c>
      <c r="G1725" s="20"/>
      <c r="H1725" s="7">
        <f t="shared" si="264"/>
        <v>174905</v>
      </c>
      <c r="I1725" s="7">
        <f t="shared" si="264"/>
        <v>101122</v>
      </c>
      <c r="K1725" s="20"/>
      <c r="L1725" s="20">
        <v>7.27</v>
      </c>
      <c r="M1725" s="20"/>
      <c r="N1725" s="7">
        <f t="shared" si="265"/>
        <v>73368.84</v>
      </c>
      <c r="O1725" s="55"/>
      <c r="P1725" s="55"/>
    </row>
    <row r="1726" spans="1:17" x14ac:dyDescent="0.25">
      <c r="A1726" s="106" t="s">
        <v>277</v>
      </c>
      <c r="F1726" s="24"/>
      <c r="G1726" s="24"/>
      <c r="K1726" s="24"/>
      <c r="L1726" s="24"/>
      <c r="M1726" s="24"/>
      <c r="O1726" s="57"/>
      <c r="P1726" s="57"/>
    </row>
    <row r="1727" spans="1:17" x14ac:dyDescent="0.25">
      <c r="A1727" s="19" t="s">
        <v>278</v>
      </c>
      <c r="C1727" s="6">
        <v>7556.2588235294097</v>
      </c>
      <c r="D1727" s="6">
        <v>4369</v>
      </c>
      <c r="F1727" s="20">
        <v>2.5499999999999998</v>
      </c>
      <c r="G1727" s="20"/>
      <c r="H1727" s="7">
        <f t="shared" ref="H1727:I1730" si="266">ROUND(C1727*$F1727,0)</f>
        <v>19268</v>
      </c>
      <c r="I1727" s="7">
        <f t="shared" si="266"/>
        <v>11141</v>
      </c>
      <c r="K1727" s="20"/>
      <c r="L1727" s="20">
        <v>1.85</v>
      </c>
      <c r="M1727" s="20"/>
      <c r="N1727" s="7">
        <f t="shared" si="265"/>
        <v>8082.6500000000005</v>
      </c>
      <c r="O1727" s="55"/>
      <c r="P1727" s="55"/>
    </row>
    <row r="1728" spans="1:17" x14ac:dyDescent="0.25">
      <c r="A1728" s="19" t="s">
        <v>279</v>
      </c>
      <c r="C1728" s="6">
        <v>16145.838565022401</v>
      </c>
      <c r="D1728" s="6">
        <v>9335</v>
      </c>
      <c r="F1728" s="20">
        <v>4.46</v>
      </c>
      <c r="G1728" s="20"/>
      <c r="H1728" s="7">
        <f t="shared" si="266"/>
        <v>72010</v>
      </c>
      <c r="I1728" s="7">
        <f t="shared" si="266"/>
        <v>41634</v>
      </c>
      <c r="K1728" s="20"/>
      <c r="L1728" s="20">
        <v>3.24</v>
      </c>
      <c r="M1728" s="20"/>
      <c r="N1728" s="7">
        <f t="shared" si="265"/>
        <v>30245.4</v>
      </c>
      <c r="O1728" s="55"/>
      <c r="P1728" s="55"/>
    </row>
    <row r="1729" spans="1:17" x14ac:dyDescent="0.25">
      <c r="A1729" s="19" t="s">
        <v>280</v>
      </c>
      <c r="C1729" s="6">
        <v>17533.513776337099</v>
      </c>
      <c r="D1729" s="6">
        <v>10137</v>
      </c>
      <c r="F1729" s="20">
        <v>6.17</v>
      </c>
      <c r="G1729" s="20"/>
      <c r="H1729" s="7">
        <f t="shared" si="266"/>
        <v>108182</v>
      </c>
      <c r="I1729" s="7">
        <f t="shared" si="266"/>
        <v>62545</v>
      </c>
      <c r="K1729" s="20"/>
      <c r="L1729" s="20">
        <v>4.4800000000000004</v>
      </c>
      <c r="M1729" s="20"/>
      <c r="N1729" s="7">
        <f t="shared" si="265"/>
        <v>45413.760000000002</v>
      </c>
      <c r="O1729" s="55"/>
      <c r="P1729" s="55"/>
    </row>
    <row r="1730" spans="1:17" x14ac:dyDescent="0.25">
      <c r="A1730" s="19" t="s">
        <v>281</v>
      </c>
      <c r="C1730" s="6">
        <v>10677.115660184199</v>
      </c>
      <c r="D1730" s="6">
        <v>6173</v>
      </c>
      <c r="F1730" s="20">
        <v>9.77</v>
      </c>
      <c r="G1730" s="20"/>
      <c r="H1730" s="7">
        <f t="shared" si="266"/>
        <v>104315</v>
      </c>
      <c r="I1730" s="7">
        <f t="shared" si="266"/>
        <v>60310</v>
      </c>
      <c r="K1730" s="20"/>
      <c r="L1730" s="20">
        <v>7.09</v>
      </c>
      <c r="M1730" s="20"/>
      <c r="N1730" s="7">
        <f t="shared" si="265"/>
        <v>43766.57</v>
      </c>
      <c r="O1730" s="55"/>
      <c r="P1730" s="55"/>
    </row>
    <row r="1731" spans="1:17" x14ac:dyDescent="0.25">
      <c r="A1731" s="106" t="s">
        <v>282</v>
      </c>
      <c r="C1731" s="6">
        <v>16618873.277816664</v>
      </c>
      <c r="D1731" s="6">
        <v>9608182</v>
      </c>
      <c r="F1731" s="126">
        <v>6.5278999999999998</v>
      </c>
      <c r="G1731" s="26" t="s">
        <v>18</v>
      </c>
      <c r="H1731" s="7">
        <f>ROUND(C1731*$F1731/100,0)</f>
        <v>1084863</v>
      </c>
      <c r="I1731" s="7">
        <f>ROUND(D1731*$F1731/100,0)</f>
        <v>627213</v>
      </c>
      <c r="K1731" s="126"/>
      <c r="L1731" s="126">
        <v>4.5465</v>
      </c>
      <c r="M1731" s="26" t="s">
        <v>18</v>
      </c>
      <c r="N1731" s="7">
        <f>D1731*L1731/100</f>
        <v>436835.99462999997</v>
      </c>
      <c r="O1731" s="126"/>
      <c r="P1731" s="59"/>
    </row>
    <row r="1732" spans="1:17" x14ac:dyDescent="0.25">
      <c r="A1732" s="106" t="s">
        <v>283</v>
      </c>
      <c r="C1732" s="36">
        <v>41430739.109842025</v>
      </c>
      <c r="D1732" s="36">
        <v>23953132.664302297</v>
      </c>
      <c r="F1732" s="118"/>
      <c r="H1732" s="37">
        <f>SUM(H1721:H1731)</f>
        <v>2694097</v>
      </c>
      <c r="I1732" s="37">
        <f>SUM(I1721:I1731)</f>
        <v>1557593</v>
      </c>
      <c r="K1732" s="118"/>
      <c r="L1732" s="118"/>
      <c r="N1732" s="37"/>
      <c r="O1732" s="217"/>
      <c r="Q1732" s="64"/>
    </row>
    <row r="1733" spans="1:17" x14ac:dyDescent="0.25">
      <c r="A1733" s="106" t="s">
        <v>164</v>
      </c>
      <c r="C1733" s="6">
        <v>-1535086</v>
      </c>
      <c r="D1733" s="6">
        <v>0</v>
      </c>
      <c r="F1733" s="126"/>
      <c r="G1733" s="26"/>
      <c r="H1733" s="7">
        <v>-92739</v>
      </c>
      <c r="I1733" s="37">
        <v>0</v>
      </c>
      <c r="K1733" s="126"/>
      <c r="L1733" s="126"/>
      <c r="M1733" s="26"/>
      <c r="N1733" s="37"/>
      <c r="O1733" s="126"/>
      <c r="P1733" s="59"/>
      <c r="Q1733" s="64"/>
    </row>
    <row r="1734" spans="1:17" x14ac:dyDescent="0.25">
      <c r="A1734" s="19" t="s">
        <v>34</v>
      </c>
      <c r="F1734" s="23">
        <v>-1.9800000000000002E-2</v>
      </c>
      <c r="G1734" s="24"/>
      <c r="H1734" s="7">
        <f>H1732*$F1734</f>
        <v>-53343.120600000002</v>
      </c>
      <c r="I1734" s="7">
        <f>I1732*$F1734</f>
        <v>-30840.341400000001</v>
      </c>
      <c r="K1734" s="23"/>
      <c r="L1734" s="23"/>
      <c r="M1734" s="24"/>
      <c r="O1734" s="65"/>
      <c r="P1734" s="57"/>
    </row>
    <row r="1735" spans="1:17" x14ac:dyDescent="0.25">
      <c r="A1735" s="19"/>
      <c r="F1735" s="23"/>
      <c r="G1735" s="24"/>
      <c r="K1735" s="23"/>
      <c r="L1735" s="23"/>
      <c r="M1735" s="24"/>
      <c r="O1735" s="65"/>
      <c r="P1735" s="57"/>
    </row>
    <row r="1736" spans="1:17" x14ac:dyDescent="0.25">
      <c r="A1736" s="106" t="s">
        <v>58</v>
      </c>
      <c r="C1736" s="6">
        <v>39895653.109842025</v>
      </c>
      <c r="D1736" s="6">
        <v>23953132.664302297</v>
      </c>
      <c r="F1736" s="126"/>
      <c r="G1736" s="26"/>
      <c r="H1736" s="7">
        <f>SUM(H1732:H1734)</f>
        <v>2548014.8794</v>
      </c>
      <c r="I1736" s="7">
        <f>SUM(I1732:I1734)</f>
        <v>1526752.6586</v>
      </c>
      <c r="K1736" s="126"/>
      <c r="L1736" s="126"/>
      <c r="M1736" s="26"/>
      <c r="O1736" s="126"/>
      <c r="P1736" s="59"/>
    </row>
    <row r="1737" spans="1:17" x14ac:dyDescent="0.25">
      <c r="A1737" s="106" t="s">
        <v>284</v>
      </c>
      <c r="C1737" s="36">
        <v>1005.41666666667</v>
      </c>
      <c r="D1737" s="36">
        <v>990</v>
      </c>
      <c r="F1737" s="118"/>
      <c r="H1737" s="37"/>
      <c r="I1737" s="37"/>
      <c r="K1737" s="118"/>
      <c r="L1737" s="118"/>
      <c r="N1737" s="37"/>
      <c r="O1737" s="217"/>
      <c r="Q1737" s="64"/>
    </row>
    <row r="1738" spans="1:17" x14ac:dyDescent="0.25">
      <c r="A1738" s="127" t="s">
        <v>285</v>
      </c>
    </row>
    <row r="1739" spans="1:17" x14ac:dyDescent="0.25">
      <c r="A1739" s="106" t="s">
        <v>286</v>
      </c>
    </row>
    <row r="1740" spans="1:17" x14ac:dyDescent="0.25">
      <c r="A1740" s="19" t="s">
        <v>287</v>
      </c>
      <c r="C1740" s="6">
        <v>72</v>
      </c>
      <c r="D1740" s="6">
        <v>46</v>
      </c>
      <c r="F1740" s="20">
        <v>8.9600000000000009</v>
      </c>
      <c r="G1740" s="20"/>
      <c r="H1740" s="7">
        <f>ROUND(C1740*$F1740,0)</f>
        <v>645</v>
      </c>
      <c r="I1740" s="7">
        <f>ROUND(D1740*$F1740,0)</f>
        <v>412</v>
      </c>
      <c r="K1740" s="20"/>
      <c r="L1740" s="20">
        <v>6.5</v>
      </c>
      <c r="M1740" s="20"/>
      <c r="N1740" s="7">
        <f t="shared" ref="N1740:N1741" si="267">D1740*L1740</f>
        <v>299</v>
      </c>
      <c r="O1740" s="55"/>
      <c r="P1740" s="55"/>
    </row>
    <row r="1741" spans="1:17" x14ac:dyDescent="0.25">
      <c r="A1741" s="19" t="s">
        <v>256</v>
      </c>
      <c r="C1741" s="6">
        <v>36</v>
      </c>
      <c r="D1741" s="6">
        <v>23</v>
      </c>
      <c r="F1741" s="20">
        <v>12.19</v>
      </c>
      <c r="G1741" s="20"/>
      <c r="H1741" s="7">
        <f>ROUND(C1741*$F1741,0)</f>
        <v>439</v>
      </c>
      <c r="I1741" s="7">
        <f>ROUND(D1741*$F1741,0)</f>
        <v>280</v>
      </c>
      <c r="K1741" s="20"/>
      <c r="L1741" s="20">
        <v>8.84</v>
      </c>
      <c r="M1741" s="20"/>
      <c r="N1741" s="7">
        <f t="shared" si="267"/>
        <v>203.32</v>
      </c>
      <c r="O1741" s="55"/>
      <c r="P1741" s="55"/>
    </row>
    <row r="1742" spans="1:17" x14ac:dyDescent="0.25">
      <c r="A1742" s="106" t="s">
        <v>288</v>
      </c>
      <c r="F1742" s="20"/>
      <c r="G1742" s="20"/>
      <c r="K1742" s="20"/>
      <c r="L1742" s="20"/>
      <c r="M1742" s="20"/>
      <c r="O1742" s="55"/>
      <c r="P1742" s="55"/>
    </row>
    <row r="1743" spans="1:17" x14ac:dyDescent="0.25">
      <c r="A1743" s="19" t="s">
        <v>256</v>
      </c>
      <c r="C1743" s="6">
        <v>0</v>
      </c>
      <c r="D1743" s="6">
        <v>0</v>
      </c>
      <c r="F1743" s="20">
        <v>4.6399999999999997</v>
      </c>
      <c r="G1743" s="20"/>
      <c r="H1743" s="7">
        <f t="shared" ref="H1743:I1746" si="268">ROUND(C1743*$F1743,0)</f>
        <v>0</v>
      </c>
      <c r="I1743" s="7">
        <f t="shared" si="268"/>
        <v>0</v>
      </c>
      <c r="K1743" s="20"/>
      <c r="L1743" s="20">
        <f>ROUND(L1744/F1744*F1743,2)</f>
        <v>3.37</v>
      </c>
      <c r="M1743" s="20"/>
      <c r="N1743" s="7">
        <f t="shared" ref="N1743:N1746" si="269">D1743*L1743</f>
        <v>0</v>
      </c>
      <c r="O1743" s="55"/>
      <c r="P1743" s="55"/>
    </row>
    <row r="1744" spans="1:17" x14ac:dyDescent="0.25">
      <c r="A1744" s="19" t="s">
        <v>137</v>
      </c>
      <c r="C1744" s="6">
        <v>636</v>
      </c>
      <c r="D1744" s="6">
        <v>404</v>
      </c>
      <c r="F1744" s="20">
        <v>7</v>
      </c>
      <c r="H1744" s="7">
        <f t="shared" si="268"/>
        <v>4452</v>
      </c>
      <c r="I1744" s="7">
        <f t="shared" si="268"/>
        <v>2828</v>
      </c>
      <c r="K1744" s="20"/>
      <c r="L1744" s="20">
        <v>5.08</v>
      </c>
      <c r="N1744" s="7">
        <f t="shared" si="269"/>
        <v>2052.3200000000002</v>
      </c>
      <c r="O1744" s="55"/>
    </row>
    <row r="1745" spans="1:16" x14ac:dyDescent="0.25">
      <c r="A1745" s="19" t="s">
        <v>139</v>
      </c>
      <c r="C1745" s="6">
        <v>84</v>
      </c>
      <c r="D1745" s="6">
        <v>53</v>
      </c>
      <c r="F1745" s="20">
        <v>13.33</v>
      </c>
      <c r="G1745" s="20"/>
      <c r="H1745" s="7">
        <f t="shared" si="268"/>
        <v>1120</v>
      </c>
      <c r="I1745" s="7">
        <f t="shared" si="268"/>
        <v>706</v>
      </c>
      <c r="K1745" s="20"/>
      <c r="L1745" s="20">
        <v>9.67</v>
      </c>
      <c r="M1745" s="20"/>
      <c r="N1745" s="7">
        <f t="shared" si="269"/>
        <v>512.51</v>
      </c>
      <c r="O1745" s="55"/>
      <c r="P1745" s="55"/>
    </row>
    <row r="1746" spans="1:16" x14ac:dyDescent="0.25">
      <c r="A1746" s="19" t="s">
        <v>289</v>
      </c>
      <c r="C1746" s="6">
        <v>0</v>
      </c>
      <c r="D1746" s="6">
        <v>0</v>
      </c>
      <c r="F1746" s="20">
        <v>28.38</v>
      </c>
      <c r="G1746" s="20"/>
      <c r="H1746" s="7">
        <f t="shared" si="268"/>
        <v>0</v>
      </c>
      <c r="I1746" s="7">
        <f t="shared" si="268"/>
        <v>0</v>
      </c>
      <c r="K1746" s="20"/>
      <c r="L1746" s="20">
        <v>20.59</v>
      </c>
      <c r="M1746" s="20"/>
      <c r="N1746" s="7">
        <f t="shared" si="269"/>
        <v>0</v>
      </c>
      <c r="O1746" s="55"/>
      <c r="P1746" s="55"/>
    </row>
    <row r="1747" spans="1:16" x14ac:dyDescent="0.25">
      <c r="A1747" s="106" t="s">
        <v>290</v>
      </c>
      <c r="F1747" s="20"/>
      <c r="G1747" s="20"/>
      <c r="K1747" s="20"/>
      <c r="L1747" s="20"/>
      <c r="M1747" s="20"/>
      <c r="O1747" s="55"/>
      <c r="P1747" s="55"/>
    </row>
    <row r="1748" spans="1:16" x14ac:dyDescent="0.25">
      <c r="A1748" s="19" t="s">
        <v>272</v>
      </c>
      <c r="C1748" s="6">
        <v>2228.4779411764698</v>
      </c>
      <c r="D1748" s="6">
        <v>1416</v>
      </c>
      <c r="F1748" s="20">
        <v>4.08</v>
      </c>
      <c r="G1748" s="20"/>
      <c r="H1748" s="7">
        <f t="shared" ref="H1748:I1757" si="270">ROUND(C1748*$F1748,0)</f>
        <v>9092</v>
      </c>
      <c r="I1748" s="7">
        <f t="shared" si="270"/>
        <v>5777</v>
      </c>
      <c r="K1748" s="20"/>
      <c r="L1748" s="20">
        <v>2.96</v>
      </c>
      <c r="M1748" s="20"/>
      <c r="N1748" s="7">
        <f t="shared" ref="N1748:N1757" si="271">D1748*L1748</f>
        <v>4191.3599999999997</v>
      </c>
      <c r="O1748" s="55"/>
      <c r="P1748" s="55"/>
    </row>
    <row r="1749" spans="1:16" x14ac:dyDescent="0.25">
      <c r="A1749" s="19" t="s">
        <v>273</v>
      </c>
      <c r="C1749" s="6">
        <v>10538.737430167601</v>
      </c>
      <c r="D1749" s="6">
        <v>6699</v>
      </c>
      <c r="F1749" s="20">
        <v>5.37</v>
      </c>
      <c r="G1749" s="20"/>
      <c r="H1749" s="7">
        <f t="shared" si="270"/>
        <v>56593</v>
      </c>
      <c r="I1749" s="7">
        <f t="shared" si="270"/>
        <v>35974</v>
      </c>
      <c r="K1749" s="20"/>
      <c r="L1749" s="20">
        <v>3.9</v>
      </c>
      <c r="M1749" s="20"/>
      <c r="N1749" s="7">
        <f t="shared" si="271"/>
        <v>26126.1</v>
      </c>
      <c r="O1749" s="55"/>
      <c r="P1749" s="55"/>
    </row>
    <row r="1750" spans="1:16" x14ac:dyDescent="0.25">
      <c r="A1750" s="19" t="s">
        <v>291</v>
      </c>
      <c r="C1750" s="6">
        <v>6086.2600574712596</v>
      </c>
      <c r="D1750" s="6">
        <v>3869</v>
      </c>
      <c r="F1750" s="20">
        <v>6.96</v>
      </c>
      <c r="G1750" s="20"/>
      <c r="H1750" s="7">
        <f t="shared" si="270"/>
        <v>42360</v>
      </c>
      <c r="I1750" s="7">
        <f t="shared" si="270"/>
        <v>26928</v>
      </c>
      <c r="K1750" s="20"/>
      <c r="L1750" s="20">
        <v>5.05</v>
      </c>
      <c r="M1750" s="20"/>
      <c r="N1750" s="7">
        <f t="shared" si="271"/>
        <v>19538.45</v>
      </c>
      <c r="O1750" s="55"/>
      <c r="P1750" s="55"/>
    </row>
    <row r="1751" spans="1:16" x14ac:dyDescent="0.25">
      <c r="A1751" s="19" t="s">
        <v>274</v>
      </c>
      <c r="C1751" s="6">
        <v>921.29294478527595</v>
      </c>
      <c r="D1751" s="6">
        <v>586</v>
      </c>
      <c r="F1751" s="20">
        <v>6.52</v>
      </c>
      <c r="G1751" s="20"/>
      <c r="H1751" s="7">
        <f t="shared" si="270"/>
        <v>6007</v>
      </c>
      <c r="I1751" s="7">
        <f t="shared" si="270"/>
        <v>3821</v>
      </c>
      <c r="K1751" s="20"/>
      <c r="L1751" s="20">
        <v>4.7300000000000004</v>
      </c>
      <c r="M1751" s="20"/>
      <c r="N1751" s="7">
        <f t="shared" si="271"/>
        <v>2771.78</v>
      </c>
      <c r="O1751" s="55"/>
      <c r="P1751" s="55"/>
    </row>
    <row r="1752" spans="1:16" x14ac:dyDescent="0.25">
      <c r="A1752" s="19" t="s">
        <v>292</v>
      </c>
      <c r="C1752" s="6">
        <v>422.75937122128198</v>
      </c>
      <c r="D1752" s="6">
        <v>269</v>
      </c>
      <c r="F1752" s="20">
        <v>8.27</v>
      </c>
      <c r="G1752" s="20"/>
      <c r="H1752" s="7">
        <f t="shared" si="270"/>
        <v>3496</v>
      </c>
      <c r="I1752" s="7">
        <f t="shared" si="270"/>
        <v>2225</v>
      </c>
      <c r="K1752" s="20"/>
      <c r="L1752" s="20">
        <v>6</v>
      </c>
      <c r="M1752" s="20"/>
      <c r="N1752" s="7">
        <f t="shared" si="271"/>
        <v>1614</v>
      </c>
      <c r="O1752" s="55"/>
      <c r="P1752" s="55"/>
    </row>
    <row r="1753" spans="1:16" x14ac:dyDescent="0.25">
      <c r="A1753" s="19" t="s">
        <v>293</v>
      </c>
      <c r="C1753" s="6">
        <v>0</v>
      </c>
      <c r="D1753" s="6">
        <v>0</v>
      </c>
      <c r="F1753" s="20">
        <v>8.26</v>
      </c>
      <c r="G1753" s="20"/>
      <c r="H1753" s="7">
        <f t="shared" si="270"/>
        <v>0</v>
      </c>
      <c r="I1753" s="7">
        <f t="shared" si="270"/>
        <v>0</v>
      </c>
      <c r="K1753" s="20"/>
      <c r="L1753" s="20">
        <v>5.99</v>
      </c>
      <c r="M1753" s="20"/>
      <c r="N1753" s="7">
        <f t="shared" si="271"/>
        <v>0</v>
      </c>
      <c r="O1753" s="55"/>
      <c r="P1753" s="55"/>
    </row>
    <row r="1754" spans="1:16" x14ac:dyDescent="0.25">
      <c r="A1754" s="19" t="s">
        <v>275</v>
      </c>
      <c r="C1754" s="6">
        <v>2737.1355578727798</v>
      </c>
      <c r="D1754" s="6">
        <v>1740</v>
      </c>
      <c r="F1754" s="20">
        <v>9.59</v>
      </c>
      <c r="G1754" s="20"/>
      <c r="H1754" s="7">
        <f t="shared" si="270"/>
        <v>26249</v>
      </c>
      <c r="I1754" s="7">
        <f t="shared" si="270"/>
        <v>16687</v>
      </c>
      <c r="K1754" s="20"/>
      <c r="L1754" s="20">
        <v>6.96</v>
      </c>
      <c r="M1754" s="20"/>
      <c r="N1754" s="7">
        <f t="shared" si="271"/>
        <v>12110.4</v>
      </c>
      <c r="O1754" s="55"/>
      <c r="P1754" s="55"/>
    </row>
    <row r="1755" spans="1:16" x14ac:dyDescent="0.25">
      <c r="A1755" s="19" t="s">
        <v>294</v>
      </c>
      <c r="C1755" s="6">
        <v>120.699916177703</v>
      </c>
      <c r="D1755" s="6">
        <v>77</v>
      </c>
      <c r="F1755" s="20">
        <v>11.93</v>
      </c>
      <c r="G1755" s="20"/>
      <c r="H1755" s="7">
        <f t="shared" si="270"/>
        <v>1440</v>
      </c>
      <c r="I1755" s="7">
        <f t="shared" si="270"/>
        <v>919</v>
      </c>
      <c r="K1755" s="20"/>
      <c r="L1755" s="20">
        <v>8.65</v>
      </c>
      <c r="M1755" s="20"/>
      <c r="N1755" s="7">
        <f t="shared" si="271"/>
        <v>666.05000000000007</v>
      </c>
      <c r="O1755" s="55"/>
      <c r="P1755" s="55"/>
    </row>
    <row r="1756" spans="1:16" x14ac:dyDescent="0.25">
      <c r="A1756" s="19" t="s">
        <v>276</v>
      </c>
      <c r="C1756" s="6">
        <v>7177.3864285714299</v>
      </c>
      <c r="D1756" s="6">
        <v>4562</v>
      </c>
      <c r="F1756" s="20">
        <v>14</v>
      </c>
      <c r="G1756" s="20"/>
      <c r="H1756" s="7">
        <f t="shared" si="270"/>
        <v>100483</v>
      </c>
      <c r="I1756" s="7">
        <f t="shared" si="270"/>
        <v>63868</v>
      </c>
      <c r="K1756" s="20"/>
      <c r="L1756" s="20">
        <v>10.15</v>
      </c>
      <c r="M1756" s="20"/>
      <c r="N1756" s="7">
        <f t="shared" si="271"/>
        <v>46304.3</v>
      </c>
      <c r="O1756" s="55"/>
      <c r="P1756" s="55"/>
    </row>
    <row r="1757" spans="1:16" x14ac:dyDescent="0.25">
      <c r="A1757" s="19" t="s">
        <v>295</v>
      </c>
      <c r="C1757" s="6">
        <v>120</v>
      </c>
      <c r="D1757" s="6">
        <v>76</v>
      </c>
      <c r="F1757" s="20">
        <v>15.56</v>
      </c>
      <c r="G1757" s="20"/>
      <c r="H1757" s="7">
        <f t="shared" si="270"/>
        <v>1867</v>
      </c>
      <c r="I1757" s="7">
        <f t="shared" si="270"/>
        <v>1183</v>
      </c>
      <c r="K1757" s="20"/>
      <c r="L1757" s="20">
        <v>11.29</v>
      </c>
      <c r="M1757" s="20"/>
      <c r="N1757" s="7">
        <f t="shared" si="271"/>
        <v>858.04</v>
      </c>
      <c r="O1757" s="55"/>
      <c r="P1757" s="55"/>
    </row>
    <row r="1758" spans="1:16" x14ac:dyDescent="0.25">
      <c r="A1758" s="106" t="s">
        <v>277</v>
      </c>
      <c r="F1758" s="20"/>
      <c r="G1758" s="20"/>
      <c r="K1758" s="20"/>
      <c r="L1758" s="20"/>
      <c r="M1758" s="20"/>
      <c r="O1758" s="55"/>
      <c r="P1758" s="55"/>
    </row>
    <row r="1759" spans="1:16" x14ac:dyDescent="0.25">
      <c r="A1759" s="19" t="s">
        <v>296</v>
      </c>
      <c r="C1759" s="6">
        <v>924.09031556039201</v>
      </c>
      <c r="D1759" s="6">
        <v>587</v>
      </c>
      <c r="F1759" s="20">
        <v>9.19</v>
      </c>
      <c r="G1759" s="20"/>
      <c r="H1759" s="7">
        <f t="shared" ref="H1759:I1765" si="272">ROUND(C1759*$F1759,0)</f>
        <v>8492</v>
      </c>
      <c r="I1759" s="7">
        <f t="shared" si="272"/>
        <v>5395</v>
      </c>
      <c r="K1759" s="20"/>
      <c r="L1759" s="20">
        <v>6.67</v>
      </c>
      <c r="M1759" s="20"/>
      <c r="N1759" s="7">
        <f t="shared" ref="N1759:N1765" si="273">D1759*L1759</f>
        <v>3915.29</v>
      </c>
      <c r="O1759" s="55"/>
      <c r="P1759" s="55"/>
    </row>
    <row r="1760" spans="1:16" x14ac:dyDescent="0.25">
      <c r="A1760" s="19" t="s">
        <v>279</v>
      </c>
      <c r="C1760" s="6">
        <v>1332</v>
      </c>
      <c r="D1760" s="6">
        <v>847</v>
      </c>
      <c r="F1760" s="20">
        <v>13.57</v>
      </c>
      <c r="G1760" s="20"/>
      <c r="H1760" s="7">
        <f t="shared" si="272"/>
        <v>18075</v>
      </c>
      <c r="I1760" s="7">
        <f t="shared" si="272"/>
        <v>11494</v>
      </c>
      <c r="K1760" s="20"/>
      <c r="L1760" s="20">
        <v>9.84</v>
      </c>
      <c r="M1760" s="20"/>
      <c r="N1760" s="7">
        <f t="shared" si="273"/>
        <v>8334.48</v>
      </c>
      <c r="O1760" s="55"/>
      <c r="P1760" s="55"/>
    </row>
    <row r="1761" spans="1:17" x14ac:dyDescent="0.25">
      <c r="A1761" s="19" t="s">
        <v>297</v>
      </c>
      <c r="C1761" s="6">
        <v>204</v>
      </c>
      <c r="D1761" s="6">
        <v>130</v>
      </c>
      <c r="F1761" s="20">
        <v>11.09</v>
      </c>
      <c r="G1761" s="20"/>
      <c r="H1761" s="7">
        <f t="shared" si="272"/>
        <v>2262</v>
      </c>
      <c r="I1761" s="7">
        <f t="shared" si="272"/>
        <v>1442</v>
      </c>
      <c r="K1761" s="20"/>
      <c r="L1761" s="20">
        <v>8.0399999999999991</v>
      </c>
      <c r="M1761" s="20"/>
      <c r="N1761" s="7">
        <f t="shared" si="273"/>
        <v>1045.1999999999998</v>
      </c>
      <c r="O1761" s="55"/>
      <c r="P1761" s="55"/>
    </row>
    <row r="1762" spans="1:17" x14ac:dyDescent="0.25">
      <c r="A1762" s="19" t="s">
        <v>280</v>
      </c>
      <c r="C1762" s="6">
        <v>384</v>
      </c>
      <c r="D1762" s="6">
        <v>244</v>
      </c>
      <c r="F1762" s="20">
        <v>13.71</v>
      </c>
      <c r="G1762" s="20"/>
      <c r="H1762" s="7">
        <f t="shared" si="272"/>
        <v>5265</v>
      </c>
      <c r="I1762" s="7">
        <f t="shared" si="272"/>
        <v>3345</v>
      </c>
      <c r="K1762" s="20"/>
      <c r="L1762" s="20">
        <v>9.94</v>
      </c>
      <c r="M1762" s="20"/>
      <c r="N1762" s="7">
        <f t="shared" si="273"/>
        <v>2425.3599999999997</v>
      </c>
      <c r="O1762" s="55"/>
      <c r="P1762" s="55"/>
    </row>
    <row r="1763" spans="1:17" x14ac:dyDescent="0.25">
      <c r="A1763" s="19" t="s">
        <v>298</v>
      </c>
      <c r="C1763" s="6">
        <v>5784</v>
      </c>
      <c r="D1763" s="6">
        <v>3676</v>
      </c>
      <c r="F1763" s="20">
        <v>14.13</v>
      </c>
      <c r="G1763" s="20"/>
      <c r="H1763" s="7">
        <f t="shared" si="272"/>
        <v>81728</v>
      </c>
      <c r="I1763" s="7">
        <f t="shared" si="272"/>
        <v>51942</v>
      </c>
      <c r="K1763" s="20"/>
      <c r="L1763" s="20">
        <v>10.25</v>
      </c>
      <c r="M1763" s="20"/>
      <c r="N1763" s="7">
        <f t="shared" si="273"/>
        <v>37679</v>
      </c>
      <c r="O1763" s="55"/>
      <c r="P1763" s="55"/>
    </row>
    <row r="1764" spans="1:17" x14ac:dyDescent="0.25">
      <c r="A1764" s="19" t="s">
        <v>281</v>
      </c>
      <c r="C1764" s="6">
        <v>192</v>
      </c>
      <c r="D1764" s="6">
        <v>122</v>
      </c>
      <c r="F1764" s="20">
        <v>14.58</v>
      </c>
      <c r="G1764" s="20"/>
      <c r="H1764" s="7">
        <f t="shared" si="272"/>
        <v>2799</v>
      </c>
      <c r="I1764" s="7">
        <f t="shared" si="272"/>
        <v>1779</v>
      </c>
      <c r="K1764" s="20"/>
      <c r="L1764" s="20">
        <v>10.58</v>
      </c>
      <c r="M1764" s="20"/>
      <c r="N1764" s="7">
        <f t="shared" si="273"/>
        <v>1290.76</v>
      </c>
      <c r="O1764" s="55"/>
      <c r="P1764" s="55"/>
    </row>
    <row r="1765" spans="1:17" x14ac:dyDescent="0.25">
      <c r="A1765" s="19" t="s">
        <v>299</v>
      </c>
      <c r="C1765" s="6">
        <v>553.65484483850503</v>
      </c>
      <c r="D1765" s="6">
        <v>352</v>
      </c>
      <c r="F1765" s="20">
        <v>15.79</v>
      </c>
      <c r="G1765" s="20"/>
      <c r="H1765" s="7">
        <f t="shared" si="272"/>
        <v>8742</v>
      </c>
      <c r="I1765" s="7">
        <f t="shared" si="272"/>
        <v>5558</v>
      </c>
      <c r="K1765" s="20"/>
      <c r="L1765" s="20">
        <v>11.45</v>
      </c>
      <c r="M1765" s="20"/>
      <c r="N1765" s="7">
        <f t="shared" si="273"/>
        <v>4030.3999999999996</v>
      </c>
      <c r="O1765" s="55"/>
      <c r="P1765" s="55"/>
    </row>
    <row r="1766" spans="1:17" x14ac:dyDescent="0.25">
      <c r="A1766" s="106" t="s">
        <v>300</v>
      </c>
      <c r="F1766" s="20"/>
      <c r="G1766" s="20"/>
      <c r="K1766" s="20"/>
      <c r="L1766" s="20"/>
      <c r="M1766" s="20"/>
      <c r="O1766" s="55"/>
      <c r="P1766" s="55"/>
    </row>
    <row r="1767" spans="1:17" x14ac:dyDescent="0.25">
      <c r="A1767" s="19" t="s">
        <v>301</v>
      </c>
      <c r="C1767" s="6">
        <v>0</v>
      </c>
      <c r="D1767" s="6">
        <v>0</v>
      </c>
      <c r="F1767" s="20">
        <v>3.75</v>
      </c>
      <c r="G1767" s="20"/>
      <c r="H1767" s="7">
        <f>ROUND(C1767*$F1767,0)</f>
        <v>0</v>
      </c>
      <c r="I1767" s="7">
        <f>ROUND(D1767*$F1767,0)</f>
        <v>0</v>
      </c>
      <c r="K1767" s="20"/>
      <c r="L1767" s="20">
        <f>ROUND(L1768/F1768*F1767,2)</f>
        <v>2.72</v>
      </c>
      <c r="M1767" s="20"/>
      <c r="N1767" s="7">
        <f t="shared" ref="N1767:N1768" si="274">D1767*L1767</f>
        <v>0</v>
      </c>
      <c r="O1767" s="55"/>
      <c r="P1767" s="55"/>
    </row>
    <row r="1768" spans="1:17" x14ac:dyDescent="0.25">
      <c r="A1768" s="19" t="s">
        <v>302</v>
      </c>
      <c r="C1768" s="6">
        <v>84</v>
      </c>
      <c r="D1768" s="6">
        <v>53</v>
      </c>
      <c r="F1768" s="20">
        <v>13.92</v>
      </c>
      <c r="G1768" s="20"/>
      <c r="H1768" s="7">
        <f>ROUND(C1768*$F1768,0)</f>
        <v>1169</v>
      </c>
      <c r="I1768" s="7">
        <f>ROUND(D1768*$F1768,0)</f>
        <v>738</v>
      </c>
      <c r="K1768" s="20"/>
      <c r="L1768" s="20">
        <v>10.1</v>
      </c>
      <c r="M1768" s="20"/>
      <c r="N1768" s="7">
        <f t="shared" si="274"/>
        <v>535.29999999999995</v>
      </c>
      <c r="O1768" s="55"/>
      <c r="P1768" s="55"/>
    </row>
    <row r="1769" spans="1:17" x14ac:dyDescent="0.25">
      <c r="A1769" s="106" t="s">
        <v>283</v>
      </c>
      <c r="C1769" s="36">
        <v>3043780.2427610983</v>
      </c>
      <c r="D1769" s="36">
        <v>1934664</v>
      </c>
      <c r="F1769" s="118"/>
      <c r="H1769" s="37">
        <f>SUM(H1740:H1768)</f>
        <v>382775</v>
      </c>
      <c r="I1769" s="37">
        <f>SUM(I1740:I1768)</f>
        <v>243301</v>
      </c>
      <c r="K1769" s="118"/>
      <c r="L1769" s="118"/>
      <c r="N1769" s="37"/>
      <c r="O1769" s="217"/>
      <c r="Q1769" s="64"/>
    </row>
    <row r="1770" spans="1:17" x14ac:dyDescent="0.25">
      <c r="A1770" s="106" t="s">
        <v>164</v>
      </c>
      <c r="C1770" s="6">
        <v>-112778</v>
      </c>
      <c r="D1770" s="6">
        <v>0</v>
      </c>
      <c r="F1770" s="20"/>
      <c r="G1770" s="26"/>
      <c r="H1770" s="7">
        <v>-13175</v>
      </c>
      <c r="I1770" s="37">
        <v>0</v>
      </c>
      <c r="K1770" s="20"/>
      <c r="L1770" s="20"/>
      <c r="M1770" s="26"/>
      <c r="N1770" s="37"/>
      <c r="O1770" s="55"/>
      <c r="P1770" s="59"/>
      <c r="Q1770" s="64"/>
    </row>
    <row r="1771" spans="1:17" x14ac:dyDescent="0.25">
      <c r="A1771" s="19" t="s">
        <v>34</v>
      </c>
      <c r="F1771" s="23">
        <v>-1.9800000000000002E-2</v>
      </c>
      <c r="G1771" s="24"/>
      <c r="H1771" s="7">
        <f>H1769*$F1771</f>
        <v>-7578.9450000000006</v>
      </c>
      <c r="I1771" s="7">
        <f>I1769*$F1771</f>
        <v>-4817.3598000000002</v>
      </c>
      <c r="K1771" s="23"/>
      <c r="L1771" s="23"/>
      <c r="M1771" s="24"/>
      <c r="O1771" s="65"/>
      <c r="P1771" s="57"/>
    </row>
    <row r="1772" spans="1:17" x14ac:dyDescent="0.25">
      <c r="A1772" s="19"/>
      <c r="F1772" s="23"/>
      <c r="G1772" s="24"/>
      <c r="K1772" s="23"/>
      <c r="L1772" s="23"/>
      <c r="M1772" s="24"/>
      <c r="O1772" s="65"/>
      <c r="P1772" s="57"/>
    </row>
    <row r="1773" spans="1:17" x14ac:dyDescent="0.25">
      <c r="A1773" s="106" t="s">
        <v>58</v>
      </c>
      <c r="C1773" s="6">
        <v>2931002.2427610983</v>
      </c>
      <c r="D1773" s="6">
        <v>1934664</v>
      </c>
      <c r="F1773" s="20"/>
      <c r="G1773" s="26"/>
      <c r="H1773" s="7">
        <f>SUM(H1769:H1771)</f>
        <v>362021.05499999999</v>
      </c>
      <c r="I1773" s="7">
        <f>SUM(I1769:I1771)</f>
        <v>238483.64019999999</v>
      </c>
      <c r="K1773" s="20"/>
      <c r="L1773" s="20"/>
      <c r="M1773" s="26"/>
      <c r="O1773" s="55"/>
      <c r="P1773" s="59"/>
    </row>
    <row r="1774" spans="1:17" x14ac:dyDescent="0.25">
      <c r="A1774" s="106" t="s">
        <v>284</v>
      </c>
      <c r="C1774" s="36">
        <v>169.5</v>
      </c>
      <c r="D1774" s="36">
        <v>170</v>
      </c>
      <c r="F1774" s="118"/>
      <c r="H1774" s="37"/>
      <c r="I1774" s="37"/>
      <c r="K1774" s="118"/>
      <c r="L1774" s="118"/>
      <c r="N1774" s="37"/>
      <c r="O1774" s="217"/>
      <c r="Q1774" s="64"/>
    </row>
    <row r="1775" spans="1:17" x14ac:dyDescent="0.25">
      <c r="A1775" s="127" t="s">
        <v>303</v>
      </c>
      <c r="F1775" s="20"/>
      <c r="G1775" s="20"/>
      <c r="K1775" s="20"/>
      <c r="L1775" s="20"/>
      <c r="M1775" s="20"/>
      <c r="O1775" s="55"/>
      <c r="P1775" s="55"/>
    </row>
    <row r="1776" spans="1:17" x14ac:dyDescent="0.25">
      <c r="A1776" s="106" t="s">
        <v>286</v>
      </c>
      <c r="F1776" s="20"/>
      <c r="G1776" s="20"/>
      <c r="K1776" s="20"/>
      <c r="L1776" s="20"/>
      <c r="M1776" s="20"/>
      <c r="O1776" s="55"/>
      <c r="P1776" s="55"/>
    </row>
    <row r="1777" spans="1:16" x14ac:dyDescent="0.25">
      <c r="A1777" s="19" t="s">
        <v>263</v>
      </c>
      <c r="C1777" s="6">
        <v>36</v>
      </c>
      <c r="D1777" s="6">
        <v>37</v>
      </c>
      <c r="F1777" s="20">
        <v>17.73</v>
      </c>
      <c r="G1777" s="20"/>
      <c r="H1777" s="7">
        <f>ROUND(C1777*$F1777,0)</f>
        <v>638</v>
      </c>
      <c r="I1777" s="7">
        <f>ROUND(D1777*$F1777,0)</f>
        <v>656</v>
      </c>
      <c r="K1777" s="20"/>
      <c r="L1777" s="20">
        <v>12.86</v>
      </c>
      <c r="M1777" s="20"/>
      <c r="N1777" s="7">
        <f t="shared" ref="N1777:N1778" si="275">D1777*L1777</f>
        <v>475.82</v>
      </c>
      <c r="O1777" s="55"/>
      <c r="P1777" s="55"/>
    </row>
    <row r="1778" spans="1:16" x14ac:dyDescent="0.25">
      <c r="A1778" s="19" t="s">
        <v>257</v>
      </c>
      <c r="C1778" s="6">
        <v>12</v>
      </c>
      <c r="D1778" s="6">
        <v>12</v>
      </c>
      <c r="F1778" s="20">
        <v>23.4</v>
      </c>
      <c r="G1778" s="20"/>
      <c r="H1778" s="7">
        <f>ROUND(C1778*$F1778,0)</f>
        <v>281</v>
      </c>
      <c r="I1778" s="7">
        <f>ROUND(D1778*$F1778,0)</f>
        <v>281</v>
      </c>
      <c r="K1778" s="20"/>
      <c r="L1778" s="20">
        <v>16.97</v>
      </c>
      <c r="M1778" s="20"/>
      <c r="N1778" s="7">
        <f t="shared" si="275"/>
        <v>203.64</v>
      </c>
      <c r="O1778" s="55"/>
      <c r="P1778" s="55"/>
    </row>
    <row r="1779" spans="1:16" x14ac:dyDescent="0.25">
      <c r="A1779" s="106" t="s">
        <v>288</v>
      </c>
    </row>
    <row r="1780" spans="1:16" x14ac:dyDescent="0.25">
      <c r="A1780" s="19" t="s">
        <v>137</v>
      </c>
      <c r="C1780" s="6">
        <v>24</v>
      </c>
      <c r="D1780" s="6">
        <v>25</v>
      </c>
      <c r="F1780" s="20">
        <v>8.0299999999999994</v>
      </c>
      <c r="G1780" s="20"/>
      <c r="H1780" s="7">
        <f t="shared" ref="H1780:I1782" si="276">ROUND(C1780*$F1780,0)</f>
        <v>193</v>
      </c>
      <c r="I1780" s="7">
        <f t="shared" si="276"/>
        <v>201</v>
      </c>
      <c r="K1780" s="20"/>
      <c r="L1780" s="20">
        <v>5.82</v>
      </c>
      <c r="M1780" s="20"/>
      <c r="N1780" s="7">
        <f t="shared" ref="N1780:N1782" si="277">D1780*L1780</f>
        <v>145.5</v>
      </c>
      <c r="O1780" s="55"/>
      <c r="P1780" s="55"/>
    </row>
    <row r="1781" spans="1:16" x14ac:dyDescent="0.25">
      <c r="A1781" s="19" t="s">
        <v>139</v>
      </c>
      <c r="C1781" s="6">
        <v>0</v>
      </c>
      <c r="D1781" s="6">
        <v>0</v>
      </c>
      <c r="F1781" s="20">
        <v>15.3</v>
      </c>
      <c r="G1781" s="20"/>
      <c r="H1781" s="7">
        <f t="shared" si="276"/>
        <v>0</v>
      </c>
      <c r="I1781" s="7">
        <f t="shared" si="276"/>
        <v>0</v>
      </c>
      <c r="K1781" s="20"/>
      <c r="L1781" s="20">
        <f>ROUND(L1782/F1782*F1781,2)</f>
        <v>11.1</v>
      </c>
      <c r="M1781" s="20"/>
      <c r="N1781" s="7">
        <f t="shared" si="277"/>
        <v>0</v>
      </c>
      <c r="O1781" s="55"/>
      <c r="P1781" s="55"/>
    </row>
    <row r="1782" spans="1:16" x14ac:dyDescent="0.25">
      <c r="A1782" s="19" t="s">
        <v>289</v>
      </c>
      <c r="C1782" s="6">
        <v>0</v>
      </c>
      <c r="D1782" s="6">
        <v>0</v>
      </c>
      <c r="F1782" s="20">
        <v>32.479999999999997</v>
      </c>
      <c r="G1782" s="20"/>
      <c r="H1782" s="7">
        <f t="shared" si="276"/>
        <v>0</v>
      </c>
      <c r="I1782" s="7">
        <f t="shared" si="276"/>
        <v>0</v>
      </c>
      <c r="K1782" s="20"/>
      <c r="L1782" s="20">
        <v>23.56</v>
      </c>
      <c r="M1782" s="20"/>
      <c r="N1782" s="7">
        <f t="shared" si="277"/>
        <v>0</v>
      </c>
      <c r="O1782" s="55"/>
      <c r="P1782" s="55"/>
    </row>
    <row r="1783" spans="1:16" ht="14.25" customHeight="1" x14ac:dyDescent="0.25">
      <c r="A1783" s="106" t="s">
        <v>304</v>
      </c>
      <c r="F1783" s="24"/>
      <c r="G1783" s="24"/>
      <c r="K1783" s="24"/>
      <c r="L1783" s="24"/>
      <c r="M1783" s="24"/>
      <c r="O1783" s="57"/>
      <c r="P1783" s="57"/>
    </row>
    <row r="1784" spans="1:16" x14ac:dyDescent="0.25">
      <c r="A1784" s="19" t="s">
        <v>272</v>
      </c>
      <c r="C1784" s="6">
        <v>4038.05982905983</v>
      </c>
      <c r="D1784" s="6">
        <v>4183</v>
      </c>
      <c r="F1784" s="20">
        <v>4.68</v>
      </c>
      <c r="G1784" s="20"/>
      <c r="H1784" s="7">
        <f t="shared" ref="H1784:I1789" si="278">ROUND(C1784*$F1784,0)</f>
        <v>18898</v>
      </c>
      <c r="I1784" s="7">
        <f t="shared" si="278"/>
        <v>19576</v>
      </c>
      <c r="K1784" s="20"/>
      <c r="L1784" s="20">
        <v>3.39</v>
      </c>
      <c r="M1784" s="20"/>
      <c r="N1784" s="7">
        <f t="shared" ref="N1784:N1789" si="279">D1784*L1784</f>
        <v>14180.37</v>
      </c>
      <c r="O1784" s="55"/>
      <c r="P1784" s="55"/>
    </row>
    <row r="1785" spans="1:16" x14ac:dyDescent="0.25">
      <c r="A1785" s="19" t="s">
        <v>273</v>
      </c>
      <c r="C1785" s="6">
        <v>6914.6444805194797</v>
      </c>
      <c r="D1785" s="6">
        <v>7164</v>
      </c>
      <c r="F1785" s="20">
        <v>6.16</v>
      </c>
      <c r="G1785" s="20"/>
      <c r="H1785" s="7">
        <f t="shared" si="278"/>
        <v>42594</v>
      </c>
      <c r="I1785" s="7">
        <f t="shared" si="278"/>
        <v>44130</v>
      </c>
      <c r="K1785" s="20"/>
      <c r="L1785" s="20">
        <v>4.47</v>
      </c>
      <c r="M1785" s="20"/>
      <c r="N1785" s="7">
        <f t="shared" si="279"/>
        <v>32023.079999999998</v>
      </c>
      <c r="O1785" s="55"/>
      <c r="P1785" s="55"/>
    </row>
    <row r="1786" spans="1:16" x14ac:dyDescent="0.25">
      <c r="A1786" s="19" t="s">
        <v>274</v>
      </c>
      <c r="C1786" s="6">
        <v>576</v>
      </c>
      <c r="D1786" s="6">
        <v>597</v>
      </c>
      <c r="F1786" s="20">
        <v>7.47</v>
      </c>
      <c r="G1786" s="20"/>
      <c r="H1786" s="7">
        <f t="shared" si="278"/>
        <v>4303</v>
      </c>
      <c r="I1786" s="7">
        <f t="shared" si="278"/>
        <v>4460</v>
      </c>
      <c r="K1786" s="20"/>
      <c r="L1786" s="20">
        <v>5.42</v>
      </c>
      <c r="M1786" s="20"/>
      <c r="N1786" s="7">
        <f t="shared" si="279"/>
        <v>3235.74</v>
      </c>
      <c r="O1786" s="55"/>
      <c r="P1786" s="55"/>
    </row>
    <row r="1787" spans="1:16" x14ac:dyDescent="0.25">
      <c r="A1787" s="19" t="s">
        <v>147</v>
      </c>
      <c r="C1787" s="6">
        <v>0</v>
      </c>
      <c r="D1787" s="6">
        <v>0</v>
      </c>
      <c r="F1787" s="20">
        <v>9.44</v>
      </c>
      <c r="G1787" s="20"/>
      <c r="H1787" s="7">
        <f t="shared" si="278"/>
        <v>0</v>
      </c>
      <c r="I1787" s="7">
        <f t="shared" si="278"/>
        <v>0</v>
      </c>
      <c r="K1787" s="20"/>
      <c r="L1787" s="20">
        <f>ROUND(L1788/F1788*F1787,2)</f>
        <v>6.85</v>
      </c>
      <c r="M1787" s="20"/>
      <c r="N1787" s="7">
        <f t="shared" si="279"/>
        <v>0</v>
      </c>
      <c r="O1787" s="55"/>
      <c r="P1787" s="55"/>
    </row>
    <row r="1788" spans="1:16" x14ac:dyDescent="0.25">
      <c r="A1788" s="19" t="s">
        <v>275</v>
      </c>
      <c r="C1788" s="6">
        <v>1223.2984531392201</v>
      </c>
      <c r="D1788" s="6">
        <v>1267</v>
      </c>
      <c r="F1788" s="20">
        <v>10.99</v>
      </c>
      <c r="G1788" s="20"/>
      <c r="H1788" s="7">
        <f t="shared" si="278"/>
        <v>13444</v>
      </c>
      <c r="I1788" s="7">
        <f t="shared" si="278"/>
        <v>13924</v>
      </c>
      <c r="K1788" s="20"/>
      <c r="L1788" s="20">
        <v>7.97</v>
      </c>
      <c r="M1788" s="20"/>
      <c r="N1788" s="7">
        <f t="shared" si="279"/>
        <v>10097.99</v>
      </c>
      <c r="O1788" s="55"/>
      <c r="P1788" s="55"/>
    </row>
    <row r="1789" spans="1:16" x14ac:dyDescent="0.25">
      <c r="A1789" s="19" t="s">
        <v>276</v>
      </c>
      <c r="C1789" s="6">
        <v>1599.822721598</v>
      </c>
      <c r="D1789" s="6">
        <v>1657</v>
      </c>
      <c r="F1789" s="20">
        <v>16.02</v>
      </c>
      <c r="G1789" s="20"/>
      <c r="H1789" s="7">
        <f t="shared" si="278"/>
        <v>25629</v>
      </c>
      <c r="I1789" s="7">
        <f t="shared" si="278"/>
        <v>26545</v>
      </c>
      <c r="K1789" s="20"/>
      <c r="L1789" s="20">
        <v>11.62</v>
      </c>
      <c r="M1789" s="20"/>
      <c r="N1789" s="7">
        <f t="shared" si="279"/>
        <v>19254.34</v>
      </c>
      <c r="O1789" s="55"/>
      <c r="P1789" s="55"/>
    </row>
    <row r="1790" spans="1:16" x14ac:dyDescent="0.25">
      <c r="A1790" s="106" t="s">
        <v>277</v>
      </c>
    </row>
    <row r="1791" spans="1:16" x14ac:dyDescent="0.25">
      <c r="A1791" s="19" t="s">
        <v>279</v>
      </c>
      <c r="C1791" s="6">
        <v>33.533376123234902</v>
      </c>
      <c r="D1791" s="6">
        <v>35</v>
      </c>
      <c r="F1791" s="20">
        <v>15.58</v>
      </c>
      <c r="G1791" s="20"/>
      <c r="H1791" s="7">
        <f t="shared" ref="H1791:I1794" si="280">ROUND(C1791*$F1791,0)</f>
        <v>522</v>
      </c>
      <c r="I1791" s="7">
        <f t="shared" si="280"/>
        <v>545</v>
      </c>
      <c r="K1791" s="20"/>
      <c r="L1791" s="20">
        <v>11.3</v>
      </c>
      <c r="M1791" s="20"/>
      <c r="N1791" s="7">
        <f t="shared" ref="N1791:N1794" si="281">D1791*L1791</f>
        <v>395.5</v>
      </c>
      <c r="O1791" s="55"/>
      <c r="P1791" s="55"/>
    </row>
    <row r="1792" spans="1:16" x14ac:dyDescent="0.25">
      <c r="A1792" s="19" t="s">
        <v>280</v>
      </c>
      <c r="C1792" s="6">
        <v>722.34392879847405</v>
      </c>
      <c r="D1792" s="6">
        <v>748</v>
      </c>
      <c r="F1792" s="20">
        <v>15.73</v>
      </c>
      <c r="G1792" s="20"/>
      <c r="H1792" s="7">
        <f t="shared" si="280"/>
        <v>11362</v>
      </c>
      <c r="I1792" s="7">
        <f t="shared" si="280"/>
        <v>11766</v>
      </c>
      <c r="K1792" s="20"/>
      <c r="L1792" s="20">
        <v>11.41</v>
      </c>
      <c r="M1792" s="20"/>
      <c r="N1792" s="7">
        <f t="shared" si="281"/>
        <v>8534.68</v>
      </c>
      <c r="O1792" s="55"/>
      <c r="P1792" s="55"/>
    </row>
    <row r="1793" spans="1:17" x14ac:dyDescent="0.25">
      <c r="A1793" s="19" t="s">
        <v>281</v>
      </c>
      <c r="C1793" s="6">
        <v>672.36662679425797</v>
      </c>
      <c r="D1793" s="6">
        <v>697</v>
      </c>
      <c r="F1793" s="20">
        <v>16.72</v>
      </c>
      <c r="G1793" s="20"/>
      <c r="H1793" s="7">
        <f t="shared" si="280"/>
        <v>11242</v>
      </c>
      <c r="I1793" s="7">
        <f t="shared" si="280"/>
        <v>11654</v>
      </c>
      <c r="K1793" s="20"/>
      <c r="L1793" s="20">
        <v>12.13</v>
      </c>
      <c r="M1793" s="20"/>
      <c r="N1793" s="7">
        <f t="shared" si="281"/>
        <v>8454.61</v>
      </c>
      <c r="O1793" s="55"/>
      <c r="P1793" s="55"/>
    </row>
    <row r="1794" spans="1:17" x14ac:dyDescent="0.25">
      <c r="A1794" s="19" t="s">
        <v>305</v>
      </c>
      <c r="C1794" s="6">
        <v>0</v>
      </c>
      <c r="D1794" s="6">
        <v>0</v>
      </c>
      <c r="F1794" s="20">
        <v>33.049999999999997</v>
      </c>
      <c r="G1794" s="20"/>
      <c r="H1794" s="7">
        <f t="shared" si="280"/>
        <v>0</v>
      </c>
      <c r="I1794" s="7">
        <f t="shared" si="280"/>
        <v>0</v>
      </c>
      <c r="K1794" s="20"/>
      <c r="L1794" s="20">
        <v>23.97</v>
      </c>
      <c r="M1794" s="20"/>
      <c r="N1794" s="7">
        <f t="shared" si="281"/>
        <v>0</v>
      </c>
      <c r="O1794" s="55"/>
      <c r="P1794" s="55"/>
    </row>
    <row r="1795" spans="1:17" x14ac:dyDescent="0.25">
      <c r="A1795" s="106" t="s">
        <v>283</v>
      </c>
      <c r="C1795" s="36">
        <v>946976.17346773273</v>
      </c>
      <c r="D1795" s="36">
        <v>981077.54006849322</v>
      </c>
      <c r="F1795" s="118"/>
      <c r="H1795" s="37">
        <f>SUM(H1777:H1794)</f>
        <v>129106</v>
      </c>
      <c r="I1795" s="37">
        <f>SUM(I1777:I1794)</f>
        <v>133738</v>
      </c>
      <c r="K1795" s="118"/>
      <c r="L1795" s="118"/>
      <c r="N1795" s="37"/>
      <c r="O1795" s="217"/>
      <c r="Q1795" s="64"/>
    </row>
    <row r="1796" spans="1:17" x14ac:dyDescent="0.25">
      <c r="A1796" s="106" t="s">
        <v>164</v>
      </c>
      <c r="C1796" s="6">
        <v>-35087</v>
      </c>
      <c r="D1796" s="6">
        <v>0</v>
      </c>
      <c r="F1796" s="20"/>
      <c r="G1796" s="26"/>
      <c r="H1796" s="7">
        <v>-4439</v>
      </c>
      <c r="I1796" s="37">
        <v>0</v>
      </c>
      <c r="K1796" s="20"/>
      <c r="L1796" s="20"/>
      <c r="M1796" s="26"/>
      <c r="N1796" s="37"/>
      <c r="O1796" s="55"/>
      <c r="P1796" s="59"/>
      <c r="Q1796" s="64"/>
    </row>
    <row r="1797" spans="1:17" x14ac:dyDescent="0.25">
      <c r="A1797" s="19" t="s">
        <v>34</v>
      </c>
      <c r="F1797" s="23">
        <v>-1.9800000000000002E-2</v>
      </c>
      <c r="G1797" s="24"/>
      <c r="H1797" s="7">
        <f>H1795*$F1797</f>
        <v>-2556.2988</v>
      </c>
      <c r="I1797" s="7">
        <f>I1795*$F1797</f>
        <v>-2648.0124000000001</v>
      </c>
      <c r="K1797" s="93"/>
      <c r="L1797" s="23"/>
      <c r="M1797" s="24"/>
      <c r="O1797" s="65"/>
      <c r="P1797" s="57"/>
    </row>
    <row r="1798" spans="1:17" x14ac:dyDescent="0.25">
      <c r="A1798" s="19"/>
      <c r="F1798" s="23"/>
      <c r="G1798" s="24"/>
      <c r="K1798" s="93"/>
      <c r="L1798" s="23"/>
      <c r="M1798" s="24"/>
      <c r="O1798" s="65"/>
      <c r="P1798" s="57"/>
    </row>
    <row r="1799" spans="1:17" x14ac:dyDescent="0.25">
      <c r="A1799" s="106" t="s">
        <v>58</v>
      </c>
      <c r="C1799" s="6">
        <v>911889.17346773273</v>
      </c>
      <c r="D1799" s="6">
        <v>981077.54006849322</v>
      </c>
      <c r="F1799" s="20"/>
      <c r="G1799" s="26"/>
      <c r="H1799" s="7">
        <f>SUM(H1795:H1797)</f>
        <v>122110.7012</v>
      </c>
      <c r="I1799" s="7">
        <f>SUM(I1795:I1797)</f>
        <v>131089.98759999999</v>
      </c>
      <c r="K1799" s="20"/>
      <c r="L1799" s="20"/>
      <c r="M1799" s="26"/>
      <c r="O1799" s="55"/>
      <c r="P1799" s="59"/>
    </row>
    <row r="1800" spans="1:17" x14ac:dyDescent="0.25">
      <c r="A1800" s="106" t="s">
        <v>284</v>
      </c>
      <c r="C1800" s="36">
        <v>67</v>
      </c>
      <c r="D1800" s="36">
        <v>69</v>
      </c>
      <c r="F1800" s="118"/>
      <c r="H1800" s="37"/>
      <c r="I1800" s="37"/>
      <c r="K1800" s="118"/>
      <c r="L1800" s="118"/>
      <c r="N1800" s="37"/>
      <c r="O1800" s="217"/>
      <c r="Q1800" s="64"/>
    </row>
    <row r="1801" spans="1:17" x14ac:dyDescent="0.25">
      <c r="A1801" s="19"/>
      <c r="F1801" s="20"/>
      <c r="G1801" s="20"/>
      <c r="K1801" s="20"/>
      <c r="L1801" s="20"/>
      <c r="M1801" s="20"/>
      <c r="O1801" s="55"/>
      <c r="P1801" s="55"/>
    </row>
    <row r="1802" spans="1:17" x14ac:dyDescent="0.25">
      <c r="A1802" s="19" t="s">
        <v>306</v>
      </c>
      <c r="C1802" s="121">
        <v>45421495.526070856</v>
      </c>
      <c r="D1802" s="121">
        <v>26868874.204370789</v>
      </c>
      <c r="F1802" s="118"/>
      <c r="H1802" s="37">
        <f>H1732+H1769+H1795</f>
        <v>3205978</v>
      </c>
      <c r="I1802" s="37">
        <f>I1732+I1769+I1795</f>
        <v>1934632</v>
      </c>
      <c r="K1802" s="118"/>
      <c r="L1802" s="118"/>
      <c r="N1802" s="37"/>
      <c r="O1802" s="217"/>
      <c r="Q1802" s="64"/>
    </row>
    <row r="1803" spans="1:17" x14ac:dyDescent="0.25">
      <c r="A1803" s="19" t="s">
        <v>165</v>
      </c>
      <c r="C1803" s="107">
        <v>1241.9166666666702</v>
      </c>
      <c r="D1803" s="107">
        <v>1229</v>
      </c>
    </row>
    <row r="1804" spans="1:17" x14ac:dyDescent="0.25">
      <c r="A1804" s="19" t="s">
        <v>164</v>
      </c>
      <c r="C1804" s="121">
        <v>-1682951</v>
      </c>
      <c r="D1804" s="121">
        <v>0</v>
      </c>
      <c r="F1804" s="118"/>
      <c r="H1804" s="37">
        <f>H1733+H1770+H1796</f>
        <v>-110353</v>
      </c>
      <c r="I1804" s="37">
        <f>I1733+I1770+I1796</f>
        <v>0</v>
      </c>
      <c r="K1804" s="118"/>
      <c r="L1804" s="118"/>
      <c r="N1804" s="37"/>
      <c r="O1804" s="217"/>
      <c r="Q1804" s="64"/>
    </row>
    <row r="1805" spans="1:17" x14ac:dyDescent="0.25">
      <c r="A1805" s="19" t="s">
        <v>34</v>
      </c>
      <c r="F1805" s="23"/>
      <c r="G1805" s="24"/>
      <c r="H1805" s="7">
        <f>H1734+H1771+H1797</f>
        <v>-63478.364399999999</v>
      </c>
      <c r="I1805" s="7">
        <f>I1734+I1771+I1797</f>
        <v>-38305.713600000003</v>
      </c>
      <c r="K1805" s="93" t="str">
        <f>$K$43</f>
        <v>TAA 1 (1/1/2021)</v>
      </c>
      <c r="L1805" s="23">
        <v>-1.7500000000000002E-2</v>
      </c>
      <c r="M1805" s="24"/>
      <c r="N1805" s="7">
        <f>L1805*N1807</f>
        <v>-24235.373656025011</v>
      </c>
      <c r="O1805" s="65"/>
      <c r="P1805" s="57"/>
    </row>
    <row r="1806" spans="1:17" x14ac:dyDescent="0.25">
      <c r="A1806" s="19"/>
      <c r="F1806" s="23"/>
      <c r="G1806" s="24"/>
      <c r="K1806" s="93" t="str">
        <f>$K$44</f>
        <v>TAA 2 (1/1/2022)</v>
      </c>
      <c r="L1806" s="23">
        <v>-8.6999999999999994E-3</v>
      </c>
      <c r="M1806" s="24"/>
      <c r="N1806" s="7">
        <f>L1806*N1807</f>
        <v>-12048.442903281004</v>
      </c>
      <c r="O1806" s="65"/>
      <c r="P1806" s="57"/>
    </row>
    <row r="1807" spans="1:17" ht="16.5" thickBot="1" x14ac:dyDescent="0.3">
      <c r="A1807" s="19" t="s">
        <v>58</v>
      </c>
      <c r="C1807" s="120">
        <v>43738544.526070856</v>
      </c>
      <c r="D1807" s="120">
        <v>26868874.204370789</v>
      </c>
      <c r="F1807" s="122"/>
      <c r="G1807" s="123"/>
      <c r="H1807" s="124">
        <f>H1804+H1802+H1805</f>
        <v>3032146.6356000002</v>
      </c>
      <c r="I1807" s="124">
        <f>I1804+I1802+I1805</f>
        <v>1896326.2864000001</v>
      </c>
      <c r="K1807" s="122"/>
      <c r="L1807" s="122"/>
      <c r="M1807" s="123"/>
      <c r="N1807" s="128">
        <f>SUM(N1721:N1804)</f>
        <v>1384878.4946300006</v>
      </c>
      <c r="O1807" s="122"/>
      <c r="P1807" s="123"/>
      <c r="Q1807" s="128"/>
    </row>
    <row r="1808" spans="1:17" ht="16.5" thickTop="1" x14ac:dyDescent="0.25">
      <c r="A1808" s="19"/>
      <c r="C1808" s="107"/>
      <c r="D1808" s="107"/>
    </row>
    <row r="1809" spans="1:17" x14ac:dyDescent="0.25">
      <c r="A1809" s="127" t="s">
        <v>307</v>
      </c>
    </row>
    <row r="1810" spans="1:17" x14ac:dyDescent="0.25">
      <c r="A1810" s="19" t="s">
        <v>308</v>
      </c>
      <c r="C1810" s="6">
        <v>20676.121453473177</v>
      </c>
      <c r="D1810" s="6">
        <v>21139</v>
      </c>
      <c r="F1810" s="20">
        <v>11</v>
      </c>
      <c r="G1810" s="20"/>
      <c r="H1810" s="7">
        <f t="shared" ref="H1810:I1813" si="282">ROUND(C1810*$F1810,0)</f>
        <v>227437</v>
      </c>
      <c r="I1810" s="7">
        <f t="shared" si="282"/>
        <v>232529</v>
      </c>
      <c r="K1810" s="24"/>
      <c r="L1810" s="20">
        <v>7</v>
      </c>
      <c r="M1810" s="20"/>
      <c r="N1810" s="7">
        <f>ROUND($D1810*L1810,0)</f>
        <v>147973</v>
      </c>
      <c r="O1810" s="55"/>
      <c r="P1810" s="55"/>
    </row>
    <row r="1811" spans="1:17" x14ac:dyDescent="0.25">
      <c r="A1811" s="19" t="s">
        <v>309</v>
      </c>
      <c r="C1811" s="6">
        <v>637.03274499027054</v>
      </c>
      <c r="D1811" s="6">
        <v>638</v>
      </c>
      <c r="F1811" s="20">
        <v>72.5</v>
      </c>
      <c r="G1811" s="20"/>
      <c r="H1811" s="7">
        <f t="shared" si="282"/>
        <v>46185</v>
      </c>
      <c r="I1811" s="7">
        <f t="shared" si="282"/>
        <v>46255</v>
      </c>
      <c r="K1811" s="24"/>
      <c r="L1811" s="20">
        <v>49.02</v>
      </c>
      <c r="M1811" s="20"/>
      <c r="N1811" s="7">
        <f>ROUND($D1811*L1811,0)</f>
        <v>31275</v>
      </c>
      <c r="O1811" s="55"/>
      <c r="P1811" s="55"/>
    </row>
    <row r="1812" spans="1:17" x14ac:dyDescent="0.25">
      <c r="A1812" s="19" t="s">
        <v>310</v>
      </c>
      <c r="C1812" s="6">
        <v>0</v>
      </c>
      <c r="D1812" s="6">
        <v>0</v>
      </c>
      <c r="F1812" s="20">
        <v>127.5</v>
      </c>
      <c r="G1812" s="20"/>
      <c r="H1812" s="7">
        <f t="shared" si="282"/>
        <v>0</v>
      </c>
      <c r="I1812" s="7">
        <f t="shared" si="282"/>
        <v>0</v>
      </c>
      <c r="K1812" s="24"/>
      <c r="L1812" s="20">
        <f>L1810*5+L1811</f>
        <v>84.02000000000001</v>
      </c>
      <c r="M1812" s="20"/>
      <c r="N1812" s="7">
        <f>ROUND($D1812*L1812,0)</f>
        <v>0</v>
      </c>
      <c r="O1812" s="55"/>
      <c r="P1812" s="55"/>
    </row>
    <row r="1813" spans="1:17" x14ac:dyDescent="0.25">
      <c r="A1813" s="19" t="s">
        <v>311</v>
      </c>
      <c r="C1813" s="6">
        <v>7631.8661290322598</v>
      </c>
      <c r="D1813" s="6">
        <v>7644</v>
      </c>
      <c r="F1813" s="20">
        <v>6.2</v>
      </c>
      <c r="G1813" s="20"/>
      <c r="H1813" s="7">
        <f t="shared" si="282"/>
        <v>47318</v>
      </c>
      <c r="I1813" s="7">
        <f t="shared" si="282"/>
        <v>47393</v>
      </c>
      <c r="K1813" s="24"/>
      <c r="L1813" s="20">
        <v>4.1900000000000004</v>
      </c>
      <c r="M1813" s="20"/>
      <c r="N1813" s="7">
        <f>ROUND($D1813*L1813,0)</f>
        <v>32028</v>
      </c>
      <c r="O1813" s="55"/>
      <c r="P1813" s="55"/>
    </row>
    <row r="1814" spans="1:17" x14ac:dyDescent="0.25">
      <c r="A1814" s="19" t="s">
        <v>312</v>
      </c>
      <c r="C1814" s="6">
        <v>15565767</v>
      </c>
      <c r="D1814" s="6">
        <v>15963151.062719233</v>
      </c>
      <c r="F1814" s="116">
        <v>5.3437000000000001</v>
      </c>
      <c r="G1814" s="26" t="s">
        <v>18</v>
      </c>
      <c r="H1814" s="7">
        <f>ROUND(C1814*$F1814/100,0)</f>
        <v>831788</v>
      </c>
      <c r="I1814" s="7">
        <f>ROUND(D1814*$F1814/100,0)</f>
        <v>853023</v>
      </c>
      <c r="K1814" s="25"/>
      <c r="L1814" s="117">
        <v>3.5697000000000001</v>
      </c>
      <c r="M1814" s="26" t="s">
        <v>18</v>
      </c>
      <c r="N1814" s="7">
        <f>ROUND($D1814*L1814/100,0)</f>
        <v>569837</v>
      </c>
      <c r="O1814" s="216"/>
      <c r="P1814" s="59"/>
    </row>
    <row r="1815" spans="1:17" x14ac:dyDescent="0.25">
      <c r="A1815" s="19" t="s">
        <v>313</v>
      </c>
      <c r="C1815" s="36">
        <v>45517</v>
      </c>
      <c r="D1815" s="36">
        <v>0</v>
      </c>
      <c r="H1815" s="37">
        <f>H1826+H1837+H1848</f>
        <v>3753</v>
      </c>
      <c r="I1815" s="37">
        <f t="shared" ref="I1815" si="283">I1826+I1837+I1848</f>
        <v>0</v>
      </c>
      <c r="N1815" s="37"/>
      <c r="Q1815" s="64"/>
    </row>
    <row r="1816" spans="1:17" x14ac:dyDescent="0.25">
      <c r="A1816" s="19" t="s">
        <v>34</v>
      </c>
      <c r="F1816" s="23">
        <v>-2.8000000000000001E-2</v>
      </c>
      <c r="G1816" s="24"/>
      <c r="H1816" s="7">
        <f>SUM(H1814)*$F1816</f>
        <v>-23290.064000000002</v>
      </c>
      <c r="I1816" s="7">
        <f>SUM(I1814)*$F1816</f>
        <v>-23884.644</v>
      </c>
      <c r="K1816" s="93" t="str">
        <f>$K$43</f>
        <v>TAA 1 (1/1/2021)</v>
      </c>
      <c r="L1816" s="23">
        <v>-2.52E-2</v>
      </c>
      <c r="M1816" s="24"/>
      <c r="N1816" s="7">
        <f>L1816*N1814</f>
        <v>-14359.892400000001</v>
      </c>
      <c r="O1816" s="65"/>
      <c r="P1816" s="57"/>
    </row>
    <row r="1817" spans="1:17" x14ac:dyDescent="0.25">
      <c r="A1817" s="19"/>
      <c r="F1817" s="23"/>
      <c r="G1817" s="24"/>
      <c r="K1817" s="93" t="str">
        <f>$K$44</f>
        <v>TAA 2 (1/1/2022)</v>
      </c>
      <c r="L1817" s="23">
        <v>-1.26E-2</v>
      </c>
      <c r="M1817" s="24"/>
      <c r="N1817" s="7">
        <f>L1817*N1814</f>
        <v>-7179.9462000000003</v>
      </c>
      <c r="O1817" s="65"/>
      <c r="P1817" s="57"/>
    </row>
    <row r="1818" spans="1:17" ht="16.5" thickBot="1" x14ac:dyDescent="0.3">
      <c r="A1818" s="5" t="s">
        <v>58</v>
      </c>
      <c r="C1818" s="101">
        <v>15611284</v>
      </c>
      <c r="D1818" s="101">
        <v>15963151.062719233</v>
      </c>
      <c r="F1818" s="41"/>
      <c r="H1818" s="95">
        <f>SUM(H1810:H1816)</f>
        <v>1133190.936</v>
      </c>
      <c r="I1818" s="95">
        <f>SUM(I1810:I1816)</f>
        <v>1155315.3559999999</v>
      </c>
      <c r="K1818" s="41"/>
      <c r="L1818" s="41"/>
      <c r="N1818" s="95">
        <f>SUM(N1810:N1815)</f>
        <v>781113</v>
      </c>
      <c r="O1818" s="68"/>
      <c r="Q1818" s="208"/>
    </row>
    <row r="1819" spans="1:17" ht="16.5" thickTop="1" x14ac:dyDescent="0.25">
      <c r="A1819" s="19"/>
      <c r="C1819" s="107"/>
      <c r="D1819" s="107"/>
    </row>
    <row r="1820" spans="1:17" x14ac:dyDescent="0.25">
      <c r="A1820" s="127" t="s">
        <v>314</v>
      </c>
    </row>
    <row r="1821" spans="1:17" x14ac:dyDescent="0.25">
      <c r="A1821" s="19" t="s">
        <v>308</v>
      </c>
      <c r="C1821" s="6">
        <v>19597.669688767299</v>
      </c>
      <c r="D1821" s="6">
        <v>19971</v>
      </c>
      <c r="F1821" s="20">
        <v>11</v>
      </c>
      <c r="G1821" s="20"/>
      <c r="H1821" s="7">
        <f t="shared" ref="H1821:I1824" si="284">ROUND(C1821*$F1821,0)</f>
        <v>215574</v>
      </c>
      <c r="I1821" s="7">
        <f t="shared" si="284"/>
        <v>219681</v>
      </c>
      <c r="K1821" s="20"/>
      <c r="L1821" s="20">
        <f>L1810</f>
        <v>7</v>
      </c>
      <c r="M1821" s="20"/>
      <c r="N1821" s="7">
        <f>ROUND($D1821*L1821,0)</f>
        <v>139797</v>
      </c>
      <c r="O1821" s="55"/>
      <c r="P1821" s="55"/>
    </row>
    <row r="1822" spans="1:17" x14ac:dyDescent="0.25">
      <c r="A1822" s="19" t="s">
        <v>309</v>
      </c>
      <c r="C1822" s="6">
        <v>537.54239204909402</v>
      </c>
      <c r="D1822" s="6">
        <v>538</v>
      </c>
      <c r="F1822" s="20">
        <v>72.5</v>
      </c>
      <c r="G1822" s="20"/>
      <c r="H1822" s="7">
        <f t="shared" si="284"/>
        <v>38972</v>
      </c>
      <c r="I1822" s="7">
        <f t="shared" si="284"/>
        <v>39005</v>
      </c>
      <c r="K1822" s="20"/>
      <c r="L1822" s="20">
        <f>L1811</f>
        <v>49.02</v>
      </c>
      <c r="M1822" s="20"/>
      <c r="N1822" s="7">
        <f>ROUND($D1822*L1822,0)</f>
        <v>26373</v>
      </c>
      <c r="O1822" s="55"/>
      <c r="P1822" s="55"/>
    </row>
    <row r="1823" spans="1:17" x14ac:dyDescent="0.25">
      <c r="A1823" s="19" t="s">
        <v>310</v>
      </c>
      <c r="C1823" s="6">
        <v>0</v>
      </c>
      <c r="D1823" s="6">
        <v>0</v>
      </c>
      <c r="F1823" s="20">
        <v>127.5</v>
      </c>
      <c r="G1823" s="20"/>
      <c r="H1823" s="7">
        <f t="shared" si="284"/>
        <v>0</v>
      </c>
      <c r="I1823" s="7">
        <f t="shared" si="284"/>
        <v>0</v>
      </c>
      <c r="K1823" s="20"/>
      <c r="L1823" s="20">
        <f>L1812</f>
        <v>84.02000000000001</v>
      </c>
      <c r="M1823" s="20"/>
      <c r="N1823" s="7">
        <f>ROUND($D1823*L1823,0)</f>
        <v>0</v>
      </c>
      <c r="O1823" s="55"/>
      <c r="P1823" s="55"/>
    </row>
    <row r="1824" spans="1:17" x14ac:dyDescent="0.25">
      <c r="A1824" s="19" t="s">
        <v>311</v>
      </c>
      <c r="C1824" s="6">
        <v>6440.3306451612898</v>
      </c>
      <c r="D1824" s="6">
        <v>6444</v>
      </c>
      <c r="F1824" s="20">
        <v>6.2</v>
      </c>
      <c r="G1824" s="20"/>
      <c r="H1824" s="7">
        <f t="shared" si="284"/>
        <v>39930</v>
      </c>
      <c r="I1824" s="7">
        <f t="shared" si="284"/>
        <v>39953</v>
      </c>
      <c r="K1824" s="20"/>
      <c r="L1824" s="20">
        <f>L1813</f>
        <v>4.1900000000000004</v>
      </c>
      <c r="M1824" s="20"/>
      <c r="N1824" s="7">
        <f>ROUND($D1824*L1824,0)</f>
        <v>27000</v>
      </c>
      <c r="O1824" s="55"/>
      <c r="P1824" s="55"/>
    </row>
    <row r="1825" spans="1:17" x14ac:dyDescent="0.25">
      <c r="A1825" s="19" t="s">
        <v>312</v>
      </c>
      <c r="C1825" s="6">
        <v>14684579</v>
      </c>
      <c r="D1825" s="6">
        <v>15043463.667792927</v>
      </c>
      <c r="F1825" s="116">
        <v>5.3437000000000001</v>
      </c>
      <c r="G1825" s="26" t="s">
        <v>18</v>
      </c>
      <c r="H1825" s="7">
        <f>ROUND(C1825*$F1825/100,0)</f>
        <v>784700</v>
      </c>
      <c r="I1825" s="7">
        <f>ROUND(D1825*$F1825/100,0)</f>
        <v>803878</v>
      </c>
      <c r="K1825" s="117"/>
      <c r="L1825" s="117">
        <f>L1814</f>
        <v>3.5697000000000001</v>
      </c>
      <c r="M1825" s="26" t="s">
        <v>18</v>
      </c>
      <c r="N1825" s="7">
        <f>ROUND($D1825*L1825/100,0)</f>
        <v>537007</v>
      </c>
      <c r="O1825" s="216"/>
      <c r="P1825" s="59"/>
    </row>
    <row r="1826" spans="1:17" x14ac:dyDescent="0.25">
      <c r="A1826" s="19" t="s">
        <v>313</v>
      </c>
      <c r="C1826" s="36">
        <v>77906</v>
      </c>
      <c r="D1826" s="36">
        <v>0</v>
      </c>
      <c r="H1826" s="37">
        <v>6244</v>
      </c>
      <c r="I1826" s="37">
        <v>0</v>
      </c>
      <c r="N1826" s="37"/>
      <c r="Q1826" s="64"/>
    </row>
    <row r="1827" spans="1:17" x14ac:dyDescent="0.25">
      <c r="A1827" s="19" t="s">
        <v>34</v>
      </c>
      <c r="F1827" s="23">
        <v>-2.8000000000000001E-2</v>
      </c>
      <c r="G1827" s="24"/>
      <c r="H1827" s="7">
        <f>SUM(H1825)*$F1827</f>
        <v>-21971.600000000002</v>
      </c>
      <c r="I1827" s="7">
        <f>SUM(I1825)*$F1827</f>
        <v>-22508.583999999999</v>
      </c>
      <c r="K1827" s="93" t="str">
        <f>$K$43</f>
        <v>TAA 1 (1/1/2021)</v>
      </c>
      <c r="L1827" s="23">
        <f>$L$1816</f>
        <v>-2.52E-2</v>
      </c>
      <c r="M1827" s="24"/>
      <c r="N1827" s="7">
        <f>L1827*N1825</f>
        <v>-13532.5764</v>
      </c>
      <c r="O1827" s="65"/>
      <c r="P1827" s="57"/>
    </row>
    <row r="1828" spans="1:17" x14ac:dyDescent="0.25">
      <c r="A1828" s="19"/>
      <c r="F1828" s="23"/>
      <c r="G1828" s="24"/>
      <c r="K1828" s="93" t="str">
        <f>$K$44</f>
        <v>TAA 2 (1/1/2022)</v>
      </c>
      <c r="L1828" s="23">
        <f>$L$1817</f>
        <v>-1.26E-2</v>
      </c>
      <c r="M1828" s="24"/>
      <c r="N1828" s="7">
        <f>L1828*N1825</f>
        <v>-6766.2882</v>
      </c>
      <c r="O1828" s="65"/>
      <c r="P1828" s="57"/>
    </row>
    <row r="1829" spans="1:17" ht="16.5" thickBot="1" x14ac:dyDescent="0.3">
      <c r="A1829" s="5" t="s">
        <v>58</v>
      </c>
      <c r="C1829" s="101">
        <v>14762485</v>
      </c>
      <c r="D1829" s="101">
        <v>15043463.667792927</v>
      </c>
      <c r="F1829" s="41"/>
      <c r="H1829" s="95">
        <f>SUM(H1821:H1827)</f>
        <v>1063448.3999999999</v>
      </c>
      <c r="I1829" s="95">
        <f>SUM(I1821:I1827)</f>
        <v>1080008.416</v>
      </c>
      <c r="K1829" s="41"/>
      <c r="L1829" s="41"/>
      <c r="N1829" s="95">
        <f>SUM(N1821:N1826)</f>
        <v>730177</v>
      </c>
      <c r="O1829" s="68"/>
      <c r="Q1829" s="208"/>
    </row>
    <row r="1830" spans="1:17" ht="16.5" thickTop="1" x14ac:dyDescent="0.25">
      <c r="A1830" s="19"/>
      <c r="C1830" s="107"/>
      <c r="D1830" s="107"/>
    </row>
    <row r="1831" spans="1:17" x14ac:dyDescent="0.25">
      <c r="A1831" s="127" t="s">
        <v>315</v>
      </c>
    </row>
    <row r="1832" spans="1:17" x14ac:dyDescent="0.25">
      <c r="A1832" s="19" t="s">
        <v>308</v>
      </c>
      <c r="C1832" s="6">
        <v>70</v>
      </c>
      <c r="D1832" s="6">
        <v>75</v>
      </c>
      <c r="F1832" s="20">
        <v>11</v>
      </c>
      <c r="G1832" s="20"/>
      <c r="H1832" s="7">
        <f t="shared" ref="H1832:I1835" si="285">ROUND(C1832*$F1832,0)</f>
        <v>770</v>
      </c>
      <c r="I1832" s="7">
        <f t="shared" si="285"/>
        <v>825</v>
      </c>
      <c r="K1832" s="20"/>
      <c r="L1832" s="20">
        <f>L1810</f>
        <v>7</v>
      </c>
      <c r="M1832" s="20"/>
      <c r="N1832" s="7">
        <f>ROUND($D1832*L1832,0)</f>
        <v>525</v>
      </c>
      <c r="O1832" s="55"/>
      <c r="P1832" s="55"/>
    </row>
    <row r="1833" spans="1:17" x14ac:dyDescent="0.25">
      <c r="A1833" s="19" t="s">
        <v>309</v>
      </c>
      <c r="C1833" s="6">
        <v>6</v>
      </c>
      <c r="D1833" s="6">
        <v>6</v>
      </c>
      <c r="F1833" s="20">
        <v>72.5</v>
      </c>
      <c r="G1833" s="20"/>
      <c r="H1833" s="7">
        <f t="shared" si="285"/>
        <v>435</v>
      </c>
      <c r="I1833" s="7">
        <f t="shared" si="285"/>
        <v>435</v>
      </c>
      <c r="K1833" s="20"/>
      <c r="L1833" s="20">
        <f>L1811</f>
        <v>49.02</v>
      </c>
      <c r="M1833" s="20"/>
      <c r="N1833" s="7">
        <f>ROUND($D1833*L1833,0)</f>
        <v>294</v>
      </c>
      <c r="O1833" s="55"/>
      <c r="P1833" s="55"/>
    </row>
    <row r="1834" spans="1:17" x14ac:dyDescent="0.25">
      <c r="A1834" s="19" t="s">
        <v>310</v>
      </c>
      <c r="C1834" s="6">
        <v>0</v>
      </c>
      <c r="D1834" s="6">
        <v>0</v>
      </c>
      <c r="F1834" s="20">
        <v>127.5</v>
      </c>
      <c r="G1834" s="20"/>
      <c r="H1834" s="7">
        <f t="shared" si="285"/>
        <v>0</v>
      </c>
      <c r="I1834" s="7">
        <f t="shared" si="285"/>
        <v>0</v>
      </c>
      <c r="K1834" s="20"/>
      <c r="L1834" s="20">
        <f>L1812</f>
        <v>84.02000000000001</v>
      </c>
      <c r="M1834" s="20"/>
      <c r="N1834" s="7">
        <f>ROUND($D1834*L1834,0)</f>
        <v>0</v>
      </c>
      <c r="O1834" s="55"/>
      <c r="P1834" s="55"/>
    </row>
    <row r="1835" spans="1:17" x14ac:dyDescent="0.25">
      <c r="A1835" s="19" t="s">
        <v>311</v>
      </c>
      <c r="C1835" s="6">
        <v>72</v>
      </c>
      <c r="D1835" s="6">
        <v>72</v>
      </c>
      <c r="F1835" s="20">
        <v>6.2</v>
      </c>
      <c r="G1835" s="20"/>
      <c r="H1835" s="7">
        <f t="shared" si="285"/>
        <v>446</v>
      </c>
      <c r="I1835" s="7">
        <f t="shared" si="285"/>
        <v>446</v>
      </c>
      <c r="K1835" s="20"/>
      <c r="L1835" s="20">
        <f>L1813</f>
        <v>4.1900000000000004</v>
      </c>
      <c r="M1835" s="20"/>
      <c r="N1835" s="7">
        <f>ROUND($D1835*L1835,0)</f>
        <v>302</v>
      </c>
      <c r="O1835" s="55"/>
      <c r="P1835" s="55"/>
    </row>
    <row r="1836" spans="1:17" x14ac:dyDescent="0.25">
      <c r="A1836" s="19" t="s">
        <v>312</v>
      </c>
      <c r="C1836" s="6">
        <v>12527</v>
      </c>
      <c r="D1836" s="6">
        <v>13122</v>
      </c>
      <c r="F1836" s="116">
        <v>5.3437000000000001</v>
      </c>
      <c r="G1836" s="26" t="s">
        <v>18</v>
      </c>
      <c r="H1836" s="7">
        <f>ROUND(C1836*$F1836/100,0)</f>
        <v>669</v>
      </c>
      <c r="I1836" s="7">
        <f>ROUND(D1836*$F1836/100,0)</f>
        <v>701</v>
      </c>
      <c r="K1836" s="117"/>
      <c r="L1836" s="117">
        <f>L1814</f>
        <v>3.5697000000000001</v>
      </c>
      <c r="M1836" s="26" t="s">
        <v>18</v>
      </c>
      <c r="N1836" s="7">
        <f>ROUND($D1836*L1836/100,0)</f>
        <v>468</v>
      </c>
      <c r="O1836" s="216"/>
      <c r="P1836" s="59"/>
    </row>
    <row r="1837" spans="1:17" x14ac:dyDescent="0.25">
      <c r="A1837" s="19" t="s">
        <v>313</v>
      </c>
      <c r="C1837" s="36">
        <v>-203</v>
      </c>
      <c r="D1837" s="36">
        <v>0</v>
      </c>
      <c r="H1837" s="37">
        <v>-35</v>
      </c>
      <c r="I1837" s="37">
        <v>0</v>
      </c>
      <c r="N1837" s="37"/>
      <c r="Q1837" s="64"/>
    </row>
    <row r="1838" spans="1:17" x14ac:dyDescent="0.25">
      <c r="A1838" s="19" t="s">
        <v>34</v>
      </c>
      <c r="F1838" s="23">
        <v>-2.8000000000000001E-2</v>
      </c>
      <c r="G1838" s="24"/>
      <c r="H1838" s="7">
        <f>SUM(H1836)*$F1838</f>
        <v>-18.731999999999999</v>
      </c>
      <c r="I1838" s="7">
        <f>SUM(I1836)*$F1838</f>
        <v>-19.628</v>
      </c>
      <c r="K1838" s="93" t="str">
        <f>$K$43</f>
        <v>TAA 1 (1/1/2021)</v>
      </c>
      <c r="L1838" s="23">
        <f>$L$1816</f>
        <v>-2.52E-2</v>
      </c>
      <c r="M1838" s="24"/>
      <c r="N1838" s="7">
        <f>L1838*N1836</f>
        <v>-11.7936</v>
      </c>
      <c r="O1838" s="65"/>
      <c r="P1838" s="57"/>
    </row>
    <row r="1839" spans="1:17" x14ac:dyDescent="0.25">
      <c r="A1839" s="19"/>
      <c r="F1839" s="23"/>
      <c r="G1839" s="24"/>
      <c r="K1839" s="93" t="str">
        <f>$K$44</f>
        <v>TAA 2 (1/1/2022)</v>
      </c>
      <c r="L1839" s="23">
        <f>$L$1817</f>
        <v>-1.26E-2</v>
      </c>
      <c r="M1839" s="24"/>
      <c r="N1839" s="7">
        <f>L1839*N1836</f>
        <v>-5.8967999999999998</v>
      </c>
      <c r="O1839" s="65"/>
      <c r="P1839" s="57"/>
    </row>
    <row r="1840" spans="1:17" ht="16.5" thickBot="1" x14ac:dyDescent="0.3">
      <c r="A1840" s="5" t="s">
        <v>58</v>
      </c>
      <c r="C1840" s="101">
        <v>12324</v>
      </c>
      <c r="D1840" s="101">
        <v>13122</v>
      </c>
      <c r="F1840" s="41"/>
      <c r="H1840" s="95">
        <f>SUM(H1832:H1838)</f>
        <v>2266.268</v>
      </c>
      <c r="I1840" s="95">
        <f>SUM(I1832:I1838)</f>
        <v>2387.3719999999998</v>
      </c>
      <c r="K1840" s="41"/>
      <c r="L1840" s="41"/>
      <c r="N1840" s="95">
        <f>SUM(N1832:N1837)</f>
        <v>1589</v>
      </c>
      <c r="O1840" s="68"/>
      <c r="Q1840" s="208"/>
    </row>
    <row r="1841" spans="1:17" ht="16.5" thickTop="1" x14ac:dyDescent="0.25">
      <c r="A1841" s="19"/>
      <c r="C1841" s="107"/>
      <c r="D1841" s="107"/>
    </row>
    <row r="1842" spans="1:17" x14ac:dyDescent="0.25">
      <c r="A1842" s="127" t="s">
        <v>316</v>
      </c>
    </row>
    <row r="1843" spans="1:17" x14ac:dyDescent="0.25">
      <c r="A1843" s="19" t="s">
        <v>308</v>
      </c>
      <c r="C1843" s="6">
        <v>1008.45176470588</v>
      </c>
      <c r="D1843" s="6">
        <v>1093</v>
      </c>
      <c r="F1843" s="20">
        <v>11</v>
      </c>
      <c r="G1843" s="20"/>
      <c r="H1843" s="7">
        <f t="shared" ref="H1843:I1846" si="286">ROUND(C1843*$F1843,0)</f>
        <v>11093</v>
      </c>
      <c r="I1843" s="7">
        <f t="shared" si="286"/>
        <v>12023</v>
      </c>
      <c r="K1843" s="20"/>
      <c r="L1843" s="20">
        <f>L1810</f>
        <v>7</v>
      </c>
      <c r="M1843" s="20"/>
      <c r="N1843" s="7">
        <f>ROUND($D1843*L1843,0)</f>
        <v>7651</v>
      </c>
      <c r="O1843" s="55"/>
      <c r="P1843" s="55"/>
    </row>
    <row r="1844" spans="1:17" x14ac:dyDescent="0.25">
      <c r="A1844" s="19" t="s">
        <v>309</v>
      </c>
      <c r="C1844" s="6">
        <v>93.490352941176496</v>
      </c>
      <c r="D1844" s="6">
        <v>94</v>
      </c>
      <c r="F1844" s="20">
        <v>72.5</v>
      </c>
      <c r="G1844" s="20"/>
      <c r="H1844" s="7">
        <f t="shared" si="286"/>
        <v>6778</v>
      </c>
      <c r="I1844" s="7">
        <f t="shared" si="286"/>
        <v>6815</v>
      </c>
      <c r="K1844" s="20"/>
      <c r="L1844" s="20">
        <f>L1811</f>
        <v>49.02</v>
      </c>
      <c r="M1844" s="20"/>
      <c r="N1844" s="7">
        <f>ROUND($D1844*L1844,0)</f>
        <v>4608</v>
      </c>
      <c r="O1844" s="55"/>
      <c r="P1844" s="55"/>
    </row>
    <row r="1845" spans="1:17" x14ac:dyDescent="0.25">
      <c r="A1845" s="19" t="s">
        <v>310</v>
      </c>
      <c r="C1845" s="6">
        <v>0</v>
      </c>
      <c r="D1845" s="6">
        <v>0</v>
      </c>
      <c r="F1845" s="20">
        <v>127.5</v>
      </c>
      <c r="G1845" s="20"/>
      <c r="H1845" s="7">
        <f t="shared" si="286"/>
        <v>0</v>
      </c>
      <c r="I1845" s="7">
        <f t="shared" si="286"/>
        <v>0</v>
      </c>
      <c r="K1845" s="20"/>
      <c r="L1845" s="20">
        <f>L1812</f>
        <v>84.02000000000001</v>
      </c>
      <c r="M1845" s="20"/>
      <c r="N1845" s="7">
        <f>ROUND($D1845*L1845,0)</f>
        <v>0</v>
      </c>
      <c r="O1845" s="55"/>
      <c r="P1845" s="55"/>
    </row>
    <row r="1846" spans="1:17" x14ac:dyDescent="0.25">
      <c r="A1846" s="19" t="s">
        <v>311</v>
      </c>
      <c r="C1846" s="6">
        <v>1119.53548387097</v>
      </c>
      <c r="D1846" s="6">
        <v>1128</v>
      </c>
      <c r="F1846" s="20">
        <v>6.2</v>
      </c>
      <c r="G1846" s="20"/>
      <c r="H1846" s="7">
        <f t="shared" si="286"/>
        <v>6941</v>
      </c>
      <c r="I1846" s="7">
        <f t="shared" si="286"/>
        <v>6994</v>
      </c>
      <c r="K1846" s="20"/>
      <c r="L1846" s="20">
        <f>L1813</f>
        <v>4.1900000000000004</v>
      </c>
      <c r="M1846" s="20"/>
      <c r="N1846" s="7">
        <f>ROUND($D1846*L1846,0)</f>
        <v>4726</v>
      </c>
      <c r="O1846" s="55"/>
      <c r="P1846" s="55"/>
    </row>
    <row r="1847" spans="1:17" x14ac:dyDescent="0.25">
      <c r="A1847" s="19" t="s">
        <v>312</v>
      </c>
      <c r="C1847" s="6">
        <v>868661</v>
      </c>
      <c r="D1847" s="6">
        <v>906565.39492630609</v>
      </c>
      <c r="F1847" s="116">
        <v>5.3437000000000001</v>
      </c>
      <c r="G1847" s="26" t="s">
        <v>18</v>
      </c>
      <c r="H1847" s="7">
        <f>ROUND(C1847*$F1847/100,0)</f>
        <v>46419</v>
      </c>
      <c r="I1847" s="7">
        <f>ROUND(D1847*$F1847/100,0)</f>
        <v>48444</v>
      </c>
      <c r="K1847" s="117"/>
      <c r="L1847" s="117">
        <f>L1814</f>
        <v>3.5697000000000001</v>
      </c>
      <c r="M1847" s="26" t="s">
        <v>18</v>
      </c>
      <c r="N1847" s="7">
        <f>ROUND($D1847*L1847/100,0)</f>
        <v>32362</v>
      </c>
      <c r="O1847" s="216"/>
      <c r="P1847" s="59"/>
    </row>
    <row r="1848" spans="1:17" x14ac:dyDescent="0.25">
      <c r="A1848" s="19" t="s">
        <v>313</v>
      </c>
      <c r="C1848" s="36">
        <v>-32186</v>
      </c>
      <c r="D1848" s="36">
        <v>0</v>
      </c>
      <c r="H1848" s="37">
        <v>-2456</v>
      </c>
      <c r="I1848" s="37">
        <v>0</v>
      </c>
      <c r="N1848" s="37"/>
      <c r="Q1848" s="64"/>
    </row>
    <row r="1849" spans="1:17" x14ac:dyDescent="0.25">
      <c r="A1849" s="19" t="s">
        <v>34</v>
      </c>
      <c r="F1849" s="23">
        <v>-2.8000000000000001E-2</v>
      </c>
      <c r="G1849" s="24"/>
      <c r="H1849" s="7">
        <f>SUM(H1847)*$F1849</f>
        <v>-1299.732</v>
      </c>
      <c r="I1849" s="7">
        <f>SUM(I1847)*$F1849</f>
        <v>-1356.432</v>
      </c>
      <c r="K1849" s="93" t="str">
        <f>$K$43</f>
        <v>TAA 1 (1/1/2021)</v>
      </c>
      <c r="L1849" s="23">
        <f>$L$1816</f>
        <v>-2.52E-2</v>
      </c>
      <c r="M1849" s="24"/>
      <c r="N1849" s="7">
        <f>L1849*N1847</f>
        <v>-815.52240000000006</v>
      </c>
      <c r="O1849" s="65"/>
      <c r="P1849" s="57"/>
    </row>
    <row r="1850" spans="1:17" x14ac:dyDescent="0.25">
      <c r="A1850" s="19"/>
      <c r="F1850" s="23"/>
      <c r="G1850" s="24"/>
      <c r="K1850" s="93" t="str">
        <f>$K$44</f>
        <v>TAA 2 (1/1/2022)</v>
      </c>
      <c r="L1850" s="23">
        <f>$L$1817</f>
        <v>-1.26E-2</v>
      </c>
      <c r="M1850" s="24"/>
      <c r="N1850" s="7">
        <f>L1850*N1847</f>
        <v>-407.76120000000003</v>
      </c>
      <c r="O1850" s="65"/>
      <c r="P1850" s="57"/>
    </row>
    <row r="1851" spans="1:17" ht="16.5" thickBot="1" x14ac:dyDescent="0.3">
      <c r="A1851" s="5" t="s">
        <v>58</v>
      </c>
      <c r="C1851" s="101">
        <v>836475</v>
      </c>
      <c r="D1851" s="101">
        <v>906565.39492630609</v>
      </c>
      <c r="F1851" s="41"/>
      <c r="H1851" s="95">
        <f>SUM(H1843:H1849)</f>
        <v>67475.267999999996</v>
      </c>
      <c r="I1851" s="95">
        <f>SUM(I1843:I1849)</f>
        <v>72919.567999999999</v>
      </c>
      <c r="K1851" s="41"/>
      <c r="L1851" s="41"/>
      <c r="N1851" s="95">
        <f>SUM(N1843:N1848)</f>
        <v>49347</v>
      </c>
      <c r="O1851" s="68"/>
      <c r="Q1851" s="208"/>
    </row>
    <row r="1852" spans="1:17" ht="16.5" thickTop="1" x14ac:dyDescent="0.25"/>
    <row r="1853" spans="1:17" x14ac:dyDescent="0.25">
      <c r="A1853" s="127" t="s">
        <v>317</v>
      </c>
    </row>
    <row r="1854" spans="1:17" x14ac:dyDescent="0.25">
      <c r="A1854" s="19" t="s">
        <v>318</v>
      </c>
      <c r="C1854" s="6">
        <v>32427.756363636341</v>
      </c>
      <c r="D1854" s="6">
        <v>32811</v>
      </c>
      <c r="F1854" s="20">
        <v>5.5</v>
      </c>
      <c r="G1854" s="20"/>
      <c r="H1854" s="7">
        <f>ROUND(C1854*$F1854,0)</f>
        <v>178353</v>
      </c>
      <c r="I1854" s="7">
        <f>ROUND(D1854*$F1854,0)</f>
        <v>180461</v>
      </c>
      <c r="K1854" s="24"/>
      <c r="L1854" s="20">
        <v>5.5</v>
      </c>
      <c r="M1854" s="20"/>
      <c r="N1854" s="7">
        <f>ROUND($D1854*L1854,0)</f>
        <v>180461</v>
      </c>
      <c r="O1854" s="55"/>
      <c r="P1854" s="55"/>
    </row>
    <row r="1855" spans="1:17" x14ac:dyDescent="0.25">
      <c r="A1855" s="19" t="s">
        <v>312</v>
      </c>
      <c r="C1855" s="6">
        <v>7727417</v>
      </c>
      <c r="D1855" s="6">
        <v>7776370.4443165418</v>
      </c>
      <c r="F1855" s="117">
        <v>8.4048999999999996</v>
      </c>
      <c r="G1855" s="26" t="s">
        <v>18</v>
      </c>
      <c r="H1855" s="7">
        <f>ROUND(C1855*$F1855/100,0)</f>
        <v>649482</v>
      </c>
      <c r="I1855" s="7">
        <f>ROUND(D1855*$F1855/100,0)</f>
        <v>653596</v>
      </c>
      <c r="K1855" s="25"/>
      <c r="L1855" s="117">
        <v>8.0005000000000006</v>
      </c>
      <c r="M1855" s="26" t="s">
        <v>18</v>
      </c>
      <c r="N1855" s="7">
        <f>ROUND($D1855*L1855/100,0)</f>
        <v>622149</v>
      </c>
      <c r="O1855" s="216"/>
      <c r="P1855" s="59"/>
    </row>
    <row r="1856" spans="1:17" x14ac:dyDescent="0.25">
      <c r="A1856" s="19" t="s">
        <v>313</v>
      </c>
      <c r="C1856" s="129">
        <v>-144801</v>
      </c>
      <c r="D1856" s="129">
        <v>0</v>
      </c>
      <c r="H1856" s="37">
        <f>H1864+H1872+H1880</f>
        <v>-14152</v>
      </c>
      <c r="I1856" s="37">
        <f t="shared" ref="I1856" si="287">I1864+I1872+I1880</f>
        <v>0</v>
      </c>
      <c r="N1856" s="37"/>
      <c r="Q1856" s="64"/>
    </row>
    <row r="1857" spans="1:17" x14ac:dyDescent="0.25">
      <c r="A1857" s="19" t="s">
        <v>34</v>
      </c>
      <c r="F1857" s="23">
        <v>-3.7699999999999997E-2</v>
      </c>
      <c r="G1857" s="24"/>
      <c r="H1857" s="7">
        <f>SUM(H1854:H1855)*$F1857</f>
        <v>-31209.379499999999</v>
      </c>
      <c r="I1857" s="7">
        <f>SUM(I1854:I1855)*$F1857</f>
        <v>-31443.948899999999</v>
      </c>
      <c r="K1857" s="93" t="str">
        <f>$K$43</f>
        <v>TAA 1 (1/1/2021)</v>
      </c>
      <c r="L1857" s="23">
        <v>-2.46E-2</v>
      </c>
      <c r="M1857" s="24"/>
      <c r="N1857" s="7">
        <f>L1857*N1855</f>
        <v>-15304.865400000001</v>
      </c>
      <c r="O1857" s="65"/>
      <c r="P1857" s="57"/>
    </row>
    <row r="1858" spans="1:17" x14ac:dyDescent="0.25">
      <c r="A1858" s="19"/>
      <c r="F1858" s="23"/>
      <c r="G1858" s="24"/>
      <c r="K1858" s="93" t="str">
        <f>$K$44</f>
        <v>TAA 2 (1/1/2022)</v>
      </c>
      <c r="L1858" s="23">
        <v>-1.23E-2</v>
      </c>
      <c r="M1858" s="24"/>
      <c r="N1858" s="7">
        <f>L1858*N1855</f>
        <v>-7652.4327000000003</v>
      </c>
      <c r="O1858" s="65"/>
      <c r="P1858" s="57"/>
    </row>
    <row r="1859" spans="1:17" ht="16.5" thickBot="1" x14ac:dyDescent="0.3">
      <c r="A1859" s="5" t="s">
        <v>58</v>
      </c>
      <c r="C1859" s="101">
        <v>7582616</v>
      </c>
      <c r="D1859" s="101">
        <v>7776370.4443165418</v>
      </c>
      <c r="F1859" s="41"/>
      <c r="H1859" s="95">
        <f>SUM(H1854:H1857)</f>
        <v>782473.62049999996</v>
      </c>
      <c r="I1859" s="95">
        <f>SUM(I1854:I1857)</f>
        <v>802613.05110000004</v>
      </c>
      <c r="K1859" s="41"/>
      <c r="L1859" s="41"/>
      <c r="N1859" s="95">
        <f>SUM(N1854:N1856)</f>
        <v>802610</v>
      </c>
      <c r="O1859" s="68"/>
      <c r="Q1859" s="208"/>
    </row>
    <row r="1860" spans="1:17" ht="16.5" thickTop="1" x14ac:dyDescent="0.25"/>
    <row r="1861" spans="1:17" x14ac:dyDescent="0.25">
      <c r="A1861" s="127" t="s">
        <v>319</v>
      </c>
    </row>
    <row r="1862" spans="1:17" x14ac:dyDescent="0.25">
      <c r="A1862" s="19" t="s">
        <v>318</v>
      </c>
      <c r="C1862" s="6">
        <v>13053.365454545499</v>
      </c>
      <c r="D1862" s="6">
        <v>13335</v>
      </c>
      <c r="F1862" s="20">
        <v>5.5</v>
      </c>
      <c r="G1862" s="20"/>
      <c r="H1862" s="7">
        <f>ROUND(C1862*$F1862,0)</f>
        <v>71794</v>
      </c>
      <c r="I1862" s="7">
        <f>ROUND(D1862*$F1862,0)</f>
        <v>73343</v>
      </c>
      <c r="K1862" s="20"/>
      <c r="L1862" s="20">
        <f>L1854</f>
        <v>5.5</v>
      </c>
      <c r="M1862" s="20"/>
      <c r="N1862" s="7">
        <f>ROUND($D1862*L1862,0)</f>
        <v>73343</v>
      </c>
      <c r="O1862" s="55"/>
      <c r="P1862" s="55"/>
    </row>
    <row r="1863" spans="1:17" x14ac:dyDescent="0.25">
      <c r="A1863" s="19" t="s">
        <v>312</v>
      </c>
      <c r="C1863" s="6">
        <v>3317549</v>
      </c>
      <c r="D1863" s="6">
        <v>3410044.1853684746</v>
      </c>
      <c r="F1863" s="117">
        <v>8.4048999999999996</v>
      </c>
      <c r="G1863" s="26" t="s">
        <v>18</v>
      </c>
      <c r="H1863" s="7">
        <f>ROUND(C1863*$F1863/100,0)</f>
        <v>278837</v>
      </c>
      <c r="I1863" s="7">
        <f>ROUND(D1863*$F1863/100,0)</f>
        <v>286611</v>
      </c>
      <c r="K1863" s="117"/>
      <c r="L1863" s="117">
        <f>L1855</f>
        <v>8.0005000000000006</v>
      </c>
      <c r="M1863" s="26" t="s">
        <v>18</v>
      </c>
      <c r="N1863" s="7">
        <f>ROUND($D1863*L1863/100,0)</f>
        <v>272821</v>
      </c>
      <c r="O1863" s="216"/>
      <c r="P1863" s="59"/>
    </row>
    <row r="1864" spans="1:17" x14ac:dyDescent="0.25">
      <c r="A1864" s="19" t="s">
        <v>313</v>
      </c>
      <c r="C1864" s="130">
        <v>17601</v>
      </c>
      <c r="D1864" s="130">
        <v>0</v>
      </c>
      <c r="H1864" s="37">
        <v>2008</v>
      </c>
      <c r="I1864" s="37">
        <v>0</v>
      </c>
      <c r="N1864" s="37"/>
      <c r="Q1864" s="64"/>
    </row>
    <row r="1865" spans="1:17" x14ac:dyDescent="0.25">
      <c r="A1865" s="19" t="s">
        <v>34</v>
      </c>
      <c r="F1865" s="23">
        <v>-3.7699999999999997E-2</v>
      </c>
      <c r="G1865" s="24"/>
      <c r="H1865" s="7">
        <f>SUM(H1862:H1863)*$F1865</f>
        <v>-13218.788699999999</v>
      </c>
      <c r="I1865" s="7">
        <f>SUM(I1862:I1863)*$F1865</f>
        <v>-13570.265799999999</v>
      </c>
      <c r="K1865" s="93" t="str">
        <f>$K$43</f>
        <v>TAA 1 (1/1/2021)</v>
      </c>
      <c r="L1865" s="23">
        <f>$L$1857</f>
        <v>-2.46E-2</v>
      </c>
      <c r="M1865" s="24"/>
      <c r="N1865" s="7">
        <f>L1865*N1863</f>
        <v>-6711.3966</v>
      </c>
      <c r="O1865" s="65"/>
      <c r="P1865" s="57"/>
    </row>
    <row r="1866" spans="1:17" x14ac:dyDescent="0.25">
      <c r="A1866" s="19"/>
      <c r="F1866" s="23"/>
      <c r="G1866" s="24"/>
      <c r="K1866" s="93" t="str">
        <f>$K$44</f>
        <v>TAA 2 (1/1/2022)</v>
      </c>
      <c r="L1866" s="23">
        <f>$L$1858</f>
        <v>-1.23E-2</v>
      </c>
      <c r="M1866" s="24"/>
      <c r="N1866" s="7">
        <f>L1866*N1863</f>
        <v>-3355.6983</v>
      </c>
      <c r="O1866" s="65"/>
      <c r="P1866" s="57"/>
    </row>
    <row r="1867" spans="1:17" ht="16.5" thickBot="1" x14ac:dyDescent="0.3">
      <c r="A1867" s="5" t="s">
        <v>58</v>
      </c>
      <c r="C1867" s="101">
        <v>3335150</v>
      </c>
      <c r="D1867" s="101">
        <v>3410044.1853684746</v>
      </c>
      <c r="F1867" s="41"/>
      <c r="H1867" s="95">
        <f>SUM(H1862:H1865)</f>
        <v>339420.21130000002</v>
      </c>
      <c r="I1867" s="95">
        <f>SUM(I1862:I1865)</f>
        <v>346383.73420000001</v>
      </c>
      <c r="K1867" s="41"/>
      <c r="L1867" s="41"/>
      <c r="N1867" s="95">
        <f>SUM(N1862:N1864)</f>
        <v>346164</v>
      </c>
      <c r="O1867" s="68"/>
      <c r="Q1867" s="208"/>
    </row>
    <row r="1868" spans="1:17" ht="16.5" thickTop="1" x14ac:dyDescent="0.25"/>
    <row r="1869" spans="1:17" x14ac:dyDescent="0.25">
      <c r="A1869" s="127" t="s">
        <v>320</v>
      </c>
    </row>
    <row r="1870" spans="1:17" x14ac:dyDescent="0.25">
      <c r="A1870" s="19" t="s">
        <v>318</v>
      </c>
      <c r="C1870" s="6">
        <v>144.23454545454501</v>
      </c>
      <c r="D1870" s="6">
        <v>144</v>
      </c>
      <c r="F1870" s="20">
        <v>5.5</v>
      </c>
      <c r="G1870" s="20"/>
      <c r="H1870" s="7">
        <f>ROUND(C1870*$F1870,0)</f>
        <v>793</v>
      </c>
      <c r="I1870" s="7">
        <f>ROUND(D1870*$F1870,0)</f>
        <v>792</v>
      </c>
      <c r="K1870" s="20"/>
      <c r="L1870" s="20">
        <f>L1854</f>
        <v>5.5</v>
      </c>
      <c r="M1870" s="20"/>
      <c r="N1870" s="7">
        <f>ROUND($D1870*L1870,0)</f>
        <v>792</v>
      </c>
      <c r="O1870" s="55"/>
      <c r="P1870" s="55"/>
    </row>
    <row r="1871" spans="1:17" x14ac:dyDescent="0.25">
      <c r="A1871" s="19" t="s">
        <v>312</v>
      </c>
      <c r="C1871" s="6">
        <v>47617</v>
      </c>
      <c r="D1871" s="6">
        <v>27840</v>
      </c>
      <c r="F1871" s="117">
        <v>8.4048999999999996</v>
      </c>
      <c r="G1871" s="26" t="s">
        <v>18</v>
      </c>
      <c r="H1871" s="7">
        <f>ROUND(C1871*$F1871/100,0)</f>
        <v>4002</v>
      </c>
      <c r="I1871" s="7">
        <f>ROUND(D1871*$F1871/100,0)</f>
        <v>2340</v>
      </c>
      <c r="K1871" s="117"/>
      <c r="L1871" s="117">
        <f>L1855</f>
        <v>8.0005000000000006</v>
      </c>
      <c r="M1871" s="26" t="s">
        <v>18</v>
      </c>
      <c r="N1871" s="7">
        <f>ROUND($D1871*L1871/100,0)</f>
        <v>2227</v>
      </c>
      <c r="O1871" s="216"/>
      <c r="P1871" s="59"/>
    </row>
    <row r="1872" spans="1:17" x14ac:dyDescent="0.25">
      <c r="A1872" s="19" t="s">
        <v>313</v>
      </c>
      <c r="C1872" s="129">
        <v>-772</v>
      </c>
      <c r="D1872" s="129">
        <v>0</v>
      </c>
      <c r="H1872" s="37">
        <v>-71</v>
      </c>
      <c r="I1872" s="37">
        <v>0</v>
      </c>
      <c r="N1872" s="37"/>
      <c r="Q1872" s="64"/>
    </row>
    <row r="1873" spans="1:17" x14ac:dyDescent="0.25">
      <c r="A1873" s="19" t="s">
        <v>34</v>
      </c>
      <c r="F1873" s="23">
        <v>-3.7699999999999997E-2</v>
      </c>
      <c r="G1873" s="24"/>
      <c r="H1873" s="7">
        <f>SUM(H1870:H1871)*$F1873</f>
        <v>-180.77149999999997</v>
      </c>
      <c r="I1873" s="7">
        <f>SUM(I1870:I1871)*$F1873</f>
        <v>-118.07639999999999</v>
      </c>
      <c r="K1873" s="93" t="str">
        <f>$K$43</f>
        <v>TAA 1 (1/1/2021)</v>
      </c>
      <c r="L1873" s="23">
        <f>$L$1857</f>
        <v>-2.46E-2</v>
      </c>
      <c r="M1873" s="24"/>
      <c r="N1873" s="7">
        <f>L1873*N1871</f>
        <v>-54.784199999999998</v>
      </c>
      <c r="O1873" s="65"/>
      <c r="P1873" s="57"/>
    </row>
    <row r="1874" spans="1:17" x14ac:dyDescent="0.25">
      <c r="A1874" s="19"/>
      <c r="F1874" s="23"/>
      <c r="G1874" s="24"/>
      <c r="K1874" s="93" t="str">
        <f>$K$44</f>
        <v>TAA 2 (1/1/2022)</v>
      </c>
      <c r="L1874" s="23">
        <f>$L$1858</f>
        <v>-1.23E-2</v>
      </c>
      <c r="M1874" s="24"/>
      <c r="N1874" s="7">
        <f>L1874*N1871</f>
        <v>-27.392099999999999</v>
      </c>
      <c r="O1874" s="65"/>
      <c r="P1874" s="57"/>
    </row>
    <row r="1875" spans="1:17" ht="16.5" thickBot="1" x14ac:dyDescent="0.3">
      <c r="A1875" s="5" t="s">
        <v>58</v>
      </c>
      <c r="C1875" s="101">
        <v>46845</v>
      </c>
      <c r="D1875" s="101">
        <v>27840</v>
      </c>
      <c r="F1875" s="41"/>
      <c r="H1875" s="95">
        <f>SUM(H1870:H1873)</f>
        <v>4543.2285000000002</v>
      </c>
      <c r="I1875" s="95">
        <f>SUM(I1870:I1873)</f>
        <v>3013.9236000000001</v>
      </c>
      <c r="K1875" s="41"/>
      <c r="L1875" s="41"/>
      <c r="N1875" s="95">
        <f>SUM(N1870:N1872)</f>
        <v>3019</v>
      </c>
      <c r="O1875" s="68"/>
      <c r="Q1875" s="208"/>
    </row>
    <row r="1876" spans="1:17" ht="16.5" thickTop="1" x14ac:dyDescent="0.25"/>
    <row r="1877" spans="1:17" x14ac:dyDescent="0.25">
      <c r="A1877" s="127" t="s">
        <v>321</v>
      </c>
    </row>
    <row r="1878" spans="1:17" x14ac:dyDescent="0.25">
      <c r="A1878" s="19" t="s">
        <v>318</v>
      </c>
      <c r="C1878" s="6">
        <v>19230.156363636299</v>
      </c>
      <c r="D1878" s="6">
        <v>19332</v>
      </c>
      <c r="F1878" s="20">
        <v>5.5</v>
      </c>
      <c r="G1878" s="20"/>
      <c r="H1878" s="7">
        <f>ROUND(C1878*$F1878,0)</f>
        <v>105766</v>
      </c>
      <c r="I1878" s="7">
        <f>ROUND(D1878*$F1878,0)</f>
        <v>106326</v>
      </c>
      <c r="K1878" s="20"/>
      <c r="L1878" s="20">
        <f>L1854</f>
        <v>5.5</v>
      </c>
      <c r="M1878" s="20"/>
      <c r="N1878" s="7">
        <f>ROUND($D1878*L1878,0)</f>
        <v>106326</v>
      </c>
      <c r="O1878" s="55"/>
      <c r="P1878" s="55"/>
    </row>
    <row r="1879" spans="1:17" x14ac:dyDescent="0.25">
      <c r="A1879" s="19" t="s">
        <v>312</v>
      </c>
      <c r="C1879" s="6">
        <v>4362251</v>
      </c>
      <c r="D1879" s="6">
        <v>4338486.2589480672</v>
      </c>
      <c r="F1879" s="117">
        <v>8.4048999999999996</v>
      </c>
      <c r="G1879" s="26" t="s">
        <v>18</v>
      </c>
      <c r="H1879" s="7">
        <f>ROUND(C1879*$F1879/100,0)</f>
        <v>366643</v>
      </c>
      <c r="I1879" s="7">
        <f>ROUND(D1879*$F1879/100,0)</f>
        <v>364645</v>
      </c>
      <c r="K1879" s="117"/>
      <c r="L1879" s="117">
        <f>L1855</f>
        <v>8.0005000000000006</v>
      </c>
      <c r="M1879" s="26" t="s">
        <v>18</v>
      </c>
      <c r="N1879" s="7">
        <f>ROUND($D1879*L1879/100,0)</f>
        <v>347101</v>
      </c>
      <c r="O1879" s="216"/>
      <c r="P1879" s="59"/>
    </row>
    <row r="1880" spans="1:17" x14ac:dyDescent="0.25">
      <c r="A1880" s="19" t="s">
        <v>313</v>
      </c>
      <c r="C1880" s="129">
        <v>-161630</v>
      </c>
      <c r="D1880" s="129">
        <v>0</v>
      </c>
      <c r="H1880" s="37">
        <v>-16089</v>
      </c>
      <c r="I1880" s="37">
        <v>0</v>
      </c>
      <c r="N1880" s="37"/>
      <c r="Q1880" s="64"/>
    </row>
    <row r="1881" spans="1:17" x14ac:dyDescent="0.25">
      <c r="A1881" s="19" t="s">
        <v>34</v>
      </c>
      <c r="F1881" s="23">
        <v>-3.7699999999999997E-2</v>
      </c>
      <c r="G1881" s="24"/>
      <c r="H1881" s="7">
        <f>SUM(H1878:H1879)*$F1881</f>
        <v>-17809.819299999999</v>
      </c>
      <c r="I1881" s="7">
        <f>SUM(I1878:I1879)*$F1881</f>
        <v>-17755.6067</v>
      </c>
      <c r="K1881" s="93" t="str">
        <f>$K$43</f>
        <v>TAA 1 (1/1/2021)</v>
      </c>
      <c r="L1881" s="23">
        <f>$L$1857</f>
        <v>-2.46E-2</v>
      </c>
      <c r="M1881" s="24"/>
      <c r="N1881" s="7">
        <f>L1881*N1879</f>
        <v>-8538.6846000000005</v>
      </c>
      <c r="O1881" s="65"/>
      <c r="P1881" s="57"/>
    </row>
    <row r="1882" spans="1:17" x14ac:dyDescent="0.25">
      <c r="A1882" s="19"/>
      <c r="F1882" s="23"/>
      <c r="G1882" s="24"/>
      <c r="K1882" s="93" t="str">
        <f>$K$44</f>
        <v>TAA 2 (1/1/2022)</v>
      </c>
      <c r="L1882" s="23">
        <f>$L$1858</f>
        <v>-1.23E-2</v>
      </c>
      <c r="M1882" s="24"/>
      <c r="N1882" s="7">
        <f>L1882*N1879</f>
        <v>-4269.3423000000003</v>
      </c>
      <c r="O1882" s="65"/>
      <c r="P1882" s="57"/>
    </row>
    <row r="1883" spans="1:17" ht="16.5" thickBot="1" x14ac:dyDescent="0.3">
      <c r="A1883" s="5" t="s">
        <v>58</v>
      </c>
      <c r="C1883" s="101">
        <v>4200621</v>
      </c>
      <c r="D1883" s="101">
        <v>4338486.2589480672</v>
      </c>
      <c r="F1883" s="41"/>
      <c r="H1883" s="95">
        <f>SUM(H1878:H1881)</f>
        <v>438510.18070000003</v>
      </c>
      <c r="I1883" s="95">
        <f>SUM(I1878:I1881)</f>
        <v>453215.3933</v>
      </c>
      <c r="K1883" s="41"/>
      <c r="L1883" s="41"/>
      <c r="N1883" s="95">
        <f>SUM(N1878:N1880)</f>
        <v>453427</v>
      </c>
      <c r="O1883" s="68"/>
      <c r="Q1883" s="208"/>
    </row>
    <row r="1884" spans="1:17" ht="16.5" thickTop="1" x14ac:dyDescent="0.25">
      <c r="A1884" s="19"/>
      <c r="F1884" s="131"/>
      <c r="G1884" s="132"/>
      <c r="K1884" s="131"/>
      <c r="L1884" s="131"/>
      <c r="M1884" s="132"/>
      <c r="O1884" s="131"/>
      <c r="P1884" s="132"/>
    </row>
    <row r="1885" spans="1:17" x14ac:dyDescent="0.25">
      <c r="A1885" s="15" t="s">
        <v>322</v>
      </c>
    </row>
    <row r="1886" spans="1:17" x14ac:dyDescent="0.25">
      <c r="A1886" s="15" t="s">
        <v>323</v>
      </c>
    </row>
    <row r="1887" spans="1:17" x14ac:dyDescent="0.25">
      <c r="A1887" s="19" t="s">
        <v>68</v>
      </c>
      <c r="C1887" s="6">
        <v>12</v>
      </c>
      <c r="D1887" s="6">
        <v>15</v>
      </c>
      <c r="F1887" s="20"/>
      <c r="G1887" s="20"/>
      <c r="K1887" s="20"/>
      <c r="L1887" s="20">
        <f>L969</f>
        <v>53</v>
      </c>
      <c r="M1887" s="20"/>
      <c r="N1887" s="133">
        <f>ROUND($D1887*L1887,0)</f>
        <v>795</v>
      </c>
      <c r="O1887" s="55"/>
      <c r="P1887" s="55"/>
      <c r="Q1887" s="218"/>
    </row>
    <row r="1888" spans="1:17" x14ac:dyDescent="0.25">
      <c r="A1888" s="19" t="s">
        <v>77</v>
      </c>
      <c r="C1888" s="6">
        <v>0</v>
      </c>
      <c r="D1888" s="6">
        <v>0</v>
      </c>
      <c r="F1888" s="20"/>
      <c r="G1888" s="20"/>
      <c r="K1888" s="20"/>
      <c r="L1888" s="20">
        <f>L972</f>
        <v>-0.61</v>
      </c>
      <c r="M1888" s="20"/>
      <c r="N1888" s="133">
        <f>ROUND($D1888*L1888,0)</f>
        <v>0</v>
      </c>
      <c r="O1888" s="55"/>
      <c r="P1888" s="55"/>
      <c r="Q1888" s="218"/>
    </row>
    <row r="1889" spans="1:17" x14ac:dyDescent="0.25">
      <c r="A1889" s="19" t="s">
        <v>69</v>
      </c>
      <c r="C1889" s="6">
        <v>55256</v>
      </c>
      <c r="D1889" s="6">
        <v>82147.641464615925</v>
      </c>
      <c r="E1889" s="24"/>
      <c r="F1889" s="99"/>
      <c r="G1889" s="26"/>
      <c r="J1889" s="24"/>
      <c r="K1889" s="99"/>
      <c r="L1889" s="99">
        <f t="shared" ref="L1889:L1896" si="288">L961</f>
        <v>22.156199999999998</v>
      </c>
      <c r="M1889" s="26" t="s">
        <v>18</v>
      </c>
      <c r="N1889" s="7">
        <f t="shared" ref="N1889:N1896" si="289">ROUND($D1889*L1889/100,0)</f>
        <v>18201</v>
      </c>
      <c r="O1889" s="206"/>
      <c r="P1889" s="59"/>
    </row>
    <row r="1890" spans="1:17" x14ac:dyDescent="0.25">
      <c r="A1890" s="19" t="s">
        <v>70</v>
      </c>
      <c r="C1890" s="6">
        <v>0</v>
      </c>
      <c r="D1890" s="6">
        <v>0</v>
      </c>
      <c r="E1890" s="24"/>
      <c r="F1890" s="99"/>
      <c r="G1890" s="26"/>
      <c r="J1890" s="24"/>
      <c r="K1890" s="99"/>
      <c r="L1890" s="99">
        <f t="shared" si="288"/>
        <v>4.309899999999999</v>
      </c>
      <c r="M1890" s="26" t="s">
        <v>18</v>
      </c>
      <c r="N1890" s="7">
        <f t="shared" si="289"/>
        <v>0</v>
      </c>
      <c r="O1890" s="206"/>
      <c r="P1890" s="59"/>
    </row>
    <row r="1891" spans="1:17" x14ac:dyDescent="0.25">
      <c r="A1891" s="19" t="s">
        <v>71</v>
      </c>
      <c r="C1891" s="6">
        <v>105141</v>
      </c>
      <c r="D1891" s="6">
        <v>156310.35853538409</v>
      </c>
      <c r="E1891" s="24"/>
      <c r="F1891" s="99"/>
      <c r="G1891" s="26"/>
      <c r="J1891" s="24"/>
      <c r="K1891" s="99"/>
      <c r="L1891" s="99">
        <f t="shared" si="288"/>
        <v>19.607299999999999</v>
      </c>
      <c r="M1891" s="26" t="s">
        <v>18</v>
      </c>
      <c r="N1891" s="7">
        <f t="shared" si="289"/>
        <v>30648</v>
      </c>
      <c r="O1891" s="206"/>
      <c r="P1891" s="59"/>
    </row>
    <row r="1892" spans="1:17" x14ac:dyDescent="0.25">
      <c r="A1892" s="19" t="s">
        <v>72</v>
      </c>
      <c r="C1892" s="6">
        <v>0</v>
      </c>
      <c r="D1892" s="6">
        <v>0</v>
      </c>
      <c r="E1892" s="24"/>
      <c r="F1892" s="99"/>
      <c r="G1892" s="26"/>
      <c r="J1892" s="24"/>
      <c r="K1892" s="99"/>
      <c r="L1892" s="99">
        <f t="shared" si="288"/>
        <v>3.8140999999999989</v>
      </c>
      <c r="M1892" s="26" t="s">
        <v>18</v>
      </c>
      <c r="N1892" s="7">
        <f t="shared" si="289"/>
        <v>0</v>
      </c>
      <c r="O1892" s="206"/>
      <c r="P1892" s="59"/>
    </row>
    <row r="1893" spans="1:17" x14ac:dyDescent="0.25">
      <c r="A1893" s="19" t="s">
        <v>73</v>
      </c>
      <c r="C1893" s="6">
        <v>30686.447437025206</v>
      </c>
      <c r="D1893" s="6">
        <v>45620.73407194746</v>
      </c>
      <c r="E1893" s="24"/>
      <c r="F1893" s="99"/>
      <c r="G1893" s="26"/>
      <c r="J1893" s="24"/>
      <c r="K1893" s="99"/>
      <c r="L1893" s="99">
        <f t="shared" si="288"/>
        <v>6</v>
      </c>
      <c r="M1893" s="26" t="s">
        <v>18</v>
      </c>
      <c r="N1893" s="7">
        <f t="shared" si="289"/>
        <v>2737</v>
      </c>
      <c r="O1893" s="206"/>
      <c r="P1893" s="59"/>
    </row>
    <row r="1894" spans="1:17" x14ac:dyDescent="0.25">
      <c r="A1894" s="19" t="s">
        <v>74</v>
      </c>
      <c r="C1894" s="6">
        <v>24569.55256297479</v>
      </c>
      <c r="D1894" s="6">
        <v>36526.907392668458</v>
      </c>
      <c r="E1894" s="24"/>
      <c r="F1894" s="99"/>
      <c r="G1894" s="26"/>
      <c r="J1894" s="24"/>
      <c r="K1894" s="99"/>
      <c r="L1894" s="99">
        <f t="shared" si="288"/>
        <v>-2.335799999999999</v>
      </c>
      <c r="M1894" s="26" t="s">
        <v>18</v>
      </c>
      <c r="N1894" s="7">
        <f t="shared" si="289"/>
        <v>-853</v>
      </c>
      <c r="O1894" s="206"/>
      <c r="P1894" s="59"/>
    </row>
    <row r="1895" spans="1:17" x14ac:dyDescent="0.25">
      <c r="A1895" s="19" t="s">
        <v>75</v>
      </c>
      <c r="C1895" s="6">
        <v>58390.107318232724</v>
      </c>
      <c r="D1895" s="6">
        <v>86807.036359103586</v>
      </c>
      <c r="E1895" s="24"/>
      <c r="F1895" s="99"/>
      <c r="G1895" s="26"/>
      <c r="J1895" s="24"/>
      <c r="K1895" s="99"/>
      <c r="L1895" s="99">
        <f t="shared" si="288"/>
        <v>5.3097000000000003</v>
      </c>
      <c r="M1895" s="26" t="s">
        <v>18</v>
      </c>
      <c r="N1895" s="7">
        <f t="shared" si="289"/>
        <v>4609</v>
      </c>
      <c r="O1895" s="206"/>
      <c r="P1895" s="59"/>
    </row>
    <row r="1896" spans="1:17" x14ac:dyDescent="0.25">
      <c r="A1896" s="19" t="s">
        <v>76</v>
      </c>
      <c r="C1896" s="6">
        <v>46750.892681767269</v>
      </c>
      <c r="D1896" s="6">
        <v>69503.322176280475</v>
      </c>
      <c r="E1896" s="24"/>
      <c r="F1896" s="99"/>
      <c r="G1896" s="26"/>
      <c r="J1896" s="24"/>
      <c r="K1896" s="99"/>
      <c r="L1896" s="99">
        <f t="shared" si="288"/>
        <v>-2.0670999999999999</v>
      </c>
      <c r="M1896" s="26" t="s">
        <v>18</v>
      </c>
      <c r="N1896" s="7">
        <f t="shared" si="289"/>
        <v>-1437</v>
      </c>
      <c r="O1896" s="206"/>
      <c r="P1896" s="59"/>
    </row>
    <row r="1897" spans="1:17" x14ac:dyDescent="0.25">
      <c r="A1897" s="19" t="s">
        <v>34</v>
      </c>
      <c r="F1897" s="23"/>
      <c r="G1897" s="24"/>
      <c r="K1897" s="93" t="str">
        <f>$K$43</f>
        <v>TAA 1 (1/1/2021)</v>
      </c>
      <c r="L1897" s="23">
        <f>$L$979</f>
        <v>-2.9100000000000001E-2</v>
      </c>
      <c r="M1897" s="24"/>
      <c r="N1897" s="7">
        <f>L1897*SUM(N1889:N1892)</f>
        <v>-1421.5059000000001</v>
      </c>
      <c r="O1897" s="65"/>
      <c r="P1897" s="57"/>
    </row>
    <row r="1898" spans="1:17" x14ac:dyDescent="0.25">
      <c r="A1898" s="19"/>
      <c r="F1898" s="23"/>
      <c r="G1898" s="24"/>
      <c r="K1898" s="93" t="str">
        <f>$K$44</f>
        <v>TAA 2 (1/1/2022)</v>
      </c>
      <c r="L1898" s="23">
        <f>$L$980</f>
        <v>-1.46E-2</v>
      </c>
      <c r="M1898" s="24"/>
      <c r="N1898" s="7">
        <f>L1898*SUM(N1889:N1892)</f>
        <v>-713.19539999999995</v>
      </c>
      <c r="O1898" s="65"/>
      <c r="P1898" s="57"/>
    </row>
    <row r="1899" spans="1:17" x14ac:dyDescent="0.25">
      <c r="A1899" s="19"/>
      <c r="F1899" s="23"/>
      <c r="G1899" s="24"/>
      <c r="K1899" s="23"/>
      <c r="L1899" s="23"/>
      <c r="M1899" s="24"/>
      <c r="N1899" s="7">
        <f>SUM(N1887:N1896)</f>
        <v>54700</v>
      </c>
      <c r="O1899" s="65"/>
      <c r="P1899" s="57"/>
    </row>
    <row r="1900" spans="1:17" x14ac:dyDescent="0.25">
      <c r="A1900" s="15" t="s">
        <v>324</v>
      </c>
    </row>
    <row r="1901" spans="1:17" x14ac:dyDescent="0.25">
      <c r="A1901" s="19" t="s">
        <v>68</v>
      </c>
      <c r="C1901" s="6">
        <v>16.599921259842521</v>
      </c>
      <c r="D1901" s="6">
        <v>21</v>
      </c>
      <c r="F1901" s="20"/>
      <c r="G1901" s="20"/>
      <c r="K1901" s="20"/>
      <c r="L1901" s="20">
        <f t="shared" ref="L1901:L1908" si="290">L1479</f>
        <v>266</v>
      </c>
      <c r="M1901" s="20"/>
      <c r="N1901" s="133">
        <f>ROUND($D1901*L1901,0)</f>
        <v>5586</v>
      </c>
      <c r="O1901" s="55"/>
      <c r="P1901" s="55"/>
      <c r="Q1901" s="218"/>
    </row>
    <row r="1902" spans="1:17" x14ac:dyDescent="0.25">
      <c r="A1902" s="19" t="s">
        <v>81</v>
      </c>
      <c r="C1902" s="6">
        <v>17216.667441860463</v>
      </c>
      <c r="D1902" s="6">
        <v>25595.559913253968</v>
      </c>
      <c r="F1902" s="20"/>
      <c r="G1902" s="20"/>
      <c r="K1902" s="20"/>
      <c r="L1902" s="20">
        <f t="shared" si="290"/>
        <v>2.2799999999999998</v>
      </c>
      <c r="M1902" s="20"/>
      <c r="N1902" s="133">
        <f>ROUND($D1902*L1902,0)</f>
        <v>58358</v>
      </c>
      <c r="O1902" s="55"/>
      <c r="P1902" s="55"/>
      <c r="Q1902" s="218"/>
    </row>
    <row r="1903" spans="1:17" x14ac:dyDescent="0.25">
      <c r="A1903" s="19" t="s">
        <v>176</v>
      </c>
      <c r="C1903" s="6">
        <v>5830.26278514365</v>
      </c>
      <c r="D1903" s="6">
        <v>8667.6960527404663</v>
      </c>
      <c r="F1903" s="24"/>
      <c r="G1903" s="24"/>
      <c r="K1903" s="24"/>
      <c r="L1903" s="24">
        <f t="shared" si="290"/>
        <v>14.33</v>
      </c>
      <c r="M1903" s="24"/>
      <c r="N1903" s="133">
        <f>ROUND($D1903*L1903,0)</f>
        <v>124208</v>
      </c>
      <c r="O1903" s="57"/>
      <c r="P1903" s="57"/>
      <c r="Q1903" s="218"/>
    </row>
    <row r="1904" spans="1:17" x14ac:dyDescent="0.25">
      <c r="A1904" s="19" t="s">
        <v>177</v>
      </c>
      <c r="C1904" s="6">
        <v>11395.132241028516</v>
      </c>
      <c r="D1904" s="6">
        <v>16940.838927140219</v>
      </c>
      <c r="F1904" s="24"/>
      <c r="G1904" s="24"/>
      <c r="K1904" s="24"/>
      <c r="L1904" s="24">
        <f t="shared" si="290"/>
        <v>12.68</v>
      </c>
      <c r="M1904" s="24"/>
      <c r="N1904" s="133">
        <f>ROUND($D1904*L1904,0)</f>
        <v>214810</v>
      </c>
      <c r="O1904" s="57"/>
      <c r="P1904" s="57"/>
      <c r="Q1904" s="218"/>
    </row>
    <row r="1905" spans="1:16" x14ac:dyDescent="0.25">
      <c r="A1905" s="19" t="s">
        <v>17</v>
      </c>
      <c r="C1905" s="6">
        <v>62825.972110416842</v>
      </c>
      <c r="D1905" s="6">
        <v>91665.936485583297</v>
      </c>
      <c r="F1905" s="100"/>
      <c r="G1905" s="26"/>
      <c r="K1905" s="100"/>
      <c r="L1905" s="100">
        <f t="shared" si="290"/>
        <v>5.1477000000000004</v>
      </c>
      <c r="M1905" s="26" t="s">
        <v>18</v>
      </c>
      <c r="N1905" s="7">
        <f>ROUND($D1905*L1905/100,0)</f>
        <v>4719</v>
      </c>
      <c r="O1905" s="207"/>
      <c r="P1905" s="59"/>
    </row>
    <row r="1906" spans="1:16" x14ac:dyDescent="0.25">
      <c r="A1906" s="19" t="s">
        <v>178</v>
      </c>
      <c r="C1906" s="6">
        <v>167429.75213258711</v>
      </c>
      <c r="D1906" s="6">
        <v>244287.58536054517</v>
      </c>
      <c r="F1906" s="100"/>
      <c r="G1906" s="26"/>
      <c r="K1906" s="100"/>
      <c r="L1906" s="100">
        <f t="shared" si="290"/>
        <v>4.5555000000000003</v>
      </c>
      <c r="M1906" s="26" t="s">
        <v>18</v>
      </c>
      <c r="N1906" s="7">
        <f>ROUND($D1906*L1906/100,0)</f>
        <v>11129</v>
      </c>
      <c r="O1906" s="207"/>
      <c r="P1906" s="59"/>
    </row>
    <row r="1907" spans="1:16" x14ac:dyDescent="0.25">
      <c r="A1907" s="19" t="s">
        <v>19</v>
      </c>
      <c r="C1907" s="6">
        <v>248522.35206664595</v>
      </c>
      <c r="D1907" s="6">
        <v>362605.35849331866</v>
      </c>
      <c r="F1907" s="100"/>
      <c r="G1907" s="26"/>
      <c r="K1907" s="100"/>
      <c r="L1907" s="100">
        <f t="shared" si="290"/>
        <v>2.6164999999999998</v>
      </c>
      <c r="M1907" s="26" t="s">
        <v>18</v>
      </c>
      <c r="N1907" s="7">
        <f>ROUND($D1907*L1907/100,0)</f>
        <v>9488</v>
      </c>
      <c r="O1907" s="207"/>
      <c r="P1907" s="59"/>
    </row>
    <row r="1908" spans="1:16" x14ac:dyDescent="0.25">
      <c r="A1908" s="19" t="s">
        <v>179</v>
      </c>
      <c r="C1908" s="6">
        <v>616906.92369035014</v>
      </c>
      <c r="D1908" s="6">
        <v>900095.11966055306</v>
      </c>
      <c r="F1908" s="100"/>
      <c r="G1908" s="26"/>
      <c r="K1908" s="100"/>
      <c r="L1908" s="100">
        <f t="shared" si="290"/>
        <v>2.3155000000000001</v>
      </c>
      <c r="M1908" s="26" t="s">
        <v>18</v>
      </c>
      <c r="N1908" s="7">
        <f>ROUND($D1908*L1908/100,0)</f>
        <v>20842</v>
      </c>
      <c r="O1908" s="207"/>
      <c r="P1908" s="59"/>
    </row>
    <row r="1909" spans="1:16" x14ac:dyDescent="0.25">
      <c r="A1909" s="19" t="s">
        <v>193</v>
      </c>
      <c r="C1909" s="6">
        <v>7185.1703428280116</v>
      </c>
      <c r="F1909" s="100"/>
      <c r="G1909" s="26"/>
      <c r="K1909" s="100"/>
      <c r="L1909" s="100"/>
      <c r="M1909" s="26"/>
      <c r="O1909" s="207"/>
      <c r="P1909" s="59"/>
    </row>
    <row r="1910" spans="1:16" x14ac:dyDescent="0.25">
      <c r="A1910" s="19" t="s">
        <v>194</v>
      </c>
      <c r="C1910" s="6">
        <v>10031.497099032445</v>
      </c>
      <c r="F1910" s="100"/>
      <c r="G1910" s="26"/>
      <c r="K1910" s="100"/>
      <c r="L1910" s="100"/>
      <c r="M1910" s="26"/>
      <c r="O1910" s="207"/>
      <c r="P1910" s="59"/>
    </row>
    <row r="1911" spans="1:16" x14ac:dyDescent="0.25">
      <c r="A1911" s="19" t="s">
        <v>195</v>
      </c>
      <c r="C1911" s="6">
        <v>90836.054949420242</v>
      </c>
      <c r="F1911" s="100"/>
      <c r="G1911" s="26"/>
      <c r="K1911" s="100"/>
      <c r="L1911" s="100"/>
      <c r="M1911" s="26"/>
      <c r="O1911" s="207"/>
      <c r="P1911" s="59"/>
    </row>
    <row r="1912" spans="1:16" x14ac:dyDescent="0.25">
      <c r="A1912" s="19" t="s">
        <v>196</v>
      </c>
      <c r="C1912" s="6">
        <v>335111.75624439499</v>
      </c>
      <c r="F1912" s="100"/>
      <c r="G1912" s="26"/>
      <c r="K1912" s="100"/>
      <c r="L1912" s="100"/>
      <c r="M1912" s="26"/>
      <c r="O1912" s="207"/>
      <c r="P1912" s="59"/>
    </row>
    <row r="1913" spans="1:16" x14ac:dyDescent="0.25">
      <c r="A1913" s="19" t="s">
        <v>197</v>
      </c>
      <c r="C1913" s="6">
        <v>297017.94505057973</v>
      </c>
      <c r="F1913" s="100"/>
      <c r="G1913" s="26"/>
      <c r="K1913" s="100"/>
      <c r="L1913" s="100"/>
      <c r="M1913" s="26"/>
      <c r="O1913" s="207"/>
      <c r="P1913" s="59"/>
    </row>
    <row r="1914" spans="1:16" x14ac:dyDescent="0.25">
      <c r="A1914" s="19" t="s">
        <v>198</v>
      </c>
      <c r="C1914" s="6">
        <v>372719.24375560507</v>
      </c>
      <c r="F1914" s="100"/>
      <c r="G1914" s="26"/>
      <c r="K1914" s="100"/>
      <c r="L1914" s="100"/>
      <c r="M1914" s="26"/>
      <c r="O1914" s="207"/>
      <c r="P1914" s="59"/>
    </row>
    <row r="1915" spans="1:16" x14ac:dyDescent="0.25">
      <c r="A1915" s="19" t="s">
        <v>34</v>
      </c>
      <c r="F1915" s="23">
        <v>-6.2E-2</v>
      </c>
      <c r="G1915" s="24"/>
      <c r="H1915" s="7">
        <f>SUM(H1903:H1905,H1910:H1912)*$F1915</f>
        <v>0</v>
      </c>
      <c r="I1915" s="7">
        <f>SUM(I1903:I1905,I1910:I1912)*$F1915</f>
        <v>0</v>
      </c>
      <c r="K1915" s="93" t="str">
        <f>$K$43</f>
        <v>TAA 1 (1/1/2021)</v>
      </c>
      <c r="L1915" s="23">
        <f>L1493</f>
        <v>-2.4299999999999999E-2</v>
      </c>
      <c r="M1915" s="24"/>
      <c r="N1915" s="7">
        <f>L1915*SUM(N1903:N1908)</f>
        <v>-9360.2627999999986</v>
      </c>
      <c r="O1915" s="65"/>
      <c r="P1915" s="57"/>
    </row>
    <row r="1916" spans="1:16" x14ac:dyDescent="0.25">
      <c r="A1916" s="19"/>
      <c r="F1916" s="23"/>
      <c r="G1916" s="24"/>
      <c r="K1916" s="93" t="str">
        <f>$K$44</f>
        <v>TAA 2 (1/1/2022)</v>
      </c>
      <c r="L1916" s="23">
        <f>L1494</f>
        <v>-1.21E-2</v>
      </c>
      <c r="M1916" s="24"/>
      <c r="N1916" s="7">
        <f>L1916*SUM(N1903:N1908)</f>
        <v>-4660.8715999999995</v>
      </c>
      <c r="O1916" s="65"/>
      <c r="P1916" s="57"/>
    </row>
    <row r="1917" spans="1:16" x14ac:dyDescent="0.25">
      <c r="A1917" s="19"/>
      <c r="F1917" s="23"/>
      <c r="G1917" s="24"/>
      <c r="K1917" s="23"/>
      <c r="L1917" s="23"/>
      <c r="M1917" s="24"/>
      <c r="N1917" s="7">
        <f>SUM(N1901:N1908)</f>
        <v>449140</v>
      </c>
      <c r="O1917" s="65"/>
      <c r="P1917" s="57"/>
    </row>
    <row r="1918" spans="1:16" x14ac:dyDescent="0.25">
      <c r="A1918" s="134" t="s">
        <v>325</v>
      </c>
    </row>
    <row r="1919" spans="1:16" x14ac:dyDescent="0.25">
      <c r="A1919" s="19" t="s">
        <v>68</v>
      </c>
      <c r="C1919" s="6">
        <v>12</v>
      </c>
      <c r="D1919" s="6">
        <v>15</v>
      </c>
      <c r="F1919" s="20">
        <v>127</v>
      </c>
      <c r="G1919" s="20"/>
      <c r="H1919" s="7">
        <f>ROUND($F1919*C1919,0)</f>
        <v>1524</v>
      </c>
      <c r="I1919" s="7">
        <f>ROUND($F1919*D1919,0)</f>
        <v>1905</v>
      </c>
      <c r="K1919" s="20"/>
      <c r="L1919" s="20"/>
      <c r="M1919" s="20"/>
      <c r="O1919" s="55"/>
      <c r="P1919" s="55"/>
    </row>
    <row r="1920" spans="1:16" x14ac:dyDescent="0.25">
      <c r="A1920" s="19" t="s">
        <v>326</v>
      </c>
      <c r="C1920" s="6">
        <v>5197</v>
      </c>
      <c r="D1920" s="6">
        <v>7726</v>
      </c>
      <c r="F1920" s="20">
        <v>4.3</v>
      </c>
      <c r="G1920" s="20"/>
      <c r="H1920" s="7">
        <f>ROUND($F1920*C1920,0)</f>
        <v>22347</v>
      </c>
      <c r="I1920" s="7">
        <f>ROUND($F1920*D1920,0)</f>
        <v>33222</v>
      </c>
      <c r="K1920" s="20"/>
      <c r="L1920" s="20"/>
      <c r="M1920" s="20"/>
      <c r="O1920" s="55"/>
      <c r="P1920" s="55"/>
    </row>
    <row r="1921" spans="1:17" x14ac:dyDescent="0.25">
      <c r="A1921" s="19" t="s">
        <v>327</v>
      </c>
      <c r="C1921" s="6">
        <v>160397</v>
      </c>
      <c r="D1921" s="6">
        <v>238458</v>
      </c>
      <c r="F1921" s="135">
        <v>6.8446999999999996</v>
      </c>
      <c r="G1921" s="26" t="s">
        <v>18</v>
      </c>
      <c r="H1921" s="7">
        <f>ROUND($F1921*C1921/100,0)</f>
        <v>10979</v>
      </c>
      <c r="I1921" s="7">
        <f>ROUND($F1921*D1921/100,0)</f>
        <v>16322</v>
      </c>
      <c r="K1921" s="135"/>
      <c r="L1921" s="135"/>
      <c r="M1921" s="26"/>
      <c r="O1921" s="135"/>
      <c r="P1921" s="59"/>
    </row>
    <row r="1922" spans="1:17" x14ac:dyDescent="0.25">
      <c r="A1922" s="19" t="s">
        <v>207</v>
      </c>
      <c r="C1922" s="6">
        <v>0</v>
      </c>
      <c r="D1922" s="6">
        <v>0</v>
      </c>
      <c r="F1922" s="135">
        <v>5.7472000000000003</v>
      </c>
      <c r="G1922" s="26" t="s">
        <v>18</v>
      </c>
      <c r="H1922" s="7">
        <f>ROUND($F1922*C1922/100,0)</f>
        <v>0</v>
      </c>
      <c r="I1922" s="7">
        <f>ROUND($F1922*D1922/100,0)</f>
        <v>0</v>
      </c>
      <c r="K1922" s="135"/>
      <c r="L1922" s="135"/>
      <c r="M1922" s="26"/>
      <c r="O1922" s="135"/>
      <c r="P1922" s="59"/>
    </row>
    <row r="1923" spans="1:17" x14ac:dyDescent="0.25">
      <c r="A1923" s="19" t="s">
        <v>33</v>
      </c>
      <c r="C1923" s="36">
        <v>0</v>
      </c>
      <c r="D1923" s="36">
        <v>0</v>
      </c>
      <c r="F1923" s="135"/>
      <c r="G1923" s="126"/>
      <c r="H1923" s="37">
        <v>0</v>
      </c>
      <c r="I1923" s="37">
        <v>0</v>
      </c>
      <c r="K1923" s="135"/>
      <c r="L1923" s="135"/>
      <c r="M1923" s="126"/>
      <c r="N1923" s="37"/>
      <c r="O1923" s="135"/>
      <c r="P1923" s="126"/>
      <c r="Q1923" s="64"/>
    </row>
    <row r="1924" spans="1:17" x14ac:dyDescent="0.25">
      <c r="A1924" s="19" t="s">
        <v>34</v>
      </c>
      <c r="F1924" s="23">
        <v>-6.2E-2</v>
      </c>
      <c r="G1924" s="24"/>
      <c r="H1924" s="7">
        <f>SUM(H1920:H1922)*$F1924</f>
        <v>-2066.212</v>
      </c>
      <c r="I1924" s="7">
        <f>SUM(I1920:I1922)*$F1924</f>
        <v>-3071.7280000000001</v>
      </c>
      <c r="K1924" s="135"/>
      <c r="L1924" s="135"/>
      <c r="M1924" s="126"/>
      <c r="O1924" s="135"/>
      <c r="P1924" s="126"/>
    </row>
    <row r="1925" spans="1:17" x14ac:dyDescent="0.25">
      <c r="A1925" s="19" t="s">
        <v>328</v>
      </c>
      <c r="C1925" s="6">
        <v>160397</v>
      </c>
      <c r="D1925" s="6">
        <v>238458</v>
      </c>
      <c r="F1925" s="100"/>
      <c r="G1925" s="100"/>
      <c r="H1925" s="7">
        <f>SUM(H1919:H1924)</f>
        <v>32783.788</v>
      </c>
      <c r="I1925" s="7">
        <f>SUM(I1919:I1924)</f>
        <v>48377.271999999997</v>
      </c>
      <c r="K1925" s="100"/>
      <c r="L1925" s="100"/>
      <c r="M1925" s="100"/>
      <c r="O1925" s="207"/>
      <c r="P1925" s="207"/>
    </row>
    <row r="1926" spans="1:17" x14ac:dyDescent="0.25">
      <c r="A1926" s="134" t="s">
        <v>329</v>
      </c>
      <c r="F1926" s="100"/>
      <c r="G1926" s="100"/>
      <c r="K1926" s="100"/>
      <c r="L1926" s="100"/>
      <c r="M1926" s="100"/>
      <c r="O1926" s="207"/>
      <c r="P1926" s="207"/>
    </row>
    <row r="1927" spans="1:17" x14ac:dyDescent="0.25">
      <c r="A1927" s="19" t="s">
        <v>68</v>
      </c>
      <c r="C1927" s="6">
        <v>16.599921259842521</v>
      </c>
      <c r="D1927" s="6">
        <v>21</v>
      </c>
      <c r="F1927" s="20">
        <v>127</v>
      </c>
      <c r="G1927" s="20"/>
      <c r="H1927" s="7">
        <f>ROUND($F1927*C1927,0)</f>
        <v>2108</v>
      </c>
      <c r="I1927" s="7">
        <f>ROUND($F1927*D1927,0)</f>
        <v>2667</v>
      </c>
      <c r="K1927" s="20"/>
      <c r="L1927" s="20"/>
      <c r="M1927" s="20"/>
      <c r="O1927" s="55"/>
      <c r="P1927" s="55"/>
    </row>
    <row r="1928" spans="1:17" x14ac:dyDescent="0.25">
      <c r="A1928" s="19" t="s">
        <v>326</v>
      </c>
      <c r="C1928" s="6">
        <v>17216.667441860471</v>
      </c>
      <c r="D1928" s="6">
        <v>25120</v>
      </c>
      <c r="F1928" s="20">
        <v>4.3</v>
      </c>
      <c r="G1928" s="20"/>
      <c r="H1928" s="7">
        <f>ROUND($F1928*C1928,0)</f>
        <v>74032</v>
      </c>
      <c r="I1928" s="7">
        <f>ROUND($F1928*D1928,0)</f>
        <v>108016</v>
      </c>
      <c r="K1928" s="20"/>
      <c r="L1928" s="20"/>
      <c r="M1928" s="20"/>
      <c r="O1928" s="55"/>
      <c r="P1928" s="55"/>
    </row>
    <row r="1929" spans="1:17" x14ac:dyDescent="0.25">
      <c r="A1929" s="19" t="s">
        <v>327</v>
      </c>
      <c r="C1929" s="6">
        <v>1095685</v>
      </c>
      <c r="D1929" s="6">
        <v>1598654</v>
      </c>
      <c r="F1929" s="135">
        <v>5.3851000000000004</v>
      </c>
      <c r="G1929" s="26" t="s">
        <v>18</v>
      </c>
      <c r="H1929" s="7">
        <f>ROUND($F1929*C1929/100,0)</f>
        <v>59004</v>
      </c>
      <c r="I1929" s="7">
        <f>ROUND($F1929*D1929/100,0)</f>
        <v>86089</v>
      </c>
      <c r="K1929" s="135"/>
      <c r="L1929" s="135"/>
      <c r="M1929" s="26"/>
      <c r="O1929" s="135"/>
      <c r="P1929" s="59"/>
    </row>
    <row r="1930" spans="1:17" x14ac:dyDescent="0.25">
      <c r="A1930" s="19" t="s">
        <v>207</v>
      </c>
      <c r="C1930" s="6">
        <v>0</v>
      </c>
      <c r="D1930" s="6">
        <v>0</v>
      </c>
      <c r="F1930" s="135">
        <v>4.7168999999999999</v>
      </c>
      <c r="G1930" s="26" t="s">
        <v>18</v>
      </c>
      <c r="H1930" s="7">
        <f>ROUND($F1930*C1930/100,0)</f>
        <v>0</v>
      </c>
      <c r="I1930" s="7">
        <f>ROUND($F1930*D1930/100,0)</f>
        <v>0</v>
      </c>
      <c r="K1930" s="135"/>
      <c r="L1930" s="135"/>
      <c r="M1930" s="26"/>
      <c r="O1930" s="135"/>
      <c r="P1930" s="59"/>
    </row>
    <row r="1931" spans="1:17" x14ac:dyDescent="0.25">
      <c r="A1931" s="19" t="s">
        <v>33</v>
      </c>
      <c r="C1931" s="36">
        <v>-20362</v>
      </c>
      <c r="D1931" s="36">
        <v>0</v>
      </c>
      <c r="F1931" s="135"/>
      <c r="G1931" s="126"/>
      <c r="H1931" s="37">
        <v>-2422</v>
      </c>
      <c r="I1931" s="37">
        <v>0</v>
      </c>
      <c r="K1931" s="135"/>
      <c r="L1931" s="135"/>
      <c r="M1931" s="126"/>
      <c r="N1931" s="37"/>
      <c r="O1931" s="135"/>
      <c r="P1931" s="126"/>
      <c r="Q1931" s="64"/>
    </row>
    <row r="1932" spans="1:17" x14ac:dyDescent="0.25">
      <c r="A1932" s="19" t="s">
        <v>34</v>
      </c>
      <c r="F1932" s="23">
        <v>-6.2E-2</v>
      </c>
      <c r="G1932" s="24"/>
      <c r="H1932" s="7">
        <f>SUM(H1928:H1930)*$F1932</f>
        <v>-8248.232</v>
      </c>
      <c r="I1932" s="7">
        <f>SUM(I1928:I1930)*$F1932</f>
        <v>-12034.51</v>
      </c>
      <c r="K1932" s="135"/>
      <c r="L1932" s="135"/>
      <c r="M1932" s="126"/>
      <c r="O1932" s="135"/>
      <c r="P1932" s="126"/>
    </row>
    <row r="1933" spans="1:17" x14ac:dyDescent="0.25">
      <c r="A1933" s="19" t="s">
        <v>328</v>
      </c>
      <c r="C1933" s="6">
        <v>1075323</v>
      </c>
      <c r="D1933" s="6">
        <v>1598654</v>
      </c>
      <c r="F1933" s="100"/>
      <c r="G1933" s="100"/>
      <c r="H1933" s="7">
        <f>SUM(H1927:H1932)</f>
        <v>124473.768</v>
      </c>
      <c r="I1933" s="7">
        <f>SUM(I1927:I1932)</f>
        <v>184737.49</v>
      </c>
      <c r="K1933" s="100"/>
      <c r="L1933" s="100"/>
      <c r="M1933" s="100"/>
      <c r="O1933" s="207"/>
      <c r="P1933" s="207"/>
    </row>
    <row r="1934" spans="1:17" x14ac:dyDescent="0.25">
      <c r="A1934" s="19" t="s">
        <v>34</v>
      </c>
      <c r="F1934" s="23"/>
      <c r="G1934" s="24"/>
      <c r="K1934" s="23"/>
      <c r="L1934" s="23"/>
      <c r="M1934" s="24"/>
      <c r="O1934" s="65"/>
      <c r="P1934" s="57"/>
    </row>
    <row r="1935" spans="1:17" ht="16.5" thickBot="1" x14ac:dyDescent="0.3">
      <c r="A1935" s="19" t="s">
        <v>36</v>
      </c>
      <c r="C1935" s="101">
        <v>1235720</v>
      </c>
      <c r="D1935" s="101">
        <v>1837112</v>
      </c>
      <c r="F1935" s="41"/>
      <c r="H1935" s="95">
        <f>H1933+H1925</f>
        <v>157257.55599999998</v>
      </c>
      <c r="I1935" s="95">
        <f>I1933+I1925</f>
        <v>233114.76199999999</v>
      </c>
      <c r="K1935" s="41"/>
      <c r="L1935" s="41"/>
      <c r="N1935" s="95">
        <f>N1899+N1917</f>
        <v>503840</v>
      </c>
      <c r="O1935" s="68"/>
      <c r="Q1935" s="208"/>
    </row>
    <row r="1936" spans="1:17" ht="16.5" thickTop="1" x14ac:dyDescent="0.25">
      <c r="A1936" s="19"/>
    </row>
    <row r="1937" spans="1:16" x14ac:dyDescent="0.25">
      <c r="A1937" s="15" t="s">
        <v>330</v>
      </c>
      <c r="F1937" s="100"/>
      <c r="G1937" s="100"/>
      <c r="K1937" s="100"/>
      <c r="L1937" s="100"/>
      <c r="M1937" s="100"/>
      <c r="O1937" s="207"/>
      <c r="P1937" s="207"/>
    </row>
    <row r="1938" spans="1:16" x14ac:dyDescent="0.25">
      <c r="A1938" s="19" t="s">
        <v>331</v>
      </c>
      <c r="B1938" s="19"/>
      <c r="F1938" s="136"/>
      <c r="G1938" s="20"/>
      <c r="K1938" s="136"/>
      <c r="L1938" s="136"/>
      <c r="M1938" s="20"/>
      <c r="O1938" s="219"/>
      <c r="P1938" s="55"/>
    </row>
    <row r="1939" spans="1:16" x14ac:dyDescent="0.25">
      <c r="A1939" s="19" t="s">
        <v>332</v>
      </c>
      <c r="B1939" s="19"/>
      <c r="F1939" s="136">
        <v>70</v>
      </c>
      <c r="G1939" s="20"/>
      <c r="K1939" s="136"/>
      <c r="L1939" s="136">
        <v>73</v>
      </c>
      <c r="M1939" s="20"/>
      <c r="O1939" s="219"/>
      <c r="P1939" s="55"/>
    </row>
    <row r="1940" spans="1:16" x14ac:dyDescent="0.25">
      <c r="A1940" s="19" t="s">
        <v>333</v>
      </c>
      <c r="F1940" s="136">
        <v>70</v>
      </c>
      <c r="G1940" s="20"/>
      <c r="K1940" s="136"/>
      <c r="L1940" s="136">
        <v>73</v>
      </c>
      <c r="M1940" s="20"/>
      <c r="O1940" s="219"/>
      <c r="P1940" s="55"/>
    </row>
    <row r="1941" spans="1:16" x14ac:dyDescent="0.25">
      <c r="A1941" s="19" t="s">
        <v>334</v>
      </c>
      <c r="F1941" s="137">
        <v>259</v>
      </c>
      <c r="G1941" s="24"/>
      <c r="K1941" s="137"/>
      <c r="L1941" s="136">
        <v>269</v>
      </c>
      <c r="M1941" s="24"/>
      <c r="O1941" s="219"/>
      <c r="P1941" s="57"/>
    </row>
    <row r="1942" spans="1:16" x14ac:dyDescent="0.25">
      <c r="A1942" s="19" t="s">
        <v>335</v>
      </c>
      <c r="F1942" s="136"/>
      <c r="G1942" s="138"/>
      <c r="K1942" s="136"/>
      <c r="L1942" s="136"/>
      <c r="M1942" s="138"/>
      <c r="O1942" s="219"/>
      <c r="P1942" s="220"/>
    </row>
    <row r="1943" spans="1:16" x14ac:dyDescent="0.25">
      <c r="A1943" s="19" t="s">
        <v>332</v>
      </c>
      <c r="F1943" s="136">
        <v>1.37</v>
      </c>
      <c r="G1943" s="138"/>
      <c r="K1943" s="136"/>
      <c r="L1943" s="136">
        <v>1.42</v>
      </c>
      <c r="M1943" s="138"/>
      <c r="O1943" s="219"/>
      <c r="P1943" s="220"/>
    </row>
    <row r="1944" spans="1:16" x14ac:dyDescent="0.25">
      <c r="A1944" s="19" t="s">
        <v>333</v>
      </c>
      <c r="F1944" s="136">
        <v>1.37</v>
      </c>
      <c r="G1944" s="138"/>
      <c r="K1944" s="136"/>
      <c r="L1944" s="136">
        <v>1.42</v>
      </c>
      <c r="M1944" s="138"/>
      <c r="O1944" s="219"/>
      <c r="P1944" s="220"/>
    </row>
    <row r="1945" spans="1:16" x14ac:dyDescent="0.25">
      <c r="A1945" s="19" t="s">
        <v>334</v>
      </c>
      <c r="F1945" s="137">
        <v>1.37</v>
      </c>
      <c r="G1945" s="139"/>
      <c r="K1945" s="137"/>
      <c r="L1945" s="136">
        <v>1.42</v>
      </c>
      <c r="M1945" s="139"/>
      <c r="O1945" s="219"/>
      <c r="P1945" s="221"/>
    </row>
    <row r="1946" spans="1:16" x14ac:dyDescent="0.25">
      <c r="A1946" s="19" t="s">
        <v>336</v>
      </c>
      <c r="F1946" s="137"/>
      <c r="G1946" s="139"/>
      <c r="K1946" s="136"/>
      <c r="L1946" s="136"/>
      <c r="M1946" s="139"/>
      <c r="O1946" s="219"/>
      <c r="P1946" s="221"/>
    </row>
    <row r="1947" spans="1:16" x14ac:dyDescent="0.25">
      <c r="A1947" s="19" t="s">
        <v>332</v>
      </c>
      <c r="F1947" s="137"/>
      <c r="G1947" s="139"/>
      <c r="K1947" s="136"/>
      <c r="L1947" s="136"/>
      <c r="M1947" s="139"/>
      <c r="O1947" s="219"/>
      <c r="P1947" s="221"/>
    </row>
    <row r="1948" spans="1:16" x14ac:dyDescent="0.25">
      <c r="A1948" s="19" t="s">
        <v>337</v>
      </c>
      <c r="B1948" s="19"/>
      <c r="C1948" s="19"/>
      <c r="E1948" s="19"/>
      <c r="F1948" s="136">
        <v>8.16</v>
      </c>
      <c r="G1948" s="19"/>
      <c r="H1948" s="19"/>
      <c r="I1948" s="19"/>
      <c r="J1948" s="19"/>
      <c r="K1948" s="136"/>
      <c r="L1948" s="136">
        <v>8.4600000000000009</v>
      </c>
      <c r="M1948" s="19"/>
      <c r="O1948" s="219"/>
      <c r="P1948" s="222"/>
    </row>
    <row r="1949" spans="1:16" x14ac:dyDescent="0.25">
      <c r="A1949" s="19" t="s">
        <v>338</v>
      </c>
      <c r="F1949" s="136">
        <v>5.86</v>
      </c>
      <c r="G1949" s="20"/>
      <c r="K1949" s="136"/>
      <c r="L1949" s="136">
        <v>6.08</v>
      </c>
      <c r="M1949" s="20"/>
      <c r="O1949" s="219"/>
      <c r="P1949" s="55"/>
    </row>
    <row r="1950" spans="1:16" x14ac:dyDescent="0.25">
      <c r="A1950" s="19" t="s">
        <v>333</v>
      </c>
      <c r="F1950" s="136"/>
      <c r="G1950" s="20"/>
      <c r="K1950" s="136"/>
      <c r="L1950" s="136"/>
      <c r="M1950" s="20"/>
      <c r="O1950" s="219"/>
      <c r="P1950" s="55"/>
    </row>
    <row r="1951" spans="1:16" x14ac:dyDescent="0.25">
      <c r="A1951" s="19" t="s">
        <v>337</v>
      </c>
      <c r="F1951" s="136">
        <v>8.0500000000000007</v>
      </c>
      <c r="G1951" s="138"/>
      <c r="K1951" s="136"/>
      <c r="L1951" s="136">
        <v>8.35</v>
      </c>
      <c r="M1951" s="138"/>
      <c r="O1951" s="219"/>
      <c r="P1951" s="220"/>
    </row>
    <row r="1952" spans="1:16" x14ac:dyDescent="0.25">
      <c r="A1952" s="19" t="s">
        <v>338</v>
      </c>
      <c r="F1952" s="136">
        <v>5.61</v>
      </c>
      <c r="G1952" s="138"/>
      <c r="K1952" s="136"/>
      <c r="L1952" s="136">
        <v>5.82</v>
      </c>
      <c r="M1952" s="138"/>
      <c r="O1952" s="219"/>
      <c r="P1952" s="220"/>
    </row>
    <row r="1953" spans="1:16" x14ac:dyDescent="0.25">
      <c r="A1953" s="19" t="s">
        <v>339</v>
      </c>
      <c r="F1953" s="136"/>
      <c r="G1953" s="138"/>
      <c r="K1953" s="136"/>
      <c r="L1953" s="136"/>
      <c r="M1953" s="138"/>
      <c r="O1953" s="219"/>
      <c r="P1953" s="220"/>
    </row>
    <row r="1954" spans="1:16" x14ac:dyDescent="0.25">
      <c r="A1954" s="19" t="s">
        <v>337</v>
      </c>
      <c r="F1954" s="137">
        <v>7.83</v>
      </c>
      <c r="G1954" s="139"/>
      <c r="K1954" s="136"/>
      <c r="L1954" s="136">
        <v>8.1199999999999992</v>
      </c>
      <c r="M1954" s="139"/>
      <c r="O1954" s="219"/>
      <c r="P1954" s="221"/>
    </row>
    <row r="1955" spans="1:16" x14ac:dyDescent="0.25">
      <c r="A1955" s="19" t="s">
        <v>338</v>
      </c>
      <c r="F1955" s="137">
        <v>5.31</v>
      </c>
      <c r="G1955" s="139"/>
      <c r="K1955" s="136"/>
      <c r="L1955" s="136">
        <v>5.51</v>
      </c>
      <c r="M1955" s="139"/>
      <c r="O1955" s="219"/>
      <c r="P1955" s="221"/>
    </row>
    <row r="1956" spans="1:16" x14ac:dyDescent="0.25">
      <c r="A1956" s="19" t="s">
        <v>340</v>
      </c>
      <c r="F1956" s="137"/>
      <c r="G1956" s="139"/>
      <c r="K1956" s="137"/>
      <c r="L1956" s="137"/>
      <c r="M1956" s="139"/>
      <c r="O1956" s="223"/>
      <c r="P1956" s="221"/>
    </row>
    <row r="1957" spans="1:16" x14ac:dyDescent="0.25">
      <c r="A1957" s="19" t="s">
        <v>332</v>
      </c>
      <c r="F1957" s="136"/>
      <c r="G1957" s="20"/>
      <c r="K1957" s="136"/>
      <c r="L1957" s="136"/>
      <c r="M1957" s="20"/>
      <c r="O1957" s="219"/>
      <c r="P1957" s="55"/>
    </row>
    <row r="1958" spans="1:16" x14ac:dyDescent="0.25">
      <c r="A1958" s="19" t="s">
        <v>341</v>
      </c>
      <c r="D1958" s="99"/>
      <c r="F1958" s="117">
        <v>9.2314000000000007</v>
      </c>
      <c r="G1958" s="26" t="s">
        <v>18</v>
      </c>
      <c r="K1958" s="117"/>
      <c r="L1958" s="117">
        <v>9.5742999999999991</v>
      </c>
      <c r="M1958" s="26" t="s">
        <v>18</v>
      </c>
      <c r="O1958" s="216"/>
      <c r="P1958" s="59"/>
    </row>
    <row r="1959" spans="1:16" x14ac:dyDescent="0.25">
      <c r="A1959" s="19" t="s">
        <v>342</v>
      </c>
      <c r="D1959" s="99"/>
      <c r="F1959" s="117">
        <v>5.077</v>
      </c>
      <c r="G1959" s="26" t="s">
        <v>18</v>
      </c>
      <c r="K1959" s="117"/>
      <c r="L1959" s="117">
        <v>5.2656000000000001</v>
      </c>
      <c r="M1959" s="26" t="s">
        <v>18</v>
      </c>
      <c r="O1959" s="216"/>
      <c r="P1959" s="59"/>
    </row>
    <row r="1960" spans="1:16" x14ac:dyDescent="0.25">
      <c r="A1960" s="19" t="s">
        <v>343</v>
      </c>
      <c r="C1960" s="107"/>
      <c r="D1960" s="99"/>
      <c r="F1960" s="140">
        <v>4.1108000000000002</v>
      </c>
      <c r="G1960" s="26" t="s">
        <v>18</v>
      </c>
      <c r="K1960" s="117"/>
      <c r="L1960" s="117">
        <v>4.2634999999999996</v>
      </c>
      <c r="M1960" s="26" t="s">
        <v>18</v>
      </c>
      <c r="O1960" s="216"/>
      <c r="P1960" s="59"/>
    </row>
    <row r="1961" spans="1:16" x14ac:dyDescent="0.25">
      <c r="A1961" s="19" t="s">
        <v>344</v>
      </c>
      <c r="D1961" s="99"/>
      <c r="F1961" s="140">
        <v>3.4356</v>
      </c>
      <c r="G1961" s="26" t="s">
        <v>18</v>
      </c>
      <c r="K1961" s="117"/>
      <c r="L1961" s="117">
        <v>3.5632000000000001</v>
      </c>
      <c r="M1961" s="26" t="s">
        <v>18</v>
      </c>
      <c r="O1961" s="216"/>
      <c r="P1961" s="59"/>
    </row>
    <row r="1962" spans="1:16" x14ac:dyDescent="0.25">
      <c r="A1962" s="19" t="s">
        <v>333</v>
      </c>
      <c r="D1962" s="99"/>
      <c r="F1962" s="140"/>
      <c r="G1962" s="24"/>
      <c r="K1962" s="117"/>
      <c r="L1962" s="117"/>
      <c r="M1962" s="24"/>
      <c r="O1962" s="216"/>
      <c r="P1962" s="57"/>
    </row>
    <row r="1963" spans="1:16" x14ac:dyDescent="0.25">
      <c r="A1963" s="19" t="s">
        <v>341</v>
      </c>
      <c r="D1963" s="99"/>
      <c r="F1963" s="140">
        <v>8.8607999999999993</v>
      </c>
      <c r="G1963" s="26" t="s">
        <v>18</v>
      </c>
      <c r="K1963" s="117"/>
      <c r="L1963" s="117">
        <v>9.1898999999999997</v>
      </c>
      <c r="M1963" s="26" t="s">
        <v>18</v>
      </c>
      <c r="O1963" s="216"/>
      <c r="P1963" s="59"/>
    </row>
    <row r="1964" spans="1:16" x14ac:dyDescent="0.25">
      <c r="A1964" s="19" t="s">
        <v>342</v>
      </c>
      <c r="D1964" s="99"/>
      <c r="F1964" s="140">
        <v>4.7064000000000004</v>
      </c>
      <c r="G1964" s="26" t="s">
        <v>18</v>
      </c>
      <c r="K1964" s="117"/>
      <c r="L1964" s="117">
        <v>4.8811999999999998</v>
      </c>
      <c r="M1964" s="26" t="s">
        <v>18</v>
      </c>
      <c r="O1964" s="216"/>
      <c r="P1964" s="59"/>
    </row>
    <row r="1965" spans="1:16" x14ac:dyDescent="0.25">
      <c r="A1965" s="19" t="s">
        <v>343</v>
      </c>
      <c r="D1965" s="99"/>
      <c r="F1965" s="140">
        <v>3.7402000000000002</v>
      </c>
      <c r="G1965" s="26" t="s">
        <v>18</v>
      </c>
      <c r="K1965" s="117"/>
      <c r="L1965" s="117">
        <v>3.8791000000000002</v>
      </c>
      <c r="M1965" s="26" t="s">
        <v>18</v>
      </c>
      <c r="O1965" s="216"/>
      <c r="P1965" s="59"/>
    </row>
    <row r="1966" spans="1:16" x14ac:dyDescent="0.25">
      <c r="A1966" s="19" t="s">
        <v>344</v>
      </c>
      <c r="D1966" s="99"/>
      <c r="F1966" s="140">
        <v>3.0649999999999999</v>
      </c>
      <c r="G1966" s="26" t="s">
        <v>18</v>
      </c>
      <c r="K1966" s="117"/>
      <c r="L1966" s="117">
        <v>3.1789000000000001</v>
      </c>
      <c r="M1966" s="26" t="s">
        <v>18</v>
      </c>
      <c r="O1966" s="216"/>
      <c r="P1966" s="59"/>
    </row>
    <row r="1967" spans="1:16" x14ac:dyDescent="0.25">
      <c r="A1967" s="19" t="s">
        <v>334</v>
      </c>
      <c r="D1967" s="99"/>
      <c r="F1967" s="140"/>
      <c r="G1967" s="26"/>
      <c r="K1967" s="117"/>
      <c r="L1967" s="117"/>
      <c r="M1967" s="26"/>
      <c r="O1967" s="216"/>
      <c r="P1967" s="59"/>
    </row>
    <row r="1968" spans="1:16" x14ac:dyDescent="0.25">
      <c r="A1968" s="19" t="s">
        <v>341</v>
      </c>
      <c r="D1968" s="99"/>
      <c r="F1968" s="140">
        <v>8.6678999999999995</v>
      </c>
      <c r="G1968" s="26" t="s">
        <v>18</v>
      </c>
      <c r="K1968" s="117"/>
      <c r="L1968" s="117">
        <v>8.9899000000000004</v>
      </c>
      <c r="M1968" s="26" t="s">
        <v>18</v>
      </c>
      <c r="O1968" s="216"/>
      <c r="P1968" s="59"/>
    </row>
    <row r="1969" spans="1:16" x14ac:dyDescent="0.25">
      <c r="A1969" s="19" t="s">
        <v>342</v>
      </c>
      <c r="D1969" s="99"/>
      <c r="F1969" s="140">
        <v>4.5133999999999999</v>
      </c>
      <c r="G1969" s="26" t="s">
        <v>18</v>
      </c>
      <c r="K1969" s="117"/>
      <c r="L1969" s="117">
        <v>4.6810999999999998</v>
      </c>
      <c r="M1969" s="26" t="s">
        <v>18</v>
      </c>
      <c r="O1969" s="216"/>
      <c r="P1969" s="59"/>
    </row>
    <row r="1970" spans="1:16" x14ac:dyDescent="0.25">
      <c r="A1970" s="19" t="s">
        <v>343</v>
      </c>
      <c r="D1970" s="99"/>
      <c r="F1970" s="140">
        <v>3.5472999999999999</v>
      </c>
      <c r="G1970" s="26" t="s">
        <v>18</v>
      </c>
      <c r="K1970" s="117"/>
      <c r="L1970" s="117">
        <v>3.6791</v>
      </c>
      <c r="M1970" s="26" t="s">
        <v>18</v>
      </c>
      <c r="O1970" s="216"/>
      <c r="P1970" s="59"/>
    </row>
    <row r="1971" spans="1:16" x14ac:dyDescent="0.25">
      <c r="A1971" s="19" t="s">
        <v>344</v>
      </c>
      <c r="D1971" s="99"/>
      <c r="F1971" s="140">
        <v>2.8721000000000001</v>
      </c>
      <c r="G1971" s="26" t="s">
        <v>18</v>
      </c>
      <c r="K1971" s="117"/>
      <c r="L1971" s="117">
        <v>2.9788000000000001</v>
      </c>
      <c r="M1971" s="26" t="s">
        <v>18</v>
      </c>
      <c r="O1971" s="216"/>
      <c r="P1971" s="59"/>
    </row>
    <row r="1972" spans="1:16" x14ac:dyDescent="0.25">
      <c r="A1972" s="19" t="s">
        <v>34</v>
      </c>
      <c r="F1972" s="23">
        <v>-3.0700000000000002E-2</v>
      </c>
      <c r="G1972" s="24"/>
      <c r="K1972" s="93" t="str">
        <f>$K$43</f>
        <v>TAA 1 (1/1/2021)</v>
      </c>
      <c r="L1972" s="23">
        <v>-2.4299999999999999E-2</v>
      </c>
      <c r="M1972" s="24"/>
      <c r="O1972" s="65"/>
      <c r="P1972" s="57"/>
    </row>
    <row r="1973" spans="1:16" x14ac:dyDescent="0.25">
      <c r="A1973" s="19"/>
      <c r="F1973" s="23"/>
      <c r="G1973" s="24"/>
      <c r="K1973" s="93" t="str">
        <f>$K$44</f>
        <v>TAA 2 (1/1/2022)</v>
      </c>
      <c r="L1973" s="23">
        <v>-1.21E-2</v>
      </c>
      <c r="M1973" s="24"/>
      <c r="O1973" s="65"/>
      <c r="P1973" s="57"/>
    </row>
    <row r="1974" spans="1:16" x14ac:dyDescent="0.25">
      <c r="A1974" s="19" t="s">
        <v>36</v>
      </c>
      <c r="N1974" s="7">
        <f>SUM(N1939:N1971)</f>
        <v>0</v>
      </c>
    </row>
    <row r="1976" spans="1:16" x14ac:dyDescent="0.25">
      <c r="A1976" s="15" t="s">
        <v>345</v>
      </c>
    </row>
    <row r="1977" spans="1:16" x14ac:dyDescent="0.25">
      <c r="A1977" s="19" t="s">
        <v>68</v>
      </c>
      <c r="C1977" s="6">
        <v>1094043.5929998949</v>
      </c>
      <c r="D1977" s="6">
        <v>1134470.3348968814</v>
      </c>
      <c r="F1977" s="20">
        <v>10</v>
      </c>
      <c r="G1977" s="20"/>
      <c r="H1977" s="7">
        <f t="shared" ref="H1977:I1988" si="291">ROUND($F1977*C1977,0)</f>
        <v>10940436</v>
      </c>
      <c r="I1977" s="7">
        <f t="shared" si="291"/>
        <v>11344703</v>
      </c>
      <c r="K1977" s="20"/>
      <c r="L1977" s="20">
        <v>10</v>
      </c>
      <c r="M1977" s="20"/>
      <c r="N1977" s="7">
        <f>ROUND($D1977*L1977,0)</f>
        <v>11344703</v>
      </c>
      <c r="O1977" s="55"/>
      <c r="P1977" s="55"/>
    </row>
    <row r="1978" spans="1:16" x14ac:dyDescent="0.25">
      <c r="A1978" s="19" t="s">
        <v>79</v>
      </c>
      <c r="C1978" s="6">
        <v>0</v>
      </c>
      <c r="D1978" s="6">
        <v>0</v>
      </c>
      <c r="F1978" s="20">
        <v>120</v>
      </c>
      <c r="G1978" s="20"/>
      <c r="H1978" s="7">
        <f t="shared" si="291"/>
        <v>0</v>
      </c>
      <c r="I1978" s="7">
        <f t="shared" si="291"/>
        <v>0</v>
      </c>
      <c r="K1978" s="20"/>
      <c r="L1978" s="20">
        <v>117</v>
      </c>
      <c r="M1978" s="20"/>
      <c r="N1978" s="7">
        <f>ROUND($D1978*L1978,0)</f>
        <v>0</v>
      </c>
      <c r="O1978" s="55"/>
      <c r="P1978" s="55"/>
    </row>
    <row r="1979" spans="1:16" x14ac:dyDescent="0.25">
      <c r="A1979" s="19" t="s">
        <v>80</v>
      </c>
      <c r="C1979" s="6">
        <v>98.399000000000001</v>
      </c>
      <c r="D1979" s="6">
        <v>102</v>
      </c>
      <c r="F1979" s="24">
        <v>10</v>
      </c>
      <c r="G1979" s="24"/>
      <c r="H1979" s="7">
        <f t="shared" si="291"/>
        <v>984</v>
      </c>
      <c r="I1979" s="7">
        <f t="shared" si="291"/>
        <v>1020</v>
      </c>
      <c r="K1979" s="24"/>
      <c r="L1979" s="20">
        <f>L1977</f>
        <v>10</v>
      </c>
      <c r="M1979" s="24"/>
      <c r="N1979" s="7">
        <f>ROUND($D1979*L1979,0)</f>
        <v>1020</v>
      </c>
      <c r="O1979" s="55"/>
      <c r="P1979" s="57"/>
    </row>
    <row r="1980" spans="1:16" x14ac:dyDescent="0.25">
      <c r="A1980" s="19" t="s">
        <v>346</v>
      </c>
      <c r="C1980" s="6">
        <v>307129.99190138647</v>
      </c>
      <c r="D1980" s="6">
        <v>303570</v>
      </c>
      <c r="F1980" s="24"/>
      <c r="G1980" s="24"/>
      <c r="K1980" s="24"/>
      <c r="L1980" s="24">
        <v>8.89</v>
      </c>
      <c r="M1980" s="24"/>
      <c r="N1980" s="7">
        <f>ROUND($D1980*L1980,0)</f>
        <v>2698737</v>
      </c>
      <c r="O1980" s="57"/>
      <c r="P1980" s="57"/>
    </row>
    <row r="1981" spans="1:16" x14ac:dyDescent="0.25">
      <c r="A1981" s="19" t="s">
        <v>347</v>
      </c>
      <c r="C1981" s="6">
        <v>357703.21417129517</v>
      </c>
      <c r="D1981" s="6">
        <v>353344</v>
      </c>
      <c r="F1981" s="24"/>
      <c r="G1981" s="24"/>
      <c r="K1981" s="24"/>
      <c r="L1981" s="24">
        <v>7.87</v>
      </c>
      <c r="M1981" s="24"/>
      <c r="N1981" s="7">
        <f>ROUND($D1981*L1981,0)</f>
        <v>2780817</v>
      </c>
      <c r="O1981" s="57"/>
      <c r="P1981" s="57"/>
    </row>
    <row r="1982" spans="1:16" x14ac:dyDescent="0.25">
      <c r="A1982" s="19" t="s">
        <v>348</v>
      </c>
      <c r="C1982" s="6">
        <v>246513686.00034341</v>
      </c>
      <c r="D1982" s="6">
        <v>245732054.41468564</v>
      </c>
      <c r="F1982" s="100"/>
      <c r="G1982" s="26"/>
      <c r="K1982" s="100"/>
      <c r="L1982" s="100">
        <v>11.712</v>
      </c>
      <c r="M1982" s="26" t="s">
        <v>18</v>
      </c>
      <c r="N1982" s="7">
        <f>ROUND($D1982*L1982/100,0)</f>
        <v>28780138</v>
      </c>
      <c r="O1982" s="207"/>
      <c r="P1982" s="59"/>
    </row>
    <row r="1983" spans="1:16" x14ac:dyDescent="0.25">
      <c r="A1983" s="19" t="s">
        <v>349</v>
      </c>
      <c r="C1983" s="6">
        <v>255582783.39106882</v>
      </c>
      <c r="D1983" s="6">
        <v>255089575</v>
      </c>
      <c r="F1983" s="100"/>
      <c r="G1983" s="26"/>
      <c r="K1983" s="100"/>
      <c r="L1983" s="100">
        <v>6.5567000000000002</v>
      </c>
      <c r="M1983" s="26" t="s">
        <v>18</v>
      </c>
      <c r="N1983" s="7">
        <f>ROUND($D1983*L1983/100,0)</f>
        <v>16725458</v>
      </c>
      <c r="O1983" s="207"/>
      <c r="P1983" s="59"/>
    </row>
    <row r="1984" spans="1:16" x14ac:dyDescent="0.25">
      <c r="A1984" s="19" t="s">
        <v>350</v>
      </c>
      <c r="C1984" s="6">
        <v>497637266.10561931</v>
      </c>
      <c r="D1984" s="6">
        <v>491138812</v>
      </c>
      <c r="F1984" s="100"/>
      <c r="G1984" s="26"/>
      <c r="K1984" s="100"/>
      <c r="L1984" s="100">
        <v>10.364599999999999</v>
      </c>
      <c r="M1984" s="26" t="s">
        <v>18</v>
      </c>
      <c r="N1984" s="7">
        <f>ROUND($D1984*L1984/100,0)</f>
        <v>50904573</v>
      </c>
      <c r="O1984" s="207"/>
      <c r="P1984" s="59"/>
    </row>
    <row r="1985" spans="1:17" x14ac:dyDescent="0.25">
      <c r="A1985" s="19" t="s">
        <v>351</v>
      </c>
      <c r="C1985" s="6">
        <v>399727710.95724291</v>
      </c>
      <c r="D1985" s="6">
        <v>394638630</v>
      </c>
      <c r="F1985" s="100"/>
      <c r="G1985" s="26"/>
      <c r="K1985" s="100"/>
      <c r="L1985" s="100">
        <v>5.8023999999999996</v>
      </c>
      <c r="M1985" s="26" t="s">
        <v>18</v>
      </c>
      <c r="N1985" s="7">
        <f>ROUND($D1985*L1985/100,0)</f>
        <v>22898512</v>
      </c>
      <c r="O1985" s="207"/>
      <c r="P1985" s="59"/>
    </row>
    <row r="1986" spans="1:17" x14ac:dyDescent="0.25">
      <c r="A1986" s="19" t="s">
        <v>352</v>
      </c>
      <c r="C1986" s="6">
        <v>359490.05664739525</v>
      </c>
      <c r="D1986" s="6">
        <v>355316</v>
      </c>
      <c r="F1986" s="20">
        <v>8.65</v>
      </c>
      <c r="G1986" s="20"/>
      <c r="H1986" s="7">
        <f t="shared" si="291"/>
        <v>3109589</v>
      </c>
      <c r="I1986" s="7">
        <f t="shared" si="291"/>
        <v>3073483</v>
      </c>
      <c r="K1986" s="20"/>
      <c r="L1986" s="20"/>
      <c r="M1986" s="20"/>
      <c r="O1986" s="55"/>
      <c r="P1986" s="55"/>
    </row>
    <row r="1987" spans="1:17" x14ac:dyDescent="0.25">
      <c r="A1987" s="19" t="s">
        <v>353</v>
      </c>
      <c r="C1987" s="6">
        <v>305343.14942528633</v>
      </c>
      <c r="D1987" s="6">
        <v>301598</v>
      </c>
      <c r="F1987" s="20">
        <v>8.7000000000000011</v>
      </c>
      <c r="G1987" s="20"/>
      <c r="H1987" s="7">
        <f t="shared" si="291"/>
        <v>2656485</v>
      </c>
      <c r="I1987" s="7">
        <f t="shared" si="291"/>
        <v>2623903</v>
      </c>
      <c r="K1987" s="20"/>
      <c r="L1987" s="20"/>
      <c r="M1987" s="20"/>
      <c r="O1987" s="55"/>
      <c r="P1987" s="55"/>
    </row>
    <row r="1988" spans="1:17" x14ac:dyDescent="0.25">
      <c r="A1988" s="19" t="s">
        <v>77</v>
      </c>
      <c r="C1988" s="6">
        <v>12132.72916666667</v>
      </c>
      <c r="D1988" s="6">
        <v>11994</v>
      </c>
      <c r="F1988" s="20">
        <v>-0.48</v>
      </c>
      <c r="G1988" s="20"/>
      <c r="H1988" s="7">
        <f t="shared" si="291"/>
        <v>-5824</v>
      </c>
      <c r="I1988" s="7">
        <f t="shared" si="291"/>
        <v>-5757</v>
      </c>
      <c r="K1988" s="24"/>
      <c r="L1988" s="20">
        <f>F1988</f>
        <v>-0.48</v>
      </c>
      <c r="M1988" s="20"/>
      <c r="N1988" s="7">
        <f>ROUND($D1988*L1988,0)</f>
        <v>-5757</v>
      </c>
      <c r="O1988" s="55"/>
      <c r="P1988" s="55"/>
    </row>
    <row r="1989" spans="1:17" x14ac:dyDescent="0.25">
      <c r="A1989" s="19" t="s">
        <v>354</v>
      </c>
      <c r="C1989" s="6">
        <v>306932669.66192746</v>
      </c>
      <c r="D1989" s="6">
        <v>308060156.41468561</v>
      </c>
      <c r="F1989" s="30">
        <v>11.733599999999999</v>
      </c>
      <c r="G1989" s="26" t="s">
        <v>18</v>
      </c>
      <c r="H1989" s="7">
        <f t="shared" ref="H1989:I1993" si="292">ROUND($F1989*C1989/100,0)</f>
        <v>36014252</v>
      </c>
      <c r="I1989" s="7">
        <f t="shared" si="292"/>
        <v>36146547</v>
      </c>
      <c r="K1989" s="30"/>
      <c r="L1989" s="30"/>
      <c r="M1989" s="26"/>
      <c r="O1989" s="61"/>
      <c r="P1989" s="59"/>
    </row>
    <row r="1990" spans="1:17" x14ac:dyDescent="0.25">
      <c r="A1990" s="19" t="s">
        <v>355</v>
      </c>
      <c r="C1990" s="6">
        <v>299805428.240731</v>
      </c>
      <c r="D1990" s="6">
        <v>301253476</v>
      </c>
      <c r="F1990" s="30">
        <v>6.5782999999999996</v>
      </c>
      <c r="G1990" s="26" t="s">
        <v>18</v>
      </c>
      <c r="H1990" s="7">
        <f t="shared" si="292"/>
        <v>19722100</v>
      </c>
      <c r="I1990" s="7">
        <f t="shared" si="292"/>
        <v>19817357</v>
      </c>
      <c r="K1990" s="30"/>
      <c r="L1990" s="30"/>
      <c r="M1990" s="26"/>
      <c r="O1990" s="61"/>
      <c r="P1990" s="59"/>
    </row>
    <row r="1991" spans="1:17" x14ac:dyDescent="0.25">
      <c r="A1991" s="19" t="s">
        <v>356</v>
      </c>
      <c r="C1991" s="6">
        <v>437218282.44403523</v>
      </c>
      <c r="D1991" s="6">
        <v>428643673</v>
      </c>
      <c r="F1991" s="30">
        <v>10.8</v>
      </c>
      <c r="G1991" s="26" t="s">
        <v>18</v>
      </c>
      <c r="H1991" s="7">
        <f t="shared" si="292"/>
        <v>47219575</v>
      </c>
      <c r="I1991" s="7">
        <f t="shared" si="292"/>
        <v>46293517</v>
      </c>
      <c r="K1991" s="30"/>
      <c r="L1991" s="30"/>
      <c r="M1991" s="26"/>
      <c r="O1991" s="61"/>
      <c r="P1991" s="59"/>
    </row>
    <row r="1992" spans="1:17" x14ac:dyDescent="0.25">
      <c r="A1992" s="19" t="s">
        <v>357</v>
      </c>
      <c r="C1992" s="6">
        <v>355505066.10758072</v>
      </c>
      <c r="D1992" s="6">
        <v>348641766</v>
      </c>
      <c r="F1992" s="30">
        <v>6.0567000000000002</v>
      </c>
      <c r="G1992" s="26" t="s">
        <v>18</v>
      </c>
      <c r="H1992" s="7">
        <f t="shared" si="292"/>
        <v>21531875</v>
      </c>
      <c r="I1992" s="7">
        <f t="shared" si="292"/>
        <v>21116186</v>
      </c>
      <c r="K1992" s="30"/>
      <c r="L1992" s="30"/>
      <c r="M1992" s="26"/>
      <c r="O1992" s="61"/>
      <c r="P1992" s="59"/>
    </row>
    <row r="1993" spans="1:17" x14ac:dyDescent="0.25">
      <c r="A1993" s="32" t="s">
        <v>32</v>
      </c>
      <c r="B1993" s="33"/>
      <c r="C1993" s="6">
        <v>2093618</v>
      </c>
      <c r="D1993" s="6">
        <v>2069676</v>
      </c>
      <c r="E1993" s="33"/>
      <c r="F1993" s="31">
        <v>10.120799999999999</v>
      </c>
      <c r="G1993" s="35" t="s">
        <v>18</v>
      </c>
      <c r="H1993" s="18">
        <f t="shared" si="292"/>
        <v>211891</v>
      </c>
      <c r="I1993" s="18">
        <f t="shared" si="292"/>
        <v>209468</v>
      </c>
      <c r="J1993" s="33"/>
      <c r="K1993" s="31"/>
      <c r="L1993" s="31">
        <v>10.3811</v>
      </c>
      <c r="M1993" s="35" t="s">
        <v>18</v>
      </c>
      <c r="N1993" s="18">
        <f>ROUND($D1993*L1993/100,0)</f>
        <v>214855</v>
      </c>
      <c r="O1993" s="62"/>
      <c r="P1993" s="63"/>
      <c r="Q1993" s="70"/>
    </row>
    <row r="1994" spans="1:17" x14ac:dyDescent="0.25">
      <c r="A1994" s="19" t="s">
        <v>33</v>
      </c>
      <c r="C1994" s="36">
        <v>6316242</v>
      </c>
      <c r="D1994" s="36">
        <v>0</v>
      </c>
      <c r="H1994" s="37">
        <f>H2018+H2042+H2066</f>
        <v>702376</v>
      </c>
      <c r="I1994" s="37">
        <f t="shared" ref="I1994" si="293">I2018+I2042+I2066</f>
        <v>0</v>
      </c>
      <c r="N1994" s="37"/>
      <c r="Q1994" s="64"/>
    </row>
    <row r="1995" spans="1:17" x14ac:dyDescent="0.25">
      <c r="A1995" s="19" t="s">
        <v>34</v>
      </c>
      <c r="F1995" s="23">
        <v>-3.3099999999999997E-2</v>
      </c>
      <c r="G1995" s="24"/>
      <c r="H1995" s="7">
        <f>SUM(H1986:H1987,H1989:H1993)*$F1995</f>
        <v>-4318416.8876999998</v>
      </c>
      <c r="I1995" s="7">
        <f>SUM(I1986:I1987,I1989:I1993)*$F1995</f>
        <v>-4279183.2590999994</v>
      </c>
      <c r="K1995" s="93" t="str">
        <f>$K$43</f>
        <v>TAA 1 (1/1/2021)</v>
      </c>
      <c r="L1995" s="23">
        <v>-2.3900000000000001E-2</v>
      </c>
      <c r="M1995" s="24"/>
      <c r="N1995" s="7">
        <f>L1995*SUM(N1980:N1985,N1993)</f>
        <v>-2987573.8510000003</v>
      </c>
      <c r="O1995" s="65"/>
      <c r="P1995" s="57"/>
    </row>
    <row r="1996" spans="1:17" x14ac:dyDescent="0.25">
      <c r="A1996" s="19"/>
      <c r="F1996" s="23"/>
      <c r="G1996" s="24"/>
      <c r="K1996" s="93" t="str">
        <f>$K$44</f>
        <v>TAA 2 (1/1/2022)</v>
      </c>
      <c r="L1996" s="23">
        <v>-1.1900000000000001E-2</v>
      </c>
      <c r="M1996" s="24"/>
      <c r="N1996" s="7">
        <f>L1996*SUM(N1980:N1985,N1993)</f>
        <v>-1487536.7710000002</v>
      </c>
      <c r="O1996" s="65"/>
      <c r="P1996" s="57"/>
    </row>
    <row r="1997" spans="1:17" x14ac:dyDescent="0.25">
      <c r="A1997" s="32" t="s">
        <v>35</v>
      </c>
      <c r="C1997" s="6">
        <v>-151735</v>
      </c>
      <c r="D1997" s="6">
        <v>-150134</v>
      </c>
      <c r="F1997" s="23"/>
      <c r="G1997" s="24"/>
      <c r="K1997" s="23"/>
      <c r="L1997" s="23"/>
      <c r="M1997" s="24"/>
      <c r="O1997" s="65"/>
      <c r="P1997" s="57"/>
    </row>
    <row r="1998" spans="1:17" ht="16.5" thickBot="1" x14ac:dyDescent="0.3">
      <c r="A1998" s="19" t="s">
        <v>36</v>
      </c>
      <c r="C1998" s="101">
        <v>1407719571.4542744</v>
      </c>
      <c r="D1998" s="101">
        <v>1388518613.4146857</v>
      </c>
      <c r="F1998" s="41"/>
      <c r="H1998" s="95">
        <f>SUM(H1977:H1995)</f>
        <v>137785322.11230001</v>
      </c>
      <c r="I1998" s="95">
        <f>SUM(I1977:I1995)</f>
        <v>136341243.74090001</v>
      </c>
      <c r="K1998" s="41"/>
      <c r="L1998" s="41"/>
      <c r="N1998" s="95">
        <f>SUM(N1977:N1994)</f>
        <v>136343056</v>
      </c>
      <c r="O1998" s="68"/>
      <c r="Q1998" s="208"/>
    </row>
    <row r="1999" spans="1:17" ht="16.5" thickTop="1" x14ac:dyDescent="0.25"/>
    <row r="2000" spans="1:17" x14ac:dyDescent="0.25">
      <c r="A2000" s="15" t="s">
        <v>358</v>
      </c>
    </row>
    <row r="2001" spans="1:16" x14ac:dyDescent="0.25">
      <c r="A2001" s="19" t="s">
        <v>68</v>
      </c>
      <c r="C2001" s="6">
        <v>166153.66500000798</v>
      </c>
      <c r="D2001" s="6">
        <v>173250</v>
      </c>
      <c r="F2001" s="24">
        <v>10</v>
      </c>
      <c r="G2001" s="24"/>
      <c r="H2001" s="7">
        <f t="shared" ref="H2001:I2012" si="294">ROUND($F2001*C2001,0)</f>
        <v>1661537</v>
      </c>
      <c r="I2001" s="7">
        <f t="shared" si="294"/>
        <v>1732500</v>
      </c>
      <c r="K2001" s="24"/>
      <c r="L2001" s="24">
        <f t="shared" ref="L2001:L2009" si="295">L1977</f>
        <v>10</v>
      </c>
      <c r="M2001" s="24"/>
      <c r="N2001" s="7">
        <f>ROUND($D2001*L2001,0)</f>
        <v>1732500</v>
      </c>
      <c r="O2001" s="57"/>
      <c r="P2001" s="57"/>
    </row>
    <row r="2002" spans="1:16" x14ac:dyDescent="0.25">
      <c r="A2002" s="19" t="s">
        <v>79</v>
      </c>
      <c r="C2002" s="6">
        <v>0</v>
      </c>
      <c r="D2002" s="6">
        <v>0</v>
      </c>
      <c r="F2002" s="24">
        <v>120</v>
      </c>
      <c r="G2002" s="24"/>
      <c r="H2002" s="7">
        <f t="shared" si="294"/>
        <v>0</v>
      </c>
      <c r="I2002" s="7">
        <f t="shared" si="294"/>
        <v>0</v>
      </c>
      <c r="K2002" s="24"/>
      <c r="L2002" s="24">
        <f t="shared" si="295"/>
        <v>117</v>
      </c>
      <c r="M2002" s="24"/>
      <c r="N2002" s="7">
        <f>ROUND($D2002*L2002,0)</f>
        <v>0</v>
      </c>
      <c r="O2002" s="57"/>
      <c r="P2002" s="57"/>
    </row>
    <row r="2003" spans="1:16" x14ac:dyDescent="0.25">
      <c r="A2003" s="19" t="s">
        <v>80</v>
      </c>
      <c r="C2003" s="6">
        <v>6.6669999999999998</v>
      </c>
      <c r="D2003" s="6">
        <v>7</v>
      </c>
      <c r="F2003" s="24">
        <v>10</v>
      </c>
      <c r="G2003" s="24"/>
      <c r="H2003" s="7">
        <f t="shared" si="294"/>
        <v>67</v>
      </c>
      <c r="I2003" s="7">
        <f t="shared" si="294"/>
        <v>70</v>
      </c>
      <c r="K2003" s="24"/>
      <c r="L2003" s="24">
        <f t="shared" si="295"/>
        <v>10</v>
      </c>
      <c r="M2003" s="24"/>
      <c r="N2003" s="7">
        <f>ROUND($D2003*L2003,0)</f>
        <v>70</v>
      </c>
      <c r="O2003" s="57"/>
      <c r="P2003" s="57"/>
    </row>
    <row r="2004" spans="1:16" x14ac:dyDescent="0.25">
      <c r="A2004" s="19" t="s">
        <v>346</v>
      </c>
      <c r="C2004" s="6">
        <v>8259.9962634652038</v>
      </c>
      <c r="D2004" s="6">
        <v>7796</v>
      </c>
      <c r="F2004" s="24"/>
      <c r="G2004" s="24"/>
      <c r="K2004" s="24"/>
      <c r="L2004" s="24">
        <f t="shared" si="295"/>
        <v>8.89</v>
      </c>
      <c r="M2004" s="24"/>
      <c r="N2004" s="7">
        <f>ROUND($D2004*L2004,0)</f>
        <v>69306</v>
      </c>
      <c r="O2004" s="57"/>
      <c r="P2004" s="57"/>
    </row>
    <row r="2005" spans="1:16" x14ac:dyDescent="0.25">
      <c r="A2005" s="19" t="s">
        <v>347</v>
      </c>
      <c r="C2005" s="6">
        <v>13257.216008144667</v>
      </c>
      <c r="D2005" s="6">
        <v>12513</v>
      </c>
      <c r="F2005" s="24"/>
      <c r="G2005" s="24"/>
      <c r="K2005" s="24"/>
      <c r="L2005" s="24">
        <f t="shared" si="295"/>
        <v>7.87</v>
      </c>
      <c r="M2005" s="24"/>
      <c r="N2005" s="7">
        <f>ROUND($D2005*L2005,0)</f>
        <v>98477</v>
      </c>
      <c r="O2005" s="57"/>
      <c r="P2005" s="57"/>
    </row>
    <row r="2006" spans="1:16" x14ac:dyDescent="0.25">
      <c r="A2006" s="19" t="s">
        <v>348</v>
      </c>
      <c r="C2006" s="6">
        <v>18088988.484417532</v>
      </c>
      <c r="D2006" s="6">
        <v>17111827.531002313</v>
      </c>
      <c r="F2006" s="100"/>
      <c r="G2006" s="26"/>
      <c r="K2006" s="100"/>
      <c r="L2006" s="100">
        <f t="shared" si="295"/>
        <v>11.712</v>
      </c>
      <c r="M2006" s="26" t="s">
        <v>18</v>
      </c>
      <c r="N2006" s="7">
        <f>ROUND($D2006*L2006/100,0)</f>
        <v>2004137</v>
      </c>
      <c r="O2006" s="207"/>
      <c r="P2006" s="59"/>
    </row>
    <row r="2007" spans="1:16" x14ac:dyDescent="0.25">
      <c r="A2007" s="19" t="s">
        <v>349</v>
      </c>
      <c r="C2007" s="6">
        <v>12955361.531566361</v>
      </c>
      <c r="D2007" s="6">
        <v>12255517</v>
      </c>
      <c r="F2007" s="100"/>
      <c r="G2007" s="26"/>
      <c r="K2007" s="100"/>
      <c r="L2007" s="100">
        <f t="shared" si="295"/>
        <v>6.5567000000000002</v>
      </c>
      <c r="M2007" s="26" t="s">
        <v>18</v>
      </c>
      <c r="N2007" s="7">
        <f>ROUND($D2007*L2007/100,0)</f>
        <v>803557</v>
      </c>
      <c r="O2007" s="207"/>
      <c r="P2007" s="59"/>
    </row>
    <row r="2008" spans="1:16" x14ac:dyDescent="0.25">
      <c r="A2008" s="19" t="s">
        <v>350</v>
      </c>
      <c r="C2008" s="6">
        <v>42519070.480579935</v>
      </c>
      <c r="D2008" s="6">
        <v>40420347</v>
      </c>
      <c r="F2008" s="100"/>
      <c r="G2008" s="26"/>
      <c r="K2008" s="100"/>
      <c r="L2008" s="100">
        <f t="shared" si="295"/>
        <v>10.364599999999999</v>
      </c>
      <c r="M2008" s="26" t="s">
        <v>18</v>
      </c>
      <c r="N2008" s="7">
        <f>ROUND($D2008*L2008/100,0)</f>
        <v>4189407</v>
      </c>
      <c r="O2008" s="207"/>
      <c r="P2008" s="59"/>
    </row>
    <row r="2009" spans="1:16" x14ac:dyDescent="0.25">
      <c r="A2009" s="19" t="s">
        <v>351</v>
      </c>
      <c r="C2009" s="6">
        <v>28070742.378563926</v>
      </c>
      <c r="D2009" s="6">
        <v>26685182</v>
      </c>
      <c r="F2009" s="100"/>
      <c r="G2009" s="26"/>
      <c r="K2009" s="100"/>
      <c r="L2009" s="100">
        <f t="shared" si="295"/>
        <v>5.8023999999999996</v>
      </c>
      <c r="M2009" s="26" t="s">
        <v>18</v>
      </c>
      <c r="N2009" s="7">
        <f>ROUND($D2009*L2009/100,0)</f>
        <v>1548381</v>
      </c>
      <c r="O2009" s="207"/>
      <c r="P2009" s="59"/>
    </row>
    <row r="2010" spans="1:16" x14ac:dyDescent="0.25">
      <c r="A2010" s="19" t="s">
        <v>352</v>
      </c>
      <c r="C2010" s="6">
        <v>9763.3352601156057</v>
      </c>
      <c r="D2010" s="6">
        <v>9215</v>
      </c>
      <c r="F2010" s="24">
        <v>8.65</v>
      </c>
      <c r="G2010" s="24"/>
      <c r="H2010" s="7">
        <f t="shared" si="294"/>
        <v>84453</v>
      </c>
      <c r="I2010" s="7">
        <f t="shared" si="294"/>
        <v>79710</v>
      </c>
      <c r="K2010" s="24"/>
      <c r="L2010" s="24"/>
      <c r="M2010" s="24"/>
      <c r="O2010" s="57"/>
      <c r="P2010" s="57"/>
    </row>
    <row r="2011" spans="1:16" x14ac:dyDescent="0.25">
      <c r="A2011" s="19" t="s">
        <v>353</v>
      </c>
      <c r="C2011" s="6">
        <v>11753.877011494265</v>
      </c>
      <c r="D2011" s="6">
        <v>11094</v>
      </c>
      <c r="F2011" s="24">
        <v>8.7000000000000011</v>
      </c>
      <c r="G2011" s="24"/>
      <c r="H2011" s="7">
        <f t="shared" si="294"/>
        <v>102259</v>
      </c>
      <c r="I2011" s="7">
        <f t="shared" si="294"/>
        <v>96518</v>
      </c>
      <c r="K2011" s="24"/>
      <c r="L2011" s="24"/>
      <c r="M2011" s="24"/>
      <c r="O2011" s="57"/>
      <c r="P2011" s="57"/>
    </row>
    <row r="2012" spans="1:16" x14ac:dyDescent="0.25">
      <c r="A2012" s="19" t="s">
        <v>77</v>
      </c>
      <c r="C2012" s="6">
        <v>0</v>
      </c>
      <c r="D2012" s="6">
        <v>0</v>
      </c>
      <c r="F2012" s="24">
        <v>-0.48</v>
      </c>
      <c r="G2012" s="24"/>
      <c r="H2012" s="7">
        <f t="shared" si="294"/>
        <v>0</v>
      </c>
      <c r="I2012" s="7">
        <f t="shared" si="294"/>
        <v>0</v>
      </c>
      <c r="K2012" s="24"/>
      <c r="L2012" s="24">
        <f>L1988</f>
        <v>-0.48</v>
      </c>
      <c r="M2012" s="24"/>
      <c r="N2012" s="7">
        <f>ROUND($D2012*L2012,0)</f>
        <v>0</v>
      </c>
      <c r="O2012" s="57"/>
      <c r="P2012" s="57"/>
    </row>
    <row r="2013" spans="1:16" x14ac:dyDescent="0.25">
      <c r="A2013" s="19" t="s">
        <v>354</v>
      </c>
      <c r="C2013" s="6">
        <v>22942009.529970665</v>
      </c>
      <c r="D2013" s="6">
        <v>21926420.531002313</v>
      </c>
      <c r="F2013" s="100">
        <v>11.733599999999999</v>
      </c>
      <c r="G2013" s="26" t="s">
        <v>18</v>
      </c>
      <c r="H2013" s="7">
        <f t="shared" ref="H2013:I2017" si="296">ROUND($F2013*C2013/100,0)</f>
        <v>2691924</v>
      </c>
      <c r="I2013" s="7">
        <f t="shared" si="296"/>
        <v>2572758</v>
      </c>
      <c r="K2013" s="100"/>
      <c r="L2013" s="100"/>
      <c r="M2013" s="26"/>
      <c r="O2013" s="207"/>
      <c r="P2013" s="59"/>
    </row>
    <row r="2014" spans="1:16" x14ac:dyDescent="0.25">
      <c r="A2014" s="19" t="s">
        <v>355</v>
      </c>
      <c r="C2014" s="6">
        <v>15487485.447321979</v>
      </c>
      <c r="D2014" s="6">
        <v>14801891</v>
      </c>
      <c r="F2014" s="100">
        <v>6.5782999999999996</v>
      </c>
      <c r="G2014" s="26" t="s">
        <v>18</v>
      </c>
      <c r="H2014" s="7">
        <f t="shared" si="296"/>
        <v>1018813</v>
      </c>
      <c r="I2014" s="7">
        <f t="shared" si="296"/>
        <v>973713</v>
      </c>
      <c r="K2014" s="100"/>
      <c r="L2014" s="100"/>
      <c r="M2014" s="26"/>
      <c r="O2014" s="207"/>
      <c r="P2014" s="59"/>
    </row>
    <row r="2015" spans="1:16" x14ac:dyDescent="0.25">
      <c r="A2015" s="19" t="s">
        <v>356</v>
      </c>
      <c r="C2015" s="6">
        <v>37666049.435026802</v>
      </c>
      <c r="D2015" s="6">
        <v>35604042</v>
      </c>
      <c r="F2015" s="100">
        <v>10.8</v>
      </c>
      <c r="G2015" s="26" t="s">
        <v>18</v>
      </c>
      <c r="H2015" s="7">
        <f t="shared" si="296"/>
        <v>4067933</v>
      </c>
      <c r="I2015" s="7">
        <f t="shared" si="296"/>
        <v>3845237</v>
      </c>
      <c r="K2015" s="100"/>
      <c r="L2015" s="100"/>
      <c r="M2015" s="26"/>
      <c r="O2015" s="207"/>
      <c r="P2015" s="59"/>
    </row>
    <row r="2016" spans="1:16" x14ac:dyDescent="0.25">
      <c r="A2016" s="19" t="s">
        <v>357</v>
      </c>
      <c r="C2016" s="6">
        <v>25538618.462808311</v>
      </c>
      <c r="D2016" s="6">
        <v>24140520</v>
      </c>
      <c r="F2016" s="100">
        <v>6.0567000000000002</v>
      </c>
      <c r="G2016" s="26" t="s">
        <v>18</v>
      </c>
      <c r="H2016" s="7">
        <f t="shared" si="296"/>
        <v>1546798</v>
      </c>
      <c r="I2016" s="7">
        <f t="shared" si="296"/>
        <v>1462119</v>
      </c>
      <c r="K2016" s="100"/>
      <c r="L2016" s="100"/>
      <c r="M2016" s="26"/>
      <c r="O2016" s="207"/>
      <c r="P2016" s="59"/>
    </row>
    <row r="2017" spans="1:17" x14ac:dyDescent="0.25">
      <c r="A2017" s="32" t="s">
        <v>32</v>
      </c>
      <c r="B2017" s="33"/>
      <c r="C2017" s="34">
        <v>43200</v>
      </c>
      <c r="D2017" s="34">
        <v>40775</v>
      </c>
      <c r="E2017" s="33"/>
      <c r="F2017" s="31">
        <v>10.120799999999999</v>
      </c>
      <c r="G2017" s="35" t="s">
        <v>18</v>
      </c>
      <c r="H2017" s="18">
        <f t="shared" si="296"/>
        <v>4372</v>
      </c>
      <c r="I2017" s="18">
        <f t="shared" si="296"/>
        <v>4127</v>
      </c>
      <c r="J2017" s="33"/>
      <c r="K2017" s="31"/>
      <c r="L2017" s="31">
        <f>L1993</f>
        <v>10.3811</v>
      </c>
      <c r="M2017" s="35" t="s">
        <v>18</v>
      </c>
      <c r="N2017" s="18">
        <f>ROUND($D2017*L2017/100,0)</f>
        <v>4233</v>
      </c>
      <c r="O2017" s="62"/>
      <c r="P2017" s="63"/>
      <c r="Q2017" s="70"/>
    </row>
    <row r="2018" spans="1:17" x14ac:dyDescent="0.25">
      <c r="A2018" s="19" t="s">
        <v>33</v>
      </c>
      <c r="C2018" s="36">
        <v>576384</v>
      </c>
      <c r="D2018" s="36">
        <v>0</v>
      </c>
      <c r="H2018" s="37">
        <v>66918</v>
      </c>
      <c r="I2018" s="37">
        <v>0</v>
      </c>
      <c r="N2018" s="37"/>
      <c r="Q2018" s="64"/>
    </row>
    <row r="2019" spans="1:17" x14ac:dyDescent="0.25">
      <c r="A2019" s="19" t="s">
        <v>34</v>
      </c>
      <c r="F2019" s="23">
        <v>-3.3099999999999997E-2</v>
      </c>
      <c r="G2019" s="24"/>
      <c r="H2019" s="7">
        <f>SUM(H2010:H2011,H2013:H2017)*$F2019</f>
        <v>-314997.87119999999</v>
      </c>
      <c r="I2019" s="7">
        <f>SUM(I2010:I2011,I2013:I2017)*$F2019</f>
        <v>-299031.42419999995</v>
      </c>
      <c r="K2019" s="93" t="str">
        <f>$K$43</f>
        <v>TAA 1 (1/1/2021)</v>
      </c>
      <c r="L2019" s="23">
        <f>$L$1995</f>
        <v>-2.3900000000000001E-2</v>
      </c>
      <c r="M2019" s="24"/>
      <c r="N2019" s="7">
        <f>L2019*SUM(N2004:N2009,N2017)</f>
        <v>-208348.2022</v>
      </c>
      <c r="O2019" s="65"/>
      <c r="P2019" s="57"/>
    </row>
    <row r="2020" spans="1:17" x14ac:dyDescent="0.25">
      <c r="A2020" s="19"/>
      <c r="F2020" s="23"/>
      <c r="G2020" s="24"/>
      <c r="K2020" s="93" t="str">
        <f>$K$44</f>
        <v>TAA 2 (1/1/2022)</v>
      </c>
      <c r="L2020" s="23">
        <f>$L$1996</f>
        <v>-1.1900000000000001E-2</v>
      </c>
      <c r="M2020" s="24"/>
      <c r="N2020" s="7">
        <f>L2020*SUM(N2004:N2009,N2017)</f>
        <v>-103738.2262</v>
      </c>
      <c r="O2020" s="65"/>
      <c r="P2020" s="57"/>
    </row>
    <row r="2021" spans="1:17" x14ac:dyDescent="0.25">
      <c r="A2021" s="32" t="s">
        <v>35</v>
      </c>
      <c r="C2021" s="6">
        <v>-682</v>
      </c>
      <c r="D2021" s="34">
        <v>-644</v>
      </c>
      <c r="F2021" s="23"/>
      <c r="G2021" s="24"/>
      <c r="K2021" s="23"/>
      <c r="L2021" s="23"/>
      <c r="M2021" s="24"/>
      <c r="O2021" s="65"/>
      <c r="P2021" s="57"/>
    </row>
    <row r="2022" spans="1:17" ht="16.5" thickBot="1" x14ac:dyDescent="0.3">
      <c r="A2022" s="19" t="s">
        <v>36</v>
      </c>
      <c r="C2022" s="101">
        <v>102253064.87512776</v>
      </c>
      <c r="D2022" s="101">
        <v>96513004.531002313</v>
      </c>
      <c r="F2022" s="41"/>
      <c r="H2022" s="95">
        <f>SUM(H2001:H2019)</f>
        <v>10930076.128799999</v>
      </c>
      <c r="I2022" s="95">
        <f>SUM(I2001:I2019)</f>
        <v>10467720.5758</v>
      </c>
      <c r="K2022" s="41"/>
      <c r="L2022" s="41"/>
      <c r="N2022" s="95">
        <f>SUM(N2001:N2018)</f>
        <v>10450068</v>
      </c>
      <c r="O2022" s="68"/>
      <c r="Q2022" s="208"/>
    </row>
    <row r="2023" spans="1:17" ht="16.5" thickTop="1" x14ac:dyDescent="0.25"/>
    <row r="2024" spans="1:17" x14ac:dyDescent="0.25">
      <c r="A2024" s="15" t="s">
        <v>359</v>
      </c>
    </row>
    <row r="2025" spans="1:17" x14ac:dyDescent="0.25">
      <c r="A2025" s="19" t="s">
        <v>68</v>
      </c>
      <c r="C2025" s="6">
        <v>889735.82099988707</v>
      </c>
      <c r="D2025" s="6">
        <v>923789.33489688137</v>
      </c>
      <c r="F2025" s="24">
        <v>10</v>
      </c>
      <c r="G2025" s="24"/>
      <c r="H2025" s="7">
        <f t="shared" ref="H2025:I2036" si="297">ROUND($F2025*C2025,0)</f>
        <v>8897358</v>
      </c>
      <c r="I2025" s="7">
        <f t="shared" si="297"/>
        <v>9237893</v>
      </c>
      <c r="K2025" s="24"/>
      <c r="L2025" s="24">
        <f t="shared" ref="L2025:L2033" si="298">L1977</f>
        <v>10</v>
      </c>
      <c r="M2025" s="24"/>
      <c r="N2025" s="7">
        <f>ROUND($D2025*L2025,0)</f>
        <v>9237893</v>
      </c>
      <c r="O2025" s="57"/>
      <c r="P2025" s="57"/>
    </row>
    <row r="2026" spans="1:17" x14ac:dyDescent="0.25">
      <c r="A2026" s="19" t="s">
        <v>79</v>
      </c>
      <c r="C2026" s="6">
        <v>0</v>
      </c>
      <c r="D2026" s="6">
        <v>0</v>
      </c>
      <c r="F2026" s="24">
        <v>120</v>
      </c>
      <c r="G2026" s="24"/>
      <c r="H2026" s="7">
        <f t="shared" si="297"/>
        <v>0</v>
      </c>
      <c r="I2026" s="7">
        <f t="shared" si="297"/>
        <v>0</v>
      </c>
      <c r="K2026" s="24"/>
      <c r="L2026" s="24">
        <f t="shared" si="298"/>
        <v>117</v>
      </c>
      <c r="M2026" s="24"/>
      <c r="N2026" s="7">
        <f>ROUND($D2026*L2026,0)</f>
        <v>0</v>
      </c>
      <c r="O2026" s="57"/>
      <c r="P2026" s="57"/>
    </row>
    <row r="2027" spans="1:17" x14ac:dyDescent="0.25">
      <c r="A2027" s="19" t="s">
        <v>80</v>
      </c>
      <c r="C2027" s="6">
        <v>78.731999999999999</v>
      </c>
      <c r="D2027" s="6">
        <v>82</v>
      </c>
      <c r="F2027" s="24">
        <v>10</v>
      </c>
      <c r="G2027" s="24"/>
      <c r="H2027" s="7">
        <f t="shared" si="297"/>
        <v>787</v>
      </c>
      <c r="I2027" s="7">
        <f t="shared" si="297"/>
        <v>820</v>
      </c>
      <c r="K2027" s="24"/>
      <c r="L2027" s="24">
        <f t="shared" si="298"/>
        <v>10</v>
      </c>
      <c r="M2027" s="24"/>
      <c r="N2027" s="7">
        <f>ROUND($D2027*L2027,0)</f>
        <v>820</v>
      </c>
      <c r="O2027" s="57"/>
      <c r="P2027" s="57"/>
    </row>
    <row r="2028" spans="1:17" x14ac:dyDescent="0.25">
      <c r="A2028" s="19" t="s">
        <v>346</v>
      </c>
      <c r="C2028" s="6">
        <v>284935.59326518374</v>
      </c>
      <c r="D2028" s="6">
        <v>282084</v>
      </c>
      <c r="F2028" s="24"/>
      <c r="G2028" s="24"/>
      <c r="K2028" s="24"/>
      <c r="L2028" s="24">
        <f t="shared" si="298"/>
        <v>8.89</v>
      </c>
      <c r="M2028" s="24"/>
      <c r="N2028" s="7">
        <f>ROUND($D2028*L2028,0)</f>
        <v>2507727</v>
      </c>
      <c r="O2028" s="57"/>
      <c r="P2028" s="57"/>
    </row>
    <row r="2029" spans="1:17" x14ac:dyDescent="0.25">
      <c r="A2029" s="19" t="s">
        <v>347</v>
      </c>
      <c r="C2029" s="6">
        <v>322137.13125145499</v>
      </c>
      <c r="D2029" s="6">
        <v>318913</v>
      </c>
      <c r="F2029" s="24"/>
      <c r="G2029" s="24"/>
      <c r="K2029" s="24"/>
      <c r="L2029" s="24">
        <f t="shared" si="298"/>
        <v>7.87</v>
      </c>
      <c r="M2029" s="24"/>
      <c r="N2029" s="7">
        <f>ROUND($D2029*L2029,0)</f>
        <v>2509845</v>
      </c>
      <c r="O2029" s="57"/>
      <c r="P2029" s="57"/>
    </row>
    <row r="2030" spans="1:17" x14ac:dyDescent="0.25">
      <c r="A2030" s="19" t="s">
        <v>348</v>
      </c>
      <c r="C2030" s="6">
        <v>219820357.44385663</v>
      </c>
      <c r="D2030" s="6">
        <v>220026206.11234498</v>
      </c>
      <c r="F2030" s="100"/>
      <c r="G2030" s="26"/>
      <c r="K2030" s="100"/>
      <c r="L2030" s="100">
        <f t="shared" si="298"/>
        <v>11.712</v>
      </c>
      <c r="M2030" s="26" t="s">
        <v>18</v>
      </c>
      <c r="N2030" s="7">
        <f>ROUND($D2030*L2030/100,0)</f>
        <v>25769469</v>
      </c>
      <c r="O2030" s="207"/>
      <c r="P2030" s="59"/>
    </row>
    <row r="2031" spans="1:17" x14ac:dyDescent="0.25">
      <c r="A2031" s="19" t="s">
        <v>349</v>
      </c>
      <c r="C2031" s="6">
        <v>232996273.96449897</v>
      </c>
      <c r="D2031" s="6">
        <v>233214461</v>
      </c>
      <c r="F2031" s="100"/>
      <c r="G2031" s="26"/>
      <c r="K2031" s="100"/>
      <c r="L2031" s="100">
        <f t="shared" si="298"/>
        <v>6.5567000000000002</v>
      </c>
      <c r="M2031" s="26" t="s">
        <v>18</v>
      </c>
      <c r="N2031" s="7">
        <f>ROUND($D2031*L2031/100,0)</f>
        <v>15291173</v>
      </c>
      <c r="O2031" s="207"/>
      <c r="P2031" s="59"/>
    </row>
    <row r="2032" spans="1:17" x14ac:dyDescent="0.25">
      <c r="A2032" s="19" t="s">
        <v>350</v>
      </c>
      <c r="C2032" s="6">
        <v>437183175.69710863</v>
      </c>
      <c r="D2032" s="6">
        <v>433683507</v>
      </c>
      <c r="F2032" s="100"/>
      <c r="G2032" s="26"/>
      <c r="K2032" s="100"/>
      <c r="L2032" s="100">
        <f t="shared" si="298"/>
        <v>10.364599999999999</v>
      </c>
      <c r="M2032" s="26" t="s">
        <v>18</v>
      </c>
      <c r="N2032" s="7">
        <f>ROUND($D2032*L2032/100,0)</f>
        <v>44949561</v>
      </c>
      <c r="O2032" s="207"/>
      <c r="P2032" s="59"/>
    </row>
    <row r="2033" spans="1:17" x14ac:dyDescent="0.25">
      <c r="A2033" s="19" t="s">
        <v>351</v>
      </c>
      <c r="C2033" s="6">
        <v>354388139.47368246</v>
      </c>
      <c r="D2033" s="6">
        <v>351551248</v>
      </c>
      <c r="F2033" s="100"/>
      <c r="G2033" s="26"/>
      <c r="K2033" s="100"/>
      <c r="L2033" s="100">
        <f t="shared" si="298"/>
        <v>5.8023999999999996</v>
      </c>
      <c r="M2033" s="26" t="s">
        <v>18</v>
      </c>
      <c r="N2033" s="7">
        <f>ROUND($D2033*L2033/100,0)</f>
        <v>20398410</v>
      </c>
      <c r="O2033" s="207"/>
      <c r="P2033" s="59"/>
    </row>
    <row r="2034" spans="1:17" x14ac:dyDescent="0.25">
      <c r="A2034" s="19" t="s">
        <v>352</v>
      </c>
      <c r="C2034" s="6">
        <v>333040.26589595014</v>
      </c>
      <c r="D2034" s="6">
        <v>329707</v>
      </c>
      <c r="F2034" s="24">
        <v>8.65</v>
      </c>
      <c r="G2034" s="24"/>
      <c r="H2034" s="7">
        <f t="shared" si="297"/>
        <v>2880798</v>
      </c>
      <c r="I2034" s="7">
        <f t="shared" si="297"/>
        <v>2851966</v>
      </c>
      <c r="K2034" s="24"/>
      <c r="L2034" s="24"/>
      <c r="M2034" s="24"/>
      <c r="O2034" s="57"/>
      <c r="P2034" s="57"/>
    </row>
    <row r="2035" spans="1:17" x14ac:dyDescent="0.25">
      <c r="A2035" s="19" t="s">
        <v>353</v>
      </c>
      <c r="C2035" s="6">
        <v>274032.45862068859</v>
      </c>
      <c r="D2035" s="6">
        <v>271290</v>
      </c>
      <c r="F2035" s="24">
        <v>8.7000000000000011</v>
      </c>
      <c r="G2035" s="24"/>
      <c r="H2035" s="7">
        <f t="shared" si="297"/>
        <v>2384082</v>
      </c>
      <c r="I2035" s="7">
        <f t="shared" si="297"/>
        <v>2360223</v>
      </c>
      <c r="K2035" s="24"/>
      <c r="L2035" s="24"/>
      <c r="M2035" s="24"/>
      <c r="O2035" s="57"/>
      <c r="P2035" s="57"/>
    </row>
    <row r="2036" spans="1:17" x14ac:dyDescent="0.25">
      <c r="A2036" s="19" t="s">
        <v>77</v>
      </c>
      <c r="C2036" s="6">
        <v>9699.6041666666697</v>
      </c>
      <c r="D2036" s="6">
        <v>9603</v>
      </c>
      <c r="F2036" s="24">
        <v>-0.48</v>
      </c>
      <c r="G2036" s="24"/>
      <c r="H2036" s="7">
        <f t="shared" si="297"/>
        <v>-4656</v>
      </c>
      <c r="I2036" s="7">
        <f t="shared" si="297"/>
        <v>-4609</v>
      </c>
      <c r="K2036" s="24"/>
      <c r="L2036" s="24">
        <f>L1988</f>
        <v>-0.48</v>
      </c>
      <c r="M2036" s="24"/>
      <c r="N2036" s="7">
        <f>ROUND($D2036*L2036,0)</f>
        <v>-4609</v>
      </c>
      <c r="O2036" s="57"/>
      <c r="P2036" s="57"/>
    </row>
    <row r="2037" spans="1:17" x14ac:dyDescent="0.25">
      <c r="A2037" s="19" t="s">
        <v>354</v>
      </c>
      <c r="C2037" s="6">
        <v>273349988.13195682</v>
      </c>
      <c r="D2037" s="6">
        <v>275564739.11234498</v>
      </c>
      <c r="F2037" s="100">
        <v>11.733599999999999</v>
      </c>
      <c r="G2037" s="26" t="s">
        <v>18</v>
      </c>
      <c r="H2037" s="7">
        <f t="shared" ref="H2037:I2041" si="299">ROUND($F2037*C2037/100,0)</f>
        <v>32073794</v>
      </c>
      <c r="I2037" s="7">
        <f t="shared" si="299"/>
        <v>32333664</v>
      </c>
      <c r="K2037" s="100"/>
      <c r="L2037" s="100"/>
      <c r="M2037" s="26"/>
      <c r="O2037" s="207"/>
      <c r="P2037" s="59"/>
    </row>
    <row r="2038" spans="1:17" x14ac:dyDescent="0.25">
      <c r="A2038" s="19" t="s">
        <v>355</v>
      </c>
      <c r="C2038" s="6">
        <v>272862764.79340905</v>
      </c>
      <c r="D2038" s="6">
        <v>275073568</v>
      </c>
      <c r="F2038" s="100">
        <v>6.5782999999999996</v>
      </c>
      <c r="G2038" s="26" t="s">
        <v>18</v>
      </c>
      <c r="H2038" s="7">
        <f t="shared" si="299"/>
        <v>17949731</v>
      </c>
      <c r="I2038" s="7">
        <f t="shared" si="299"/>
        <v>18095165</v>
      </c>
      <c r="K2038" s="100"/>
      <c r="L2038" s="100"/>
      <c r="M2038" s="26"/>
      <c r="O2038" s="207"/>
      <c r="P2038" s="59"/>
    </row>
    <row r="2039" spans="1:17" x14ac:dyDescent="0.25">
      <c r="A2039" s="19" t="s">
        <v>356</v>
      </c>
      <c r="C2039" s="6">
        <v>383653545.00900841</v>
      </c>
      <c r="D2039" s="6">
        <v>377972678</v>
      </c>
      <c r="F2039" s="100">
        <v>10.8</v>
      </c>
      <c r="G2039" s="26" t="s">
        <v>18</v>
      </c>
      <c r="H2039" s="7">
        <f t="shared" si="299"/>
        <v>41434583</v>
      </c>
      <c r="I2039" s="7">
        <f t="shared" si="299"/>
        <v>40821049</v>
      </c>
      <c r="K2039" s="100"/>
      <c r="L2039" s="100"/>
      <c r="M2039" s="26"/>
      <c r="O2039" s="207"/>
      <c r="P2039" s="59"/>
    </row>
    <row r="2040" spans="1:17" x14ac:dyDescent="0.25">
      <c r="A2040" s="19" t="s">
        <v>357</v>
      </c>
      <c r="C2040" s="6">
        <v>314521648.64477241</v>
      </c>
      <c r="D2040" s="6">
        <v>309864437</v>
      </c>
      <c r="F2040" s="100">
        <v>6.0567000000000002</v>
      </c>
      <c r="G2040" s="26" t="s">
        <v>18</v>
      </c>
      <c r="H2040" s="7">
        <f t="shared" si="299"/>
        <v>19049633</v>
      </c>
      <c r="I2040" s="7">
        <f t="shared" si="299"/>
        <v>18767559</v>
      </c>
      <c r="K2040" s="100"/>
      <c r="L2040" s="100"/>
      <c r="M2040" s="26"/>
      <c r="O2040" s="207"/>
      <c r="P2040" s="59"/>
    </row>
    <row r="2041" spans="1:17" x14ac:dyDescent="0.25">
      <c r="A2041" s="32" t="s">
        <v>32</v>
      </c>
      <c r="B2041" s="33"/>
      <c r="C2041" s="34">
        <v>1948912</v>
      </c>
      <c r="D2041" s="34">
        <v>1929181</v>
      </c>
      <c r="E2041" s="33"/>
      <c r="F2041" s="31">
        <v>10.120799999999999</v>
      </c>
      <c r="G2041" s="35" t="s">
        <v>18</v>
      </c>
      <c r="H2041" s="18">
        <f t="shared" si="299"/>
        <v>197245</v>
      </c>
      <c r="I2041" s="18">
        <f t="shared" si="299"/>
        <v>195249</v>
      </c>
      <c r="J2041" s="33"/>
      <c r="K2041" s="31"/>
      <c r="L2041" s="31">
        <f>L1993</f>
        <v>10.3811</v>
      </c>
      <c r="M2041" s="35" t="s">
        <v>18</v>
      </c>
      <c r="N2041" s="18">
        <f>ROUND($D2041*L2041/100,0)</f>
        <v>200270</v>
      </c>
      <c r="O2041" s="62"/>
      <c r="P2041" s="63"/>
      <c r="Q2041" s="70"/>
    </row>
    <row r="2042" spans="1:17" x14ac:dyDescent="0.25">
      <c r="A2042" s="19" t="s">
        <v>33</v>
      </c>
      <c r="C2042" s="36">
        <v>6607774</v>
      </c>
      <c r="D2042" s="36">
        <v>0</v>
      </c>
      <c r="H2042" s="37">
        <v>714411</v>
      </c>
      <c r="I2042" s="37">
        <v>0</v>
      </c>
      <c r="N2042" s="37"/>
      <c r="Q2042" s="64"/>
    </row>
    <row r="2043" spans="1:17" x14ac:dyDescent="0.25">
      <c r="A2043" s="19" t="s">
        <v>34</v>
      </c>
      <c r="F2043" s="23">
        <v>-3.3099999999999997E-2</v>
      </c>
      <c r="G2043" s="24"/>
      <c r="H2043" s="7">
        <f>SUM(H2034:H2035,H2037:H2041)*$F2043</f>
        <v>-3838602.5645999997</v>
      </c>
      <c r="I2043" s="7">
        <f>SUM(I2034:I2035,I2037:I2041)*$F2043</f>
        <v>-3820563.3624999998</v>
      </c>
      <c r="K2043" s="93" t="str">
        <f>$K$43</f>
        <v>TAA 1 (1/1/2021)</v>
      </c>
      <c r="L2043" s="23">
        <f>$L$1995</f>
        <v>-2.3900000000000001E-2</v>
      </c>
      <c r="M2043" s="24"/>
      <c r="N2043" s="7">
        <f>L2043*SUM(N2028:N2033,N2041)</f>
        <v>-2667872.2745000003</v>
      </c>
      <c r="O2043" s="65"/>
      <c r="P2043" s="57"/>
    </row>
    <row r="2044" spans="1:17" x14ac:dyDescent="0.25">
      <c r="A2044" s="19"/>
      <c r="F2044" s="23"/>
      <c r="G2044" s="24"/>
      <c r="K2044" s="93" t="str">
        <f>$K$44</f>
        <v>TAA 2 (1/1/2022)</v>
      </c>
      <c r="L2044" s="23">
        <f>$L$1996</f>
        <v>-1.1900000000000001E-2</v>
      </c>
      <c r="M2044" s="24"/>
      <c r="N2044" s="7">
        <f>L2044*SUM(N2028:N2033,N2041)</f>
        <v>-1328354.8145000001</v>
      </c>
      <c r="O2044" s="65"/>
      <c r="P2044" s="57"/>
    </row>
    <row r="2045" spans="1:17" x14ac:dyDescent="0.25">
      <c r="A2045" s="32" t="s">
        <v>35</v>
      </c>
      <c r="C2045" s="6">
        <v>-146563</v>
      </c>
      <c r="D2045" s="34">
        <v>-145079</v>
      </c>
      <c r="F2045" s="23"/>
      <c r="G2045" s="24"/>
      <c r="K2045" s="23"/>
      <c r="L2045" s="23"/>
      <c r="M2045" s="24"/>
      <c r="O2045" s="65"/>
      <c r="P2045" s="57"/>
    </row>
    <row r="2046" spans="1:17" ht="16.5" thickBot="1" x14ac:dyDescent="0.3">
      <c r="A2046" s="19" t="s">
        <v>36</v>
      </c>
      <c r="C2046" s="101">
        <v>1252798069.5791469</v>
      </c>
      <c r="D2046" s="101">
        <v>1240259524.112345</v>
      </c>
      <c r="F2046" s="41"/>
      <c r="H2046" s="95">
        <f>SUM(H2025:H2043)</f>
        <v>121739163.43539999</v>
      </c>
      <c r="I2046" s="95">
        <f>SUM(I2025:I2043)</f>
        <v>120838415.6375</v>
      </c>
      <c r="K2046" s="41"/>
      <c r="L2046" s="41"/>
      <c r="N2046" s="95">
        <f>SUM(N2025:N2042)</f>
        <v>120860559</v>
      </c>
      <c r="O2046" s="68"/>
      <c r="Q2046" s="208"/>
    </row>
    <row r="2047" spans="1:17" ht="16.5" thickTop="1" x14ac:dyDescent="0.25"/>
    <row r="2048" spans="1:17" x14ac:dyDescent="0.25">
      <c r="A2048" s="15" t="s">
        <v>360</v>
      </c>
    </row>
    <row r="2049" spans="1:16" x14ac:dyDescent="0.25">
      <c r="A2049" s="19" t="s">
        <v>68</v>
      </c>
      <c r="C2049" s="6">
        <v>38154.106999999902</v>
      </c>
      <c r="D2049" s="6">
        <v>37431.000000000007</v>
      </c>
      <c r="F2049" s="24">
        <v>10</v>
      </c>
      <c r="G2049" s="24"/>
      <c r="H2049" s="7">
        <f t="shared" ref="H2049:I2060" si="300">ROUND($F2049*C2049,0)</f>
        <v>381541</v>
      </c>
      <c r="I2049" s="7">
        <f t="shared" si="300"/>
        <v>374310</v>
      </c>
      <c r="K2049" s="24"/>
      <c r="L2049" s="24">
        <f t="shared" ref="L2049:L2057" si="301">L1977</f>
        <v>10</v>
      </c>
      <c r="M2049" s="24"/>
      <c r="N2049" s="7">
        <f>ROUND($D2049*L2049,0)</f>
        <v>374310</v>
      </c>
      <c r="O2049" s="57"/>
      <c r="P2049" s="57"/>
    </row>
    <row r="2050" spans="1:16" x14ac:dyDescent="0.25">
      <c r="A2050" s="19" t="s">
        <v>79</v>
      </c>
      <c r="C2050" s="6">
        <v>0</v>
      </c>
      <c r="D2050" s="6">
        <v>0</v>
      </c>
      <c r="F2050" s="24">
        <v>120</v>
      </c>
      <c r="G2050" s="24"/>
      <c r="H2050" s="7">
        <f t="shared" si="300"/>
        <v>0</v>
      </c>
      <c r="I2050" s="7">
        <f t="shared" si="300"/>
        <v>0</v>
      </c>
      <c r="K2050" s="24"/>
      <c r="L2050" s="24">
        <f t="shared" si="301"/>
        <v>117</v>
      </c>
      <c r="M2050" s="24"/>
      <c r="N2050" s="7">
        <f>ROUND($D2050*L2050,0)</f>
        <v>0</v>
      </c>
      <c r="O2050" s="57"/>
      <c r="P2050" s="57"/>
    </row>
    <row r="2051" spans="1:16" x14ac:dyDescent="0.25">
      <c r="A2051" s="19" t="s">
        <v>80</v>
      </c>
      <c r="C2051" s="6">
        <v>13</v>
      </c>
      <c r="D2051" s="6">
        <v>13</v>
      </c>
      <c r="F2051" s="24">
        <v>10</v>
      </c>
      <c r="G2051" s="24"/>
      <c r="H2051" s="7">
        <f t="shared" si="300"/>
        <v>130</v>
      </c>
      <c r="I2051" s="7">
        <f t="shared" si="300"/>
        <v>130</v>
      </c>
      <c r="K2051" s="24"/>
      <c r="L2051" s="24">
        <f t="shared" si="301"/>
        <v>10</v>
      </c>
      <c r="M2051" s="24"/>
      <c r="N2051" s="7">
        <f>ROUND($D2051*L2051,0)</f>
        <v>130</v>
      </c>
      <c r="O2051" s="57"/>
      <c r="P2051" s="57"/>
    </row>
    <row r="2052" spans="1:16" x14ac:dyDescent="0.25">
      <c r="A2052" s="19" t="s">
        <v>346</v>
      </c>
      <c r="C2052" s="6">
        <v>13934.402372737517</v>
      </c>
      <c r="D2052" s="6">
        <v>13690</v>
      </c>
      <c r="F2052" s="24"/>
      <c r="G2052" s="24"/>
      <c r="K2052" s="24"/>
      <c r="L2052" s="24">
        <f t="shared" si="301"/>
        <v>8.89</v>
      </c>
      <c r="M2052" s="24"/>
      <c r="N2052" s="7">
        <f>ROUND($D2052*L2052,0)</f>
        <v>121704</v>
      </c>
      <c r="O2052" s="57"/>
      <c r="P2052" s="57"/>
    </row>
    <row r="2053" spans="1:16" x14ac:dyDescent="0.25">
      <c r="A2053" s="19" t="s">
        <v>347</v>
      </c>
      <c r="C2053" s="6">
        <v>22308.866911695484</v>
      </c>
      <c r="D2053" s="6">
        <v>21918</v>
      </c>
      <c r="F2053" s="24"/>
      <c r="G2053" s="24"/>
      <c r="K2053" s="24"/>
      <c r="L2053" s="24">
        <f t="shared" si="301"/>
        <v>7.87</v>
      </c>
      <c r="M2053" s="24"/>
      <c r="N2053" s="7">
        <f>ROUND($D2053*L2053,0)</f>
        <v>172495</v>
      </c>
      <c r="O2053" s="57"/>
      <c r="P2053" s="57"/>
    </row>
    <row r="2054" spans="1:16" x14ac:dyDescent="0.25">
      <c r="A2054" s="19" t="s">
        <v>348</v>
      </c>
      <c r="C2054" s="6">
        <v>8604340.0720692445</v>
      </c>
      <c r="D2054" s="6">
        <v>8594020.7713383362</v>
      </c>
      <c r="F2054" s="100"/>
      <c r="G2054" s="26"/>
      <c r="K2054" s="100"/>
      <c r="L2054" s="100">
        <f t="shared" si="301"/>
        <v>11.712</v>
      </c>
      <c r="M2054" s="26" t="s">
        <v>18</v>
      </c>
      <c r="N2054" s="7">
        <f>ROUND($D2054*L2054/100,0)</f>
        <v>1006532</v>
      </c>
      <c r="O2054" s="207"/>
      <c r="P2054" s="59"/>
    </row>
    <row r="2055" spans="1:16" x14ac:dyDescent="0.25">
      <c r="A2055" s="19" t="s">
        <v>349</v>
      </c>
      <c r="C2055" s="6">
        <v>9631147.8950034827</v>
      </c>
      <c r="D2055" s="6">
        <v>9619597</v>
      </c>
      <c r="F2055" s="100"/>
      <c r="G2055" s="26"/>
      <c r="K2055" s="100"/>
      <c r="L2055" s="100">
        <f t="shared" si="301"/>
        <v>6.5567000000000002</v>
      </c>
      <c r="M2055" s="26" t="s">
        <v>18</v>
      </c>
      <c r="N2055" s="7">
        <f>ROUND($D2055*L2055/100,0)</f>
        <v>630728</v>
      </c>
      <c r="O2055" s="207"/>
      <c r="P2055" s="59"/>
    </row>
    <row r="2056" spans="1:16" x14ac:dyDescent="0.25">
      <c r="A2056" s="19" t="s">
        <v>350</v>
      </c>
      <c r="C2056" s="6">
        <v>17935019.927930754</v>
      </c>
      <c r="D2056" s="6">
        <v>17034958</v>
      </c>
      <c r="F2056" s="100"/>
      <c r="G2056" s="26"/>
      <c r="K2056" s="100"/>
      <c r="L2056" s="100">
        <f t="shared" si="301"/>
        <v>10.364599999999999</v>
      </c>
      <c r="M2056" s="26" t="s">
        <v>18</v>
      </c>
      <c r="N2056" s="7">
        <f>ROUND($D2056*L2056/100,0)</f>
        <v>1765605</v>
      </c>
      <c r="O2056" s="207"/>
      <c r="P2056" s="59"/>
    </row>
    <row r="2057" spans="1:16" x14ac:dyDescent="0.25">
      <c r="A2057" s="19" t="s">
        <v>351</v>
      </c>
      <c r="C2057" s="6">
        <v>17268829.104996517</v>
      </c>
      <c r="D2057" s="6">
        <v>16402200</v>
      </c>
      <c r="F2057" s="100"/>
      <c r="G2057" s="26"/>
      <c r="K2057" s="100"/>
      <c r="L2057" s="100">
        <f t="shared" si="301"/>
        <v>5.8023999999999996</v>
      </c>
      <c r="M2057" s="26" t="s">
        <v>18</v>
      </c>
      <c r="N2057" s="7">
        <f>ROUND($D2057*L2057/100,0)</f>
        <v>951721</v>
      </c>
      <c r="O2057" s="207"/>
      <c r="P2057" s="59"/>
    </row>
    <row r="2058" spans="1:16" x14ac:dyDescent="0.25">
      <c r="A2058" s="19" t="s">
        <v>352</v>
      </c>
      <c r="C2058" s="6">
        <v>16686.4554913295</v>
      </c>
      <c r="D2058" s="6">
        <v>16394</v>
      </c>
      <c r="F2058" s="24">
        <v>8.65</v>
      </c>
      <c r="G2058" s="24"/>
      <c r="H2058" s="7">
        <f t="shared" si="300"/>
        <v>144338</v>
      </c>
      <c r="I2058" s="7">
        <f t="shared" si="300"/>
        <v>141808</v>
      </c>
      <c r="K2058" s="24"/>
      <c r="L2058" s="24"/>
      <c r="M2058" s="24"/>
      <c r="O2058" s="57"/>
      <c r="P2058" s="57"/>
    </row>
    <row r="2059" spans="1:16" x14ac:dyDescent="0.25">
      <c r="A2059" s="19" t="s">
        <v>353</v>
      </c>
      <c r="C2059" s="6">
        <v>19556.813793103502</v>
      </c>
      <c r="D2059" s="6">
        <v>19214</v>
      </c>
      <c r="F2059" s="24">
        <v>8.7000000000000011</v>
      </c>
      <c r="G2059" s="24"/>
      <c r="H2059" s="7">
        <f t="shared" si="300"/>
        <v>170144</v>
      </c>
      <c r="I2059" s="7">
        <f t="shared" si="300"/>
        <v>167162</v>
      </c>
      <c r="K2059" s="24"/>
      <c r="L2059" s="24"/>
      <c r="M2059" s="24"/>
      <c r="O2059" s="57"/>
      <c r="P2059" s="57"/>
    </row>
    <row r="2060" spans="1:16" x14ac:dyDescent="0.25">
      <c r="A2060" s="19" t="s">
        <v>77</v>
      </c>
      <c r="C2060" s="6">
        <v>2433.125</v>
      </c>
      <c r="D2060" s="6">
        <v>2391</v>
      </c>
      <c r="F2060" s="24">
        <v>-0.48</v>
      </c>
      <c r="G2060" s="24"/>
      <c r="H2060" s="7">
        <f t="shared" si="300"/>
        <v>-1168</v>
      </c>
      <c r="I2060" s="7">
        <f t="shared" si="300"/>
        <v>-1148</v>
      </c>
      <c r="K2060" s="24"/>
      <c r="L2060" s="24">
        <f>L1988</f>
        <v>-0.48</v>
      </c>
      <c r="M2060" s="24"/>
      <c r="N2060" s="7">
        <f>ROUND($D2060*L2060,0)</f>
        <v>-1148</v>
      </c>
      <c r="O2060" s="57"/>
      <c r="P2060" s="57"/>
    </row>
    <row r="2061" spans="1:16" x14ac:dyDescent="0.25">
      <c r="A2061" s="19" t="s">
        <v>354</v>
      </c>
      <c r="C2061" s="6">
        <v>10640672</v>
      </c>
      <c r="D2061" s="6">
        <v>10568996.771338336</v>
      </c>
      <c r="F2061" s="99">
        <v>11.733599999999999</v>
      </c>
      <c r="G2061" s="26" t="s">
        <v>18</v>
      </c>
      <c r="H2061" s="7">
        <f t="shared" ref="H2061:I2065" si="302">ROUND($F2061*C2061/100,0)</f>
        <v>1248534</v>
      </c>
      <c r="I2061" s="7">
        <f t="shared" si="302"/>
        <v>1240124</v>
      </c>
      <c r="K2061" s="99"/>
      <c r="L2061" s="99"/>
      <c r="M2061" s="26"/>
      <c r="O2061" s="206"/>
      <c r="P2061" s="59"/>
    </row>
    <row r="2062" spans="1:16" x14ac:dyDescent="0.25">
      <c r="A2062" s="19" t="s">
        <v>355</v>
      </c>
      <c r="C2062" s="6">
        <v>11455178</v>
      </c>
      <c r="D2062" s="6">
        <v>11378017</v>
      </c>
      <c r="F2062" s="99">
        <v>6.5782999999999996</v>
      </c>
      <c r="G2062" s="26" t="s">
        <v>18</v>
      </c>
      <c r="H2062" s="7">
        <f t="shared" si="302"/>
        <v>753556</v>
      </c>
      <c r="I2062" s="7">
        <f t="shared" si="302"/>
        <v>748480</v>
      </c>
      <c r="K2062" s="99"/>
      <c r="L2062" s="99"/>
      <c r="M2062" s="26"/>
      <c r="O2062" s="206"/>
      <c r="P2062" s="59"/>
    </row>
    <row r="2063" spans="1:16" x14ac:dyDescent="0.25">
      <c r="A2063" s="19" t="s">
        <v>356</v>
      </c>
      <c r="C2063" s="6">
        <v>15898688</v>
      </c>
      <c r="D2063" s="6">
        <v>15066953</v>
      </c>
      <c r="F2063" s="99">
        <v>10.8</v>
      </c>
      <c r="G2063" s="26" t="s">
        <v>18</v>
      </c>
      <c r="H2063" s="7">
        <f t="shared" si="302"/>
        <v>1717058</v>
      </c>
      <c r="I2063" s="7">
        <f t="shared" si="302"/>
        <v>1627231</v>
      </c>
      <c r="K2063" s="99"/>
      <c r="L2063" s="99"/>
      <c r="M2063" s="26"/>
      <c r="O2063" s="206"/>
      <c r="P2063" s="59"/>
    </row>
    <row r="2064" spans="1:16" x14ac:dyDescent="0.25">
      <c r="A2064" s="19" t="s">
        <v>357</v>
      </c>
      <c r="C2064" s="6">
        <v>15444799</v>
      </c>
      <c r="D2064" s="6">
        <v>14636809</v>
      </c>
      <c r="F2064" s="99">
        <v>6.0567000000000002</v>
      </c>
      <c r="G2064" s="26" t="s">
        <v>18</v>
      </c>
      <c r="H2064" s="7">
        <f t="shared" si="302"/>
        <v>935445</v>
      </c>
      <c r="I2064" s="7">
        <f t="shared" si="302"/>
        <v>886508</v>
      </c>
      <c r="K2064" s="99"/>
      <c r="L2064" s="99"/>
      <c r="M2064" s="26"/>
      <c r="O2064" s="206"/>
      <c r="P2064" s="59"/>
    </row>
    <row r="2065" spans="1:17" x14ac:dyDescent="0.25">
      <c r="A2065" s="32" t="s">
        <v>32</v>
      </c>
      <c r="B2065" s="33"/>
      <c r="C2065" s="34">
        <v>101506</v>
      </c>
      <c r="D2065" s="34">
        <v>99720</v>
      </c>
      <c r="E2065" s="33"/>
      <c r="F2065" s="31">
        <v>10.120799999999999</v>
      </c>
      <c r="G2065" s="35" t="s">
        <v>18</v>
      </c>
      <c r="H2065" s="18">
        <f t="shared" si="302"/>
        <v>10273</v>
      </c>
      <c r="I2065" s="18">
        <f t="shared" si="302"/>
        <v>10092</v>
      </c>
      <c r="J2065" s="33"/>
      <c r="K2065" s="31"/>
      <c r="L2065" s="31">
        <f>L1993</f>
        <v>10.3811</v>
      </c>
      <c r="M2065" s="35" t="s">
        <v>18</v>
      </c>
      <c r="N2065" s="18">
        <f>ROUND($D2065*L2065/100,0)</f>
        <v>10352</v>
      </c>
      <c r="O2065" s="62"/>
      <c r="P2065" s="63"/>
      <c r="Q2065" s="70"/>
    </row>
    <row r="2066" spans="1:17" x14ac:dyDescent="0.25">
      <c r="A2066" s="19" t="s">
        <v>33</v>
      </c>
      <c r="C2066" s="36">
        <v>-867916</v>
      </c>
      <c r="D2066" s="36">
        <v>0</v>
      </c>
      <c r="H2066" s="37">
        <v>-78953</v>
      </c>
      <c r="I2066" s="37">
        <v>0</v>
      </c>
      <c r="N2066" s="37"/>
      <c r="Q2066" s="64"/>
    </row>
    <row r="2067" spans="1:17" x14ac:dyDescent="0.25">
      <c r="A2067" s="19" t="s">
        <v>34</v>
      </c>
      <c r="F2067" s="23">
        <v>-3.3099999999999997E-2</v>
      </c>
      <c r="G2067" s="24"/>
      <c r="H2067" s="7">
        <f>SUM(H2058:H2059,H2061:H2065)*$F2067</f>
        <v>-164816.41879999998</v>
      </c>
      <c r="I2067" s="7">
        <f>SUM(I2058:I2059,I2061:I2065)*$F2067</f>
        <v>-159588.5055</v>
      </c>
      <c r="K2067" s="93" t="str">
        <f>$K$43</f>
        <v>TAA 1 (1/1/2021)</v>
      </c>
      <c r="L2067" s="23">
        <f>$L$1995</f>
        <v>-2.3900000000000001E-2</v>
      </c>
      <c r="M2067" s="24"/>
      <c r="N2067" s="7">
        <f>L2067*SUM(N2052:N2057,N2065)</f>
        <v>-111353.37430000001</v>
      </c>
      <c r="O2067" s="65"/>
      <c r="P2067" s="57"/>
    </row>
    <row r="2068" spans="1:17" x14ac:dyDescent="0.25">
      <c r="A2068" s="19"/>
      <c r="F2068" s="23"/>
      <c r="G2068" s="24"/>
      <c r="K2068" s="93" t="str">
        <f>$K$44</f>
        <v>TAA 2 (1/1/2022)</v>
      </c>
      <c r="L2068" s="23">
        <f>$L$1996</f>
        <v>-1.1900000000000001E-2</v>
      </c>
      <c r="M2068" s="24"/>
      <c r="N2068" s="7">
        <f>L2068*SUM(N2052:N2057,N2065)</f>
        <v>-55443.730300000003</v>
      </c>
      <c r="O2068" s="65"/>
      <c r="P2068" s="57"/>
    </row>
    <row r="2069" spans="1:17" x14ac:dyDescent="0.25">
      <c r="A2069" s="32" t="s">
        <v>35</v>
      </c>
      <c r="C2069" s="6">
        <v>-4490</v>
      </c>
      <c r="D2069" s="34">
        <v>-4411</v>
      </c>
      <c r="F2069" s="23"/>
      <c r="G2069" s="24"/>
      <c r="K2069" s="23"/>
      <c r="L2069" s="23"/>
      <c r="M2069" s="24"/>
      <c r="O2069" s="65"/>
      <c r="P2069" s="57"/>
    </row>
    <row r="2070" spans="1:17" ht="16.5" thickBot="1" x14ac:dyDescent="0.3">
      <c r="A2070" s="19" t="s">
        <v>36</v>
      </c>
      <c r="C2070" s="101">
        <v>52668437</v>
      </c>
      <c r="D2070" s="101">
        <v>51746084.771338336</v>
      </c>
      <c r="F2070" s="41"/>
      <c r="H2070" s="95">
        <f>SUM(H2049:H2067)</f>
        <v>5116081.5811999999</v>
      </c>
      <c r="I2070" s="95">
        <f>SUM(I2049:I2067)</f>
        <v>5035108.4945</v>
      </c>
      <c r="K2070" s="41"/>
      <c r="L2070" s="41"/>
      <c r="N2070" s="95">
        <f>SUM(N2049:N2066)</f>
        <v>5032429</v>
      </c>
      <c r="O2070" s="68"/>
      <c r="Q2070" s="208"/>
    </row>
    <row r="2071" spans="1:17" ht="16.5" thickTop="1" x14ac:dyDescent="0.25"/>
    <row r="2072" spans="1:17" x14ac:dyDescent="0.25">
      <c r="A2072" s="15" t="s">
        <v>361</v>
      </c>
    </row>
    <row r="2073" spans="1:17" x14ac:dyDescent="0.25">
      <c r="A2073" s="19" t="s">
        <v>68</v>
      </c>
      <c r="C2073" s="6">
        <v>15290.919999999989</v>
      </c>
      <c r="D2073" s="6">
        <v>18738</v>
      </c>
      <c r="F2073" s="20">
        <v>10</v>
      </c>
      <c r="G2073" s="20"/>
      <c r="H2073" s="7">
        <f t="shared" ref="H2073:I2084" si="303">ROUND($F2073*C2073,0)</f>
        <v>152909</v>
      </c>
      <c r="I2073" s="7">
        <f t="shared" si="303"/>
        <v>187380</v>
      </c>
      <c r="K2073" s="20"/>
      <c r="L2073" s="20">
        <f t="shared" ref="L2073:L2081" si="304">L1977</f>
        <v>10</v>
      </c>
      <c r="M2073" s="20"/>
      <c r="N2073" s="7">
        <f>ROUND($D2073*L2073,0)</f>
        <v>187380</v>
      </c>
      <c r="O2073" s="55"/>
      <c r="P2073" s="55"/>
    </row>
    <row r="2074" spans="1:17" x14ac:dyDescent="0.25">
      <c r="A2074" s="19" t="s">
        <v>79</v>
      </c>
      <c r="C2074" s="6">
        <v>0</v>
      </c>
      <c r="D2074" s="6">
        <v>0</v>
      </c>
      <c r="F2074" s="20">
        <v>120</v>
      </c>
      <c r="G2074" s="20"/>
      <c r="H2074" s="7">
        <f t="shared" si="303"/>
        <v>0</v>
      </c>
      <c r="I2074" s="7">
        <f t="shared" si="303"/>
        <v>0</v>
      </c>
      <c r="K2074" s="20"/>
      <c r="L2074" s="20">
        <f t="shared" si="304"/>
        <v>117</v>
      </c>
      <c r="M2074" s="20"/>
      <c r="N2074" s="7">
        <f>ROUND($D2074*L2074,0)</f>
        <v>0</v>
      </c>
      <c r="O2074" s="55"/>
      <c r="P2074" s="55"/>
    </row>
    <row r="2075" spans="1:17" x14ac:dyDescent="0.25">
      <c r="A2075" s="19" t="s">
        <v>80</v>
      </c>
      <c r="C2075" s="6">
        <v>8.2669999999999995</v>
      </c>
      <c r="D2075" s="6">
        <v>10</v>
      </c>
      <c r="F2075" s="24">
        <v>10</v>
      </c>
      <c r="G2075" s="24"/>
      <c r="H2075" s="7">
        <f t="shared" si="303"/>
        <v>83</v>
      </c>
      <c r="I2075" s="7">
        <f t="shared" si="303"/>
        <v>100</v>
      </c>
      <c r="K2075" s="24"/>
      <c r="L2075" s="24">
        <f t="shared" si="304"/>
        <v>10</v>
      </c>
      <c r="M2075" s="24"/>
      <c r="N2075" s="7">
        <f>ROUND($D2075*L2075,0)</f>
        <v>100</v>
      </c>
      <c r="O2075" s="57"/>
      <c r="P2075" s="57"/>
    </row>
    <row r="2076" spans="1:17" x14ac:dyDescent="0.25">
      <c r="A2076" s="19" t="s">
        <v>346</v>
      </c>
      <c r="C2076" s="6">
        <v>5242.5390358493651</v>
      </c>
      <c r="D2076" s="6">
        <v>6794</v>
      </c>
      <c r="F2076" s="24"/>
      <c r="G2076" s="24"/>
      <c r="K2076" s="24"/>
      <c r="L2076" s="24">
        <f t="shared" si="304"/>
        <v>8.89</v>
      </c>
      <c r="M2076" s="24"/>
      <c r="N2076" s="7">
        <f>ROUND($D2076*L2076,0)</f>
        <v>60399</v>
      </c>
      <c r="O2076" s="57"/>
      <c r="P2076" s="57"/>
    </row>
    <row r="2077" spans="1:17" x14ac:dyDescent="0.25">
      <c r="A2077" s="19" t="s">
        <v>347</v>
      </c>
      <c r="C2077" s="6">
        <v>7485.8636749339703</v>
      </c>
      <c r="D2077" s="6">
        <v>9813</v>
      </c>
      <c r="F2077" s="24"/>
      <c r="G2077" s="24"/>
      <c r="K2077" s="24"/>
      <c r="L2077" s="24">
        <f t="shared" si="304"/>
        <v>7.87</v>
      </c>
      <c r="M2077" s="24"/>
      <c r="N2077" s="7">
        <f>ROUND($D2077*L2077,0)</f>
        <v>77228</v>
      </c>
      <c r="O2077" s="57"/>
      <c r="P2077" s="57"/>
    </row>
    <row r="2078" spans="1:17" x14ac:dyDescent="0.25">
      <c r="A2078" s="19" t="s">
        <v>348</v>
      </c>
      <c r="C2078" s="6">
        <v>1451255.3257046135</v>
      </c>
      <c r="D2078" s="6">
        <v>2193839.9420763389</v>
      </c>
      <c r="F2078" s="100"/>
      <c r="G2078" s="26"/>
      <c r="K2078" s="100"/>
      <c r="L2078" s="100">
        <f t="shared" si="304"/>
        <v>11.712</v>
      </c>
      <c r="M2078" s="26" t="s">
        <v>18</v>
      </c>
      <c r="N2078" s="7">
        <f>ROUND($D2078*L2078/100,0)</f>
        <v>256943</v>
      </c>
      <c r="O2078" s="207"/>
      <c r="P2078" s="59"/>
    </row>
    <row r="2079" spans="1:17" x14ac:dyDescent="0.25">
      <c r="A2079" s="19" t="s">
        <v>349</v>
      </c>
      <c r="C2079" s="6">
        <v>1460637.2809257735</v>
      </c>
      <c r="D2079" s="6">
        <v>2240351</v>
      </c>
      <c r="F2079" s="100"/>
      <c r="G2079" s="26"/>
      <c r="K2079" s="100"/>
      <c r="L2079" s="100">
        <f t="shared" si="304"/>
        <v>6.5567000000000002</v>
      </c>
      <c r="M2079" s="26" t="s">
        <v>18</v>
      </c>
      <c r="N2079" s="7">
        <f>ROUND($D2079*L2079/100,0)</f>
        <v>146893</v>
      </c>
      <c r="O2079" s="207"/>
      <c r="P2079" s="59"/>
    </row>
    <row r="2080" spans="1:17" x14ac:dyDescent="0.25">
      <c r="A2080" s="19" t="s">
        <v>350</v>
      </c>
      <c r="C2080" s="6">
        <v>4372182.9192844722</v>
      </c>
      <c r="D2080" s="6">
        <v>5247056</v>
      </c>
      <c r="F2080" s="100"/>
      <c r="G2080" s="26"/>
      <c r="K2080" s="100"/>
      <c r="L2080" s="100">
        <f t="shared" si="304"/>
        <v>10.364599999999999</v>
      </c>
      <c r="M2080" s="26" t="s">
        <v>18</v>
      </c>
      <c r="N2080" s="7">
        <f>ROUND($D2080*L2080/100,0)</f>
        <v>543836</v>
      </c>
      <c r="O2080" s="207"/>
      <c r="P2080" s="59"/>
    </row>
    <row r="2081" spans="1:17" x14ac:dyDescent="0.25">
      <c r="A2081" s="19" t="s">
        <v>351</v>
      </c>
      <c r="C2081" s="6">
        <v>3899689.2540909215</v>
      </c>
      <c r="D2081" s="6">
        <v>4722287</v>
      </c>
      <c r="F2081" s="100"/>
      <c r="G2081" s="26"/>
      <c r="K2081" s="100"/>
      <c r="L2081" s="100">
        <f t="shared" si="304"/>
        <v>5.8023999999999996</v>
      </c>
      <c r="M2081" s="26" t="s">
        <v>18</v>
      </c>
      <c r="N2081" s="7">
        <f>ROUND($D2081*L2081/100,0)</f>
        <v>274006</v>
      </c>
      <c r="O2081" s="207"/>
      <c r="P2081" s="59"/>
    </row>
    <row r="2082" spans="1:17" x14ac:dyDescent="0.25">
      <c r="A2082" s="19" t="s">
        <v>352</v>
      </c>
      <c r="C2082" s="6">
        <v>6046.6716763005797</v>
      </c>
      <c r="D2082" s="6">
        <v>7841</v>
      </c>
      <c r="F2082" s="20">
        <v>8.65</v>
      </c>
      <c r="G2082" s="20"/>
      <c r="H2082" s="7">
        <f t="shared" si="303"/>
        <v>52304</v>
      </c>
      <c r="I2082" s="7">
        <f t="shared" si="303"/>
        <v>67825</v>
      </c>
      <c r="K2082" s="20"/>
      <c r="L2082" s="20"/>
      <c r="M2082" s="20"/>
      <c r="O2082" s="55"/>
      <c r="P2082" s="55"/>
    </row>
    <row r="2083" spans="1:17" x14ac:dyDescent="0.25">
      <c r="A2083" s="19" t="s">
        <v>353</v>
      </c>
      <c r="C2083" s="6">
        <v>6681.7310344827556</v>
      </c>
      <c r="D2083" s="6">
        <v>8766</v>
      </c>
      <c r="F2083" s="20">
        <v>8.7000000000000011</v>
      </c>
      <c r="G2083" s="20"/>
      <c r="H2083" s="7">
        <f t="shared" si="303"/>
        <v>58131</v>
      </c>
      <c r="I2083" s="7">
        <f t="shared" si="303"/>
        <v>76264</v>
      </c>
      <c r="K2083" s="20"/>
      <c r="L2083" s="20"/>
      <c r="M2083" s="20"/>
      <c r="O2083" s="55"/>
      <c r="P2083" s="55"/>
    </row>
    <row r="2084" spans="1:17" x14ac:dyDescent="0.25">
      <c r="A2084" s="19" t="s">
        <v>77</v>
      </c>
      <c r="C2084" s="6">
        <v>0</v>
      </c>
      <c r="D2084" s="6">
        <v>0</v>
      </c>
      <c r="F2084" s="20">
        <v>-0.48</v>
      </c>
      <c r="G2084" s="20"/>
      <c r="H2084" s="7">
        <f t="shared" si="303"/>
        <v>0</v>
      </c>
      <c r="I2084" s="7">
        <f t="shared" si="303"/>
        <v>0</v>
      </c>
      <c r="K2084" s="20"/>
      <c r="L2084" s="20">
        <f>L1988</f>
        <v>-0.48</v>
      </c>
      <c r="M2084" s="20"/>
      <c r="N2084" s="7">
        <f>ROUND($D2084*L2084,0)</f>
        <v>0</v>
      </c>
      <c r="O2084" s="55"/>
      <c r="P2084" s="55"/>
    </row>
    <row r="2085" spans="1:17" x14ac:dyDescent="0.25">
      <c r="A2085" s="19" t="s">
        <v>354</v>
      </c>
      <c r="C2085" s="6">
        <v>1744090.8515496962</v>
      </c>
      <c r="D2085" s="6">
        <v>2609824.9420763389</v>
      </c>
      <c r="F2085" s="30">
        <v>11.733599999999999</v>
      </c>
      <c r="G2085" s="26" t="s">
        <v>18</v>
      </c>
      <c r="H2085" s="7">
        <f t="shared" ref="H2085:I2088" si="305">ROUND($F2085*C2085/100,0)</f>
        <v>204645</v>
      </c>
      <c r="I2085" s="7">
        <f t="shared" si="305"/>
        <v>306226</v>
      </c>
      <c r="K2085" s="30"/>
      <c r="L2085" s="30"/>
      <c r="M2085" s="26"/>
      <c r="O2085" s="61"/>
      <c r="P2085" s="59"/>
    </row>
    <row r="2086" spans="1:17" x14ac:dyDescent="0.25">
      <c r="A2086" s="19" t="s">
        <v>355</v>
      </c>
      <c r="C2086" s="6">
        <v>1663397.9178585962</v>
      </c>
      <c r="D2086" s="6">
        <v>2499478</v>
      </c>
      <c r="F2086" s="30">
        <v>6.5782999999999996</v>
      </c>
      <c r="G2086" s="26" t="s">
        <v>18</v>
      </c>
      <c r="H2086" s="7">
        <f t="shared" si="305"/>
        <v>109423</v>
      </c>
      <c r="I2086" s="7">
        <f t="shared" si="305"/>
        <v>164423</v>
      </c>
      <c r="K2086" s="30"/>
      <c r="L2086" s="30"/>
      <c r="M2086" s="26"/>
      <c r="O2086" s="61"/>
      <c r="P2086" s="59"/>
    </row>
    <row r="2087" spans="1:17" x14ac:dyDescent="0.25">
      <c r="A2087" s="19" t="s">
        <v>356</v>
      </c>
      <c r="C2087" s="6">
        <v>4079347.3934393898</v>
      </c>
      <c r="D2087" s="6">
        <v>4852798</v>
      </c>
      <c r="F2087" s="30">
        <v>10.8</v>
      </c>
      <c r="G2087" s="26" t="s">
        <v>18</v>
      </c>
      <c r="H2087" s="7">
        <f t="shared" si="305"/>
        <v>440570</v>
      </c>
      <c r="I2087" s="7">
        <f t="shared" si="305"/>
        <v>524102</v>
      </c>
      <c r="K2087" s="30"/>
      <c r="L2087" s="30"/>
      <c r="M2087" s="26"/>
      <c r="O2087" s="61"/>
      <c r="P2087" s="59"/>
    </row>
    <row r="2088" spans="1:17" x14ac:dyDescent="0.25">
      <c r="A2088" s="19" t="s">
        <v>357</v>
      </c>
      <c r="C2088" s="6">
        <v>3696928.6171580991</v>
      </c>
      <c r="D2088" s="6">
        <v>4441433</v>
      </c>
      <c r="F2088" s="30">
        <v>6.0567000000000002</v>
      </c>
      <c r="G2088" s="26" t="s">
        <v>18</v>
      </c>
      <c r="H2088" s="7">
        <f t="shared" si="305"/>
        <v>223912</v>
      </c>
      <c r="I2088" s="7">
        <f t="shared" si="305"/>
        <v>269004</v>
      </c>
      <c r="K2088" s="30"/>
      <c r="L2088" s="30"/>
      <c r="M2088" s="26"/>
      <c r="O2088" s="61"/>
      <c r="P2088" s="59"/>
    </row>
    <row r="2089" spans="1:17" x14ac:dyDescent="0.25">
      <c r="A2089" s="19" t="s">
        <v>33</v>
      </c>
      <c r="C2089" s="36">
        <v>55962</v>
      </c>
      <c r="D2089" s="36">
        <v>0</v>
      </c>
      <c r="H2089" s="37">
        <f>H2111+H2133+H2155</f>
        <v>6730</v>
      </c>
      <c r="I2089" s="37">
        <f t="shared" ref="I2089" si="306">I2111+I2133+I2155</f>
        <v>0</v>
      </c>
      <c r="N2089" s="37">
        <f t="shared" ref="N2089" si="307">N2111+N2133+N2155</f>
        <v>0</v>
      </c>
      <c r="Q2089" s="64"/>
    </row>
    <row r="2090" spans="1:17" x14ac:dyDescent="0.25">
      <c r="A2090" s="19" t="s">
        <v>34</v>
      </c>
      <c r="F2090" s="23">
        <v>-3.3099999999999997E-2</v>
      </c>
      <c r="G2090" s="24"/>
      <c r="H2090" s="7">
        <f>SUM(H2082:H2083,H2085:H2088)*$F2090</f>
        <v>-36045.4035</v>
      </c>
      <c r="I2090" s="7">
        <f>SUM(I2082:I2083,I2085:I2088)*$F2090</f>
        <v>-46599.636399999996</v>
      </c>
      <c r="K2090" s="93" t="str">
        <f>$K$43</f>
        <v>TAA 1 (1/1/2021)</v>
      </c>
      <c r="L2090" s="23">
        <f>$L$1995</f>
        <v>-2.3900000000000001E-2</v>
      </c>
      <c r="M2090" s="24"/>
      <c r="N2090" s="7">
        <f>L2090*SUM(N2076:N2081)</f>
        <v>-32487.389500000001</v>
      </c>
      <c r="O2090" s="65"/>
      <c r="P2090" s="57"/>
    </row>
    <row r="2091" spans="1:17" x14ac:dyDescent="0.25">
      <c r="A2091" s="19"/>
      <c r="F2091" s="23"/>
      <c r="G2091" s="24"/>
      <c r="K2091" s="93" t="str">
        <f>$K$44</f>
        <v>TAA 2 (1/1/2022)</v>
      </c>
      <c r="L2091" s="23">
        <f>$L$1996</f>
        <v>-1.1900000000000001E-2</v>
      </c>
      <c r="M2091" s="24"/>
      <c r="N2091" s="7">
        <f>L2091*SUM(N2076:N2081)</f>
        <v>-16175.729500000001</v>
      </c>
      <c r="O2091" s="65"/>
      <c r="P2091" s="57"/>
    </row>
    <row r="2092" spans="1:17" ht="16.5" thickBot="1" x14ac:dyDescent="0.3">
      <c r="A2092" s="19" t="s">
        <v>36</v>
      </c>
      <c r="C2092" s="101">
        <v>11239726.780005781</v>
      </c>
      <c r="D2092" s="101">
        <v>14403533.942076338</v>
      </c>
      <c r="F2092" s="41"/>
      <c r="H2092" s="95">
        <f>SUM(H2073:H2090)</f>
        <v>1212661.5965</v>
      </c>
      <c r="I2092" s="95">
        <f>SUM(I2073:I2090)</f>
        <v>1548724.3636</v>
      </c>
      <c r="K2092" s="41"/>
      <c r="L2092" s="41"/>
      <c r="M2092" s="24"/>
      <c r="N2092" s="40">
        <f>SUM(N2073:N2089)</f>
        <v>1546785</v>
      </c>
      <c r="O2092" s="68"/>
      <c r="P2092" s="57"/>
      <c r="Q2092" s="67"/>
    </row>
    <row r="2093" spans="1:17" ht="16.5" thickTop="1" x14ac:dyDescent="0.25"/>
    <row r="2094" spans="1:17" x14ac:dyDescent="0.25">
      <c r="A2094" s="15" t="s">
        <v>362</v>
      </c>
    </row>
    <row r="2095" spans="1:17" x14ac:dyDescent="0.25">
      <c r="A2095" s="19" t="s">
        <v>68</v>
      </c>
      <c r="C2095" s="6">
        <v>5239.5230000000001</v>
      </c>
      <c r="D2095" s="6">
        <v>5916</v>
      </c>
      <c r="F2095" s="24">
        <v>10</v>
      </c>
      <c r="G2095" s="24"/>
      <c r="H2095" s="7">
        <f t="shared" ref="H2095:I2106" si="308">ROUND($F2095*C2095,0)</f>
        <v>52395</v>
      </c>
      <c r="I2095" s="7">
        <f t="shared" si="308"/>
        <v>59160</v>
      </c>
      <c r="K2095" s="24"/>
      <c r="L2095" s="24">
        <f t="shared" ref="L2095:L2103" si="309">L2073</f>
        <v>10</v>
      </c>
      <c r="M2095" s="24"/>
      <c r="N2095" s="7">
        <f>ROUND($D2095*L2095,0)</f>
        <v>59160</v>
      </c>
      <c r="O2095" s="57"/>
      <c r="P2095" s="57"/>
    </row>
    <row r="2096" spans="1:17" x14ac:dyDescent="0.25">
      <c r="A2096" s="19" t="s">
        <v>79</v>
      </c>
      <c r="C2096" s="6">
        <v>0</v>
      </c>
      <c r="D2096" s="6">
        <v>0</v>
      </c>
      <c r="F2096" s="24">
        <v>120</v>
      </c>
      <c r="G2096" s="24"/>
      <c r="H2096" s="7">
        <f t="shared" si="308"/>
        <v>0</v>
      </c>
      <c r="I2096" s="7">
        <f t="shared" si="308"/>
        <v>0</v>
      </c>
      <c r="K2096" s="24"/>
      <c r="L2096" s="24">
        <f t="shared" si="309"/>
        <v>117</v>
      </c>
      <c r="M2096" s="24"/>
      <c r="N2096" s="7">
        <f>ROUND($D2096*L2096,0)</f>
        <v>0</v>
      </c>
      <c r="O2096" s="57"/>
      <c r="P2096" s="57"/>
    </row>
    <row r="2097" spans="1:17" x14ac:dyDescent="0.25">
      <c r="A2097" s="19" t="s">
        <v>80</v>
      </c>
      <c r="C2097" s="6">
        <v>0</v>
      </c>
      <c r="D2097" s="6">
        <v>0</v>
      </c>
      <c r="F2097" s="24">
        <v>10</v>
      </c>
      <c r="G2097" s="24"/>
      <c r="H2097" s="7">
        <f t="shared" si="308"/>
        <v>0</v>
      </c>
      <c r="I2097" s="7">
        <f t="shared" si="308"/>
        <v>0</v>
      </c>
      <c r="K2097" s="24"/>
      <c r="L2097" s="24">
        <f t="shared" si="309"/>
        <v>10</v>
      </c>
      <c r="M2097" s="24"/>
      <c r="N2097" s="7">
        <f>ROUND($D2097*L2097,0)</f>
        <v>0</v>
      </c>
      <c r="O2097" s="57"/>
      <c r="P2097" s="57"/>
    </row>
    <row r="2098" spans="1:17" x14ac:dyDescent="0.25">
      <c r="A2098" s="19" t="s">
        <v>346</v>
      </c>
      <c r="C2098" s="6">
        <v>222.12270686046583</v>
      </c>
      <c r="D2098" s="6">
        <v>270</v>
      </c>
      <c r="F2098" s="24"/>
      <c r="G2098" s="24"/>
      <c r="K2098" s="24"/>
      <c r="L2098" s="24">
        <f t="shared" si="309"/>
        <v>8.89</v>
      </c>
      <c r="M2098" s="24"/>
      <c r="N2098" s="7">
        <f>ROUND($D2098*L2098,0)</f>
        <v>2400</v>
      </c>
      <c r="O2098" s="57"/>
      <c r="P2098" s="57"/>
    </row>
    <row r="2099" spans="1:17" x14ac:dyDescent="0.25">
      <c r="A2099" s="19" t="s">
        <v>347</v>
      </c>
      <c r="C2099" s="6">
        <v>133.7447637394952</v>
      </c>
      <c r="D2099" s="6">
        <v>162</v>
      </c>
      <c r="F2099" s="24"/>
      <c r="G2099" s="24"/>
      <c r="K2099" s="24"/>
      <c r="L2099" s="24">
        <f t="shared" si="309"/>
        <v>7.87</v>
      </c>
      <c r="M2099" s="24"/>
      <c r="N2099" s="7">
        <f>ROUND($D2099*L2099,0)</f>
        <v>1275</v>
      </c>
      <c r="O2099" s="57"/>
      <c r="P2099" s="57"/>
    </row>
    <row r="2100" spans="1:17" x14ac:dyDescent="0.25">
      <c r="A2100" s="19" t="s">
        <v>348</v>
      </c>
      <c r="C2100" s="6">
        <v>95962.379692517949</v>
      </c>
      <c r="D2100" s="6">
        <v>307704.4796706466</v>
      </c>
      <c r="F2100" s="100"/>
      <c r="G2100" s="26"/>
      <c r="K2100" s="100"/>
      <c r="L2100" s="100">
        <f t="shared" si="309"/>
        <v>11.712</v>
      </c>
      <c r="M2100" s="26" t="s">
        <v>18</v>
      </c>
      <c r="N2100" s="7">
        <f>ROUND($D2100*L2100/100,0)</f>
        <v>36038</v>
      </c>
      <c r="O2100" s="207"/>
      <c r="P2100" s="59"/>
    </row>
    <row r="2101" spans="1:17" x14ac:dyDescent="0.25">
      <c r="A2101" s="19" t="s">
        <v>349</v>
      </c>
      <c r="C2101" s="6">
        <v>119917.48926069601</v>
      </c>
      <c r="D2101" s="6">
        <v>384516</v>
      </c>
      <c r="F2101" s="100"/>
      <c r="G2101" s="26"/>
      <c r="K2101" s="100"/>
      <c r="L2101" s="100">
        <f t="shared" si="309"/>
        <v>6.5567000000000002</v>
      </c>
      <c r="M2101" s="26" t="s">
        <v>18</v>
      </c>
      <c r="N2101" s="7">
        <f>ROUND($D2101*L2101/100,0)</f>
        <v>25212</v>
      </c>
      <c r="O2101" s="207"/>
      <c r="P2101" s="59"/>
    </row>
    <row r="2102" spans="1:17" x14ac:dyDescent="0.25">
      <c r="A2102" s="19" t="s">
        <v>350</v>
      </c>
      <c r="C2102" s="6">
        <v>617433.80018048012</v>
      </c>
      <c r="D2102" s="6">
        <v>504602</v>
      </c>
      <c r="F2102" s="100"/>
      <c r="G2102" s="26"/>
      <c r="K2102" s="100"/>
      <c r="L2102" s="100">
        <f t="shared" si="309"/>
        <v>10.364599999999999</v>
      </c>
      <c r="M2102" s="26" t="s">
        <v>18</v>
      </c>
      <c r="N2102" s="7">
        <f>ROUND($D2102*L2102/100,0)</f>
        <v>52300</v>
      </c>
      <c r="O2102" s="207"/>
      <c r="P2102" s="59"/>
    </row>
    <row r="2103" spans="1:17" x14ac:dyDescent="0.25">
      <c r="A2103" s="19" t="s">
        <v>351</v>
      </c>
      <c r="C2103" s="6">
        <v>443581.35034659156</v>
      </c>
      <c r="D2103" s="6">
        <v>362520</v>
      </c>
      <c r="F2103" s="100"/>
      <c r="G2103" s="26"/>
      <c r="K2103" s="100"/>
      <c r="L2103" s="100">
        <f t="shared" si="309"/>
        <v>5.8023999999999996</v>
      </c>
      <c r="M2103" s="26" t="s">
        <v>18</v>
      </c>
      <c r="N2103" s="7">
        <f>ROUND($D2103*L2103/100,0)</f>
        <v>21035</v>
      </c>
      <c r="O2103" s="207"/>
      <c r="P2103" s="59"/>
    </row>
    <row r="2104" spans="1:17" x14ac:dyDescent="0.25">
      <c r="A2104" s="19" t="s">
        <v>352</v>
      </c>
      <c r="C2104" s="6">
        <v>254.33988439306401</v>
      </c>
      <c r="D2104" s="6">
        <v>309</v>
      </c>
      <c r="F2104" s="24">
        <v>8.65</v>
      </c>
      <c r="G2104" s="24"/>
      <c r="H2104" s="7">
        <f t="shared" si="308"/>
        <v>2200</v>
      </c>
      <c r="I2104" s="7">
        <f t="shared" si="308"/>
        <v>2673</v>
      </c>
      <c r="K2104" s="24"/>
      <c r="L2104" s="24"/>
      <c r="M2104" s="24"/>
      <c r="O2104" s="57"/>
      <c r="P2104" s="57"/>
    </row>
    <row r="2105" spans="1:17" x14ac:dyDescent="0.25">
      <c r="A2105" s="19" t="s">
        <v>353</v>
      </c>
      <c r="C2105" s="6">
        <v>101.527586206897</v>
      </c>
      <c r="D2105" s="6">
        <v>123</v>
      </c>
      <c r="F2105" s="24">
        <v>8.7000000000000011</v>
      </c>
      <c r="G2105" s="24"/>
      <c r="H2105" s="7">
        <f t="shared" si="308"/>
        <v>883</v>
      </c>
      <c r="I2105" s="7">
        <f t="shared" si="308"/>
        <v>1070</v>
      </c>
      <c r="K2105" s="24"/>
      <c r="L2105" s="24"/>
      <c r="M2105" s="24"/>
      <c r="O2105" s="57"/>
      <c r="P2105" s="57"/>
    </row>
    <row r="2106" spans="1:17" x14ac:dyDescent="0.25">
      <c r="A2106" s="19" t="s">
        <v>77</v>
      </c>
      <c r="C2106" s="6">
        <v>0</v>
      </c>
      <c r="D2106" s="6">
        <v>0</v>
      </c>
      <c r="F2106" s="24">
        <v>-0.48</v>
      </c>
      <c r="G2106" s="24"/>
      <c r="H2106" s="7">
        <f t="shared" si="308"/>
        <v>0</v>
      </c>
      <c r="I2106" s="7">
        <f t="shared" si="308"/>
        <v>0</v>
      </c>
      <c r="K2106" s="24"/>
      <c r="L2106" s="24">
        <f>L2084</f>
        <v>-0.48</v>
      </c>
      <c r="M2106" s="24"/>
      <c r="N2106" s="7">
        <f>ROUND($D2106*L2106,0)</f>
        <v>0</v>
      </c>
      <c r="O2106" s="57"/>
      <c r="P2106" s="57"/>
    </row>
    <row r="2107" spans="1:17" x14ac:dyDescent="0.25">
      <c r="A2107" s="19" t="s">
        <v>354</v>
      </c>
      <c r="C2107" s="6">
        <v>125921.47732123558</v>
      </c>
      <c r="D2107" s="6">
        <v>347753.4796706466</v>
      </c>
      <c r="F2107" s="100">
        <v>11.733599999999999</v>
      </c>
      <c r="G2107" s="26" t="s">
        <v>18</v>
      </c>
      <c r="H2107" s="7">
        <f t="shared" ref="H2107:I2110" si="310">ROUND($F2107*C2107/100,0)</f>
        <v>14775</v>
      </c>
      <c r="I2107" s="7">
        <f t="shared" si="310"/>
        <v>40804</v>
      </c>
      <c r="K2107" s="100"/>
      <c r="L2107" s="100"/>
      <c r="M2107" s="26"/>
      <c r="O2107" s="207"/>
      <c r="P2107" s="59"/>
    </row>
    <row r="2108" spans="1:17" x14ac:dyDescent="0.25">
      <c r="A2108" s="19" t="s">
        <v>355</v>
      </c>
      <c r="C2108" s="6">
        <v>139631.38660678506</v>
      </c>
      <c r="D2108" s="6">
        <v>385615</v>
      </c>
      <c r="F2108" s="100">
        <v>6.5782999999999996</v>
      </c>
      <c r="G2108" s="26" t="s">
        <v>18</v>
      </c>
      <c r="H2108" s="7">
        <f t="shared" si="310"/>
        <v>9185</v>
      </c>
      <c r="I2108" s="7">
        <f t="shared" si="310"/>
        <v>25367</v>
      </c>
      <c r="K2108" s="100"/>
      <c r="L2108" s="100"/>
      <c r="M2108" s="26"/>
      <c r="O2108" s="207"/>
      <c r="P2108" s="59"/>
    </row>
    <row r="2109" spans="1:17" x14ac:dyDescent="0.25">
      <c r="A2109" s="19" t="s">
        <v>356</v>
      </c>
      <c r="C2109" s="6">
        <v>587474.70255176246</v>
      </c>
      <c r="D2109" s="6">
        <v>479797</v>
      </c>
      <c r="F2109" s="100">
        <v>10.8</v>
      </c>
      <c r="G2109" s="26" t="s">
        <v>18</v>
      </c>
      <c r="H2109" s="7">
        <f t="shared" si="310"/>
        <v>63447</v>
      </c>
      <c r="I2109" s="7">
        <f t="shared" si="310"/>
        <v>51818</v>
      </c>
      <c r="K2109" s="100"/>
      <c r="L2109" s="100"/>
      <c r="M2109" s="26"/>
      <c r="O2109" s="207"/>
      <c r="P2109" s="59"/>
    </row>
    <row r="2110" spans="1:17" x14ac:dyDescent="0.25">
      <c r="A2110" s="19" t="s">
        <v>357</v>
      </c>
      <c r="C2110" s="6">
        <v>423867.45300050249</v>
      </c>
      <c r="D2110" s="6">
        <v>346177</v>
      </c>
      <c r="F2110" s="100">
        <v>6.0567000000000002</v>
      </c>
      <c r="G2110" s="26" t="s">
        <v>18</v>
      </c>
      <c r="H2110" s="7">
        <f t="shared" si="310"/>
        <v>25672</v>
      </c>
      <c r="I2110" s="7">
        <f t="shared" si="310"/>
        <v>20967</v>
      </c>
      <c r="K2110" s="100"/>
      <c r="L2110" s="100"/>
      <c r="M2110" s="26"/>
      <c r="O2110" s="207"/>
      <c r="P2110" s="59"/>
    </row>
    <row r="2111" spans="1:17" x14ac:dyDescent="0.25">
      <c r="A2111" s="19" t="s">
        <v>33</v>
      </c>
      <c r="C2111" s="36">
        <v>7239</v>
      </c>
      <c r="D2111" s="36">
        <v>0</v>
      </c>
      <c r="H2111" s="37">
        <v>1014</v>
      </c>
      <c r="I2111" s="37">
        <v>0</v>
      </c>
      <c r="N2111" s="37">
        <v>0</v>
      </c>
      <c r="Q2111" s="64"/>
    </row>
    <row r="2112" spans="1:17" x14ac:dyDescent="0.25">
      <c r="A2112" s="19" t="s">
        <v>34</v>
      </c>
      <c r="F2112" s="23">
        <v>-3.3099999999999997E-2</v>
      </c>
      <c r="G2112" s="24"/>
      <c r="H2112" s="7">
        <f>SUM(H2104:H2105,H2107:H2110)*$F2112</f>
        <v>-3844.9621999999995</v>
      </c>
      <c r="I2112" s="7">
        <f>SUM(I2104:I2105,I2107:I2110)*$F2112</f>
        <v>-4723.3368999999993</v>
      </c>
      <c r="K2112" s="93" t="str">
        <f>$K$43</f>
        <v>TAA 1 (1/1/2021)</v>
      </c>
      <c r="L2112" s="23">
        <f>$L$1995</f>
        <v>-2.3900000000000001E-2</v>
      </c>
      <c r="M2112" s="24"/>
      <c r="N2112" s="7">
        <f>L2112*SUM(N2098:N2103)</f>
        <v>-3304.4140000000002</v>
      </c>
      <c r="O2112" s="65"/>
      <c r="P2112" s="57"/>
    </row>
    <row r="2113" spans="1:17" x14ac:dyDescent="0.25">
      <c r="A2113" s="19"/>
      <c r="F2113" s="23"/>
      <c r="G2113" s="24"/>
      <c r="K2113" s="93" t="str">
        <f>$K$44</f>
        <v>TAA 2 (1/1/2022)</v>
      </c>
      <c r="L2113" s="23">
        <f>$L$1996</f>
        <v>-1.1900000000000001E-2</v>
      </c>
      <c r="M2113" s="24"/>
      <c r="N2113" s="7">
        <f>L2113*SUM(N2098:N2103)</f>
        <v>-1645.2940000000001</v>
      </c>
      <c r="O2113" s="65"/>
      <c r="P2113" s="57"/>
    </row>
    <row r="2114" spans="1:17" ht="16.5" thickBot="1" x14ac:dyDescent="0.3">
      <c r="A2114" s="19" t="s">
        <v>36</v>
      </c>
      <c r="C2114" s="101">
        <v>1284134.0194802855</v>
      </c>
      <c r="D2114" s="101">
        <v>1559342.4796706466</v>
      </c>
      <c r="F2114" s="41"/>
      <c r="H2114" s="95">
        <f>SUM(H2095:H2112)</f>
        <v>165726.03779999999</v>
      </c>
      <c r="I2114" s="95">
        <f>SUM(I2095:I2112)</f>
        <v>197135.66310000001</v>
      </c>
      <c r="K2114" s="41"/>
      <c r="L2114" s="41"/>
      <c r="M2114" s="24"/>
      <c r="N2114" s="40">
        <f>SUM(N2095:N2111)</f>
        <v>197420</v>
      </c>
      <c r="O2114" s="68"/>
      <c r="P2114" s="57"/>
      <c r="Q2114" s="67"/>
    </row>
    <row r="2115" spans="1:17" ht="16.5" thickTop="1" x14ac:dyDescent="0.25"/>
    <row r="2116" spans="1:17" x14ac:dyDescent="0.25">
      <c r="A2116" s="15" t="s">
        <v>363</v>
      </c>
    </row>
    <row r="2117" spans="1:17" x14ac:dyDescent="0.25">
      <c r="A2117" s="19" t="s">
        <v>68</v>
      </c>
      <c r="C2117" s="6">
        <v>9847.2289999999903</v>
      </c>
      <c r="D2117" s="6">
        <v>12360</v>
      </c>
      <c r="F2117" s="24">
        <v>10</v>
      </c>
      <c r="G2117" s="24"/>
      <c r="H2117" s="7">
        <f t="shared" ref="H2117:I2128" si="311">ROUND($F2117*C2117,0)</f>
        <v>98472</v>
      </c>
      <c r="I2117" s="7">
        <f t="shared" si="311"/>
        <v>123600</v>
      </c>
      <c r="K2117" s="24"/>
      <c r="L2117" s="24">
        <f t="shared" ref="L2117:L2125" si="312">L2073</f>
        <v>10</v>
      </c>
      <c r="M2117" s="24"/>
      <c r="N2117" s="7">
        <f>ROUND($D2117*L2117,0)</f>
        <v>123600</v>
      </c>
      <c r="O2117" s="57"/>
      <c r="P2117" s="57"/>
    </row>
    <row r="2118" spans="1:17" x14ac:dyDescent="0.25">
      <c r="A2118" s="19" t="s">
        <v>79</v>
      </c>
      <c r="C2118" s="6">
        <v>0</v>
      </c>
      <c r="D2118" s="6">
        <v>0</v>
      </c>
      <c r="F2118" s="24">
        <v>120</v>
      </c>
      <c r="G2118" s="24"/>
      <c r="H2118" s="7">
        <f t="shared" si="311"/>
        <v>0</v>
      </c>
      <c r="I2118" s="7">
        <f t="shared" si="311"/>
        <v>0</v>
      </c>
      <c r="K2118" s="24"/>
      <c r="L2118" s="24">
        <f t="shared" si="312"/>
        <v>117</v>
      </c>
      <c r="M2118" s="24"/>
      <c r="N2118" s="7">
        <f>ROUND($D2118*L2118,0)</f>
        <v>0</v>
      </c>
      <c r="O2118" s="57"/>
      <c r="P2118" s="57"/>
    </row>
    <row r="2119" spans="1:17" x14ac:dyDescent="0.25">
      <c r="A2119" s="19" t="s">
        <v>80</v>
      </c>
      <c r="C2119" s="6">
        <v>8.2669999999999995</v>
      </c>
      <c r="D2119" s="6">
        <v>10</v>
      </c>
      <c r="F2119" s="24">
        <v>10</v>
      </c>
      <c r="G2119" s="24"/>
      <c r="H2119" s="7">
        <f t="shared" si="311"/>
        <v>83</v>
      </c>
      <c r="I2119" s="7">
        <f t="shared" si="311"/>
        <v>100</v>
      </c>
      <c r="K2119" s="24"/>
      <c r="L2119" s="24">
        <f t="shared" si="312"/>
        <v>10</v>
      </c>
      <c r="M2119" s="24"/>
      <c r="N2119" s="7">
        <f>ROUND($D2119*L2119,0)</f>
        <v>100</v>
      </c>
      <c r="O2119" s="57"/>
      <c r="P2119" s="57"/>
    </row>
    <row r="2120" spans="1:17" x14ac:dyDescent="0.25">
      <c r="A2120" s="19" t="s">
        <v>346</v>
      </c>
      <c r="C2120" s="6">
        <v>4896.6213224299172</v>
      </c>
      <c r="D2120" s="6">
        <v>6207</v>
      </c>
      <c r="F2120" s="24"/>
      <c r="G2120" s="24"/>
      <c r="K2120" s="24"/>
      <c r="L2120" s="24">
        <f t="shared" si="312"/>
        <v>8.89</v>
      </c>
      <c r="M2120" s="24"/>
      <c r="N2120" s="7">
        <f>ROUND($D2120*L2120,0)</f>
        <v>55180</v>
      </c>
      <c r="O2120" s="57"/>
      <c r="P2120" s="57"/>
    </row>
    <row r="2121" spans="1:17" x14ac:dyDescent="0.25">
      <c r="A2121" s="19" t="s">
        <v>347</v>
      </c>
      <c r="C2121" s="6">
        <v>7094.8798402835228</v>
      </c>
      <c r="D2121" s="6">
        <v>8993</v>
      </c>
      <c r="F2121" s="24"/>
      <c r="G2121" s="24"/>
      <c r="K2121" s="24"/>
      <c r="L2121" s="24">
        <f t="shared" si="312"/>
        <v>7.87</v>
      </c>
      <c r="M2121" s="24"/>
      <c r="N2121" s="7">
        <f>ROUND($D2121*L2121,0)</f>
        <v>70775</v>
      </c>
      <c r="O2121" s="57"/>
      <c r="P2121" s="57"/>
    </row>
    <row r="2122" spans="1:17" x14ac:dyDescent="0.25">
      <c r="A2122" s="19" t="s">
        <v>348</v>
      </c>
      <c r="C2122" s="6">
        <v>1336520.0424274232</v>
      </c>
      <c r="D2122" s="6">
        <v>1826490.0645065326</v>
      </c>
      <c r="F2122" s="100"/>
      <c r="G2122" s="26"/>
      <c r="K2122" s="100"/>
      <c r="L2122" s="100">
        <f t="shared" si="312"/>
        <v>11.712</v>
      </c>
      <c r="M2122" s="26" t="s">
        <v>18</v>
      </c>
      <c r="N2122" s="7">
        <f>ROUND($D2122*L2122/100,0)</f>
        <v>213919</v>
      </c>
      <c r="O2122" s="207"/>
      <c r="P2122" s="59"/>
    </row>
    <row r="2123" spans="1:17" x14ac:dyDescent="0.25">
      <c r="A2123" s="19" t="s">
        <v>349</v>
      </c>
      <c r="C2123" s="6">
        <v>1327682.1209296016</v>
      </c>
      <c r="D2123" s="6">
        <v>1814411</v>
      </c>
      <c r="F2123" s="100"/>
      <c r="G2123" s="26"/>
      <c r="K2123" s="100"/>
      <c r="L2123" s="100">
        <f t="shared" si="312"/>
        <v>6.5567000000000002</v>
      </c>
      <c r="M2123" s="26" t="s">
        <v>18</v>
      </c>
      <c r="N2123" s="7">
        <f>ROUND($D2123*L2123/100,0)</f>
        <v>118965</v>
      </c>
      <c r="O2123" s="207"/>
      <c r="P2123" s="59"/>
    </row>
    <row r="2124" spans="1:17" x14ac:dyDescent="0.25">
      <c r="A2124" s="19" t="s">
        <v>350</v>
      </c>
      <c r="C2124" s="6">
        <v>3676633.0226886645</v>
      </c>
      <c r="D2124" s="6">
        <v>4557220</v>
      </c>
      <c r="F2124" s="100"/>
      <c r="G2124" s="26"/>
      <c r="K2124" s="100"/>
      <c r="L2124" s="100">
        <f t="shared" si="312"/>
        <v>10.364599999999999</v>
      </c>
      <c r="M2124" s="26" t="s">
        <v>18</v>
      </c>
      <c r="N2124" s="7">
        <f>ROUND($D2124*L2124/100,0)</f>
        <v>472338</v>
      </c>
      <c r="O2124" s="207"/>
      <c r="P2124" s="59"/>
    </row>
    <row r="2125" spans="1:17" x14ac:dyDescent="0.25">
      <c r="A2125" s="19" t="s">
        <v>351</v>
      </c>
      <c r="C2125" s="6">
        <v>3389052.5744798062</v>
      </c>
      <c r="D2125" s="6">
        <v>4200761</v>
      </c>
      <c r="F2125" s="100"/>
      <c r="G2125" s="26"/>
      <c r="K2125" s="100"/>
      <c r="L2125" s="100">
        <f t="shared" si="312"/>
        <v>5.8023999999999996</v>
      </c>
      <c r="M2125" s="26" t="s">
        <v>18</v>
      </c>
      <c r="N2125" s="7">
        <f>ROUND($D2125*L2125/100,0)</f>
        <v>243745</v>
      </c>
      <c r="O2125" s="207"/>
      <c r="P2125" s="59"/>
    </row>
    <row r="2126" spans="1:17" x14ac:dyDescent="0.25">
      <c r="A2126" s="19" t="s">
        <v>352</v>
      </c>
      <c r="C2126" s="6">
        <v>5645.4023121387299</v>
      </c>
      <c r="D2126" s="6">
        <v>7156</v>
      </c>
      <c r="F2126" s="24">
        <v>8.65</v>
      </c>
      <c r="G2126" s="24"/>
      <c r="H2126" s="7">
        <f t="shared" si="311"/>
        <v>48833</v>
      </c>
      <c r="I2126" s="7">
        <f t="shared" si="311"/>
        <v>61899</v>
      </c>
      <c r="K2126" s="24"/>
      <c r="L2126" s="24"/>
      <c r="M2126" s="24"/>
      <c r="O2126" s="57"/>
      <c r="P2126" s="57"/>
    </row>
    <row r="2127" spans="1:17" x14ac:dyDescent="0.25">
      <c r="A2127" s="19" t="s">
        <v>353</v>
      </c>
      <c r="C2127" s="6">
        <v>6346.09885057471</v>
      </c>
      <c r="D2127" s="6">
        <v>8044</v>
      </c>
      <c r="F2127" s="24">
        <v>8.7000000000000011</v>
      </c>
      <c r="G2127" s="24"/>
      <c r="H2127" s="7">
        <f t="shared" si="311"/>
        <v>55211</v>
      </c>
      <c r="I2127" s="7">
        <f t="shared" si="311"/>
        <v>69983</v>
      </c>
      <c r="K2127" s="24"/>
      <c r="L2127" s="24"/>
      <c r="M2127" s="24"/>
      <c r="O2127" s="57"/>
      <c r="P2127" s="57"/>
    </row>
    <row r="2128" spans="1:17" x14ac:dyDescent="0.25">
      <c r="A2128" s="19" t="s">
        <v>77</v>
      </c>
      <c r="C2128" s="6">
        <v>0</v>
      </c>
      <c r="D2128" s="6">
        <v>0</v>
      </c>
      <c r="F2128" s="24">
        <v>-0.48</v>
      </c>
      <c r="G2128" s="24"/>
      <c r="H2128" s="7">
        <f t="shared" si="311"/>
        <v>0</v>
      </c>
      <c r="I2128" s="7">
        <f t="shared" si="311"/>
        <v>0</v>
      </c>
      <c r="K2128" s="24"/>
      <c r="L2128" s="24">
        <f>L2084</f>
        <v>-0.48</v>
      </c>
      <c r="M2128" s="24"/>
      <c r="N2128" s="7">
        <f>ROUND($D2128*L2128,0)</f>
        <v>0</v>
      </c>
      <c r="O2128" s="57"/>
      <c r="P2128" s="57"/>
    </row>
    <row r="2129" spans="1:17" x14ac:dyDescent="0.25">
      <c r="A2129" s="19" t="s">
        <v>354</v>
      </c>
      <c r="C2129" s="6">
        <v>1594921.3742284607</v>
      </c>
      <c r="D2129" s="6">
        <v>2175911.0645065326</v>
      </c>
      <c r="F2129" s="100">
        <v>11.733599999999999</v>
      </c>
      <c r="G2129" s="26" t="s">
        <v>18</v>
      </c>
      <c r="H2129" s="7">
        <f t="shared" ref="H2129:I2132" si="313">ROUND($F2129*C2129/100,0)</f>
        <v>187142</v>
      </c>
      <c r="I2129" s="7">
        <f t="shared" si="313"/>
        <v>255313</v>
      </c>
      <c r="K2129" s="100"/>
      <c r="L2129" s="100"/>
      <c r="M2129" s="26"/>
      <c r="O2129" s="207"/>
      <c r="P2129" s="59"/>
    </row>
    <row r="2130" spans="1:17" x14ac:dyDescent="0.25">
      <c r="A2130" s="19" t="s">
        <v>355</v>
      </c>
      <c r="C2130" s="6">
        <v>1508810.5312518112</v>
      </c>
      <c r="D2130" s="6">
        <v>2058433</v>
      </c>
      <c r="F2130" s="100">
        <v>6.5782999999999996</v>
      </c>
      <c r="G2130" s="26" t="s">
        <v>18</v>
      </c>
      <c r="H2130" s="7">
        <f t="shared" si="313"/>
        <v>99254</v>
      </c>
      <c r="I2130" s="7">
        <f t="shared" si="313"/>
        <v>135410</v>
      </c>
      <c r="K2130" s="100"/>
      <c r="L2130" s="100"/>
      <c r="M2130" s="26"/>
      <c r="O2130" s="207"/>
      <c r="P2130" s="59"/>
    </row>
    <row r="2131" spans="1:17" x14ac:dyDescent="0.25">
      <c r="A2131" s="19" t="s">
        <v>356</v>
      </c>
      <c r="C2131" s="6">
        <v>3418231.6908876272</v>
      </c>
      <c r="D2131" s="6">
        <v>4211836</v>
      </c>
      <c r="F2131" s="100">
        <v>10.8</v>
      </c>
      <c r="G2131" s="26" t="s">
        <v>18</v>
      </c>
      <c r="H2131" s="7">
        <f t="shared" si="313"/>
        <v>369169</v>
      </c>
      <c r="I2131" s="7">
        <f t="shared" si="313"/>
        <v>454878</v>
      </c>
      <c r="K2131" s="100"/>
      <c r="L2131" s="100"/>
      <c r="M2131" s="26"/>
      <c r="O2131" s="207"/>
      <c r="P2131" s="59"/>
    </row>
    <row r="2132" spans="1:17" x14ac:dyDescent="0.25">
      <c r="A2132" s="19" t="s">
        <v>357</v>
      </c>
      <c r="C2132" s="6">
        <v>3207924.1641575964</v>
      </c>
      <c r="D2132" s="6">
        <v>3952702</v>
      </c>
      <c r="F2132" s="100">
        <v>6.0567000000000002</v>
      </c>
      <c r="G2132" s="26" t="s">
        <v>18</v>
      </c>
      <c r="H2132" s="7">
        <f t="shared" si="313"/>
        <v>194294</v>
      </c>
      <c r="I2132" s="7">
        <f t="shared" si="313"/>
        <v>239403</v>
      </c>
      <c r="K2132" s="100"/>
      <c r="L2132" s="100"/>
      <c r="M2132" s="26"/>
      <c r="O2132" s="207"/>
      <c r="P2132" s="59"/>
    </row>
    <row r="2133" spans="1:17" x14ac:dyDescent="0.25">
      <c r="A2133" s="19" t="s">
        <v>33</v>
      </c>
      <c r="C2133" s="36">
        <v>51592</v>
      </c>
      <c r="D2133" s="36">
        <v>0</v>
      </c>
      <c r="H2133" s="37">
        <v>6025</v>
      </c>
      <c r="I2133" s="37">
        <v>0</v>
      </c>
      <c r="N2133" s="37">
        <v>0</v>
      </c>
      <c r="Q2133" s="64"/>
    </row>
    <row r="2134" spans="1:17" x14ac:dyDescent="0.25">
      <c r="A2134" s="19" t="s">
        <v>34</v>
      </c>
      <c r="F2134" s="23">
        <v>-3.3099999999999997E-2</v>
      </c>
      <c r="G2134" s="24"/>
      <c r="H2134" s="7">
        <f>SUM(H2126:H2127,H2129:H2132)*$F2134</f>
        <v>-31574.189299999998</v>
      </c>
      <c r="I2134" s="7">
        <f>SUM(I2126:I2127,I2129:I2132)*$F2134</f>
        <v>-40278.926599999999</v>
      </c>
      <c r="K2134" s="93" t="str">
        <f>$K$43</f>
        <v>TAA 1 (1/1/2021)</v>
      </c>
      <c r="L2134" s="23">
        <f>$L$1995</f>
        <v>-2.3900000000000001E-2</v>
      </c>
      <c r="M2134" s="24"/>
      <c r="N2134" s="7">
        <f>L2134*SUM(N2120:N2125)</f>
        <v>-28080.6358</v>
      </c>
      <c r="O2134" s="65"/>
      <c r="P2134" s="57"/>
    </row>
    <row r="2135" spans="1:17" x14ac:dyDescent="0.25">
      <c r="A2135" s="19"/>
      <c r="F2135" s="23"/>
      <c r="G2135" s="24"/>
      <c r="K2135" s="93" t="str">
        <f>$K$44</f>
        <v>TAA 2 (1/1/2022)</v>
      </c>
      <c r="L2135" s="23">
        <f>$L$1996</f>
        <v>-1.1900000000000001E-2</v>
      </c>
      <c r="M2135" s="24"/>
      <c r="N2135" s="7">
        <f>L2135*SUM(N2120:N2125)</f>
        <v>-13981.571800000002</v>
      </c>
      <c r="O2135" s="65"/>
      <c r="P2135" s="57"/>
    </row>
    <row r="2136" spans="1:17" ht="16.5" thickBot="1" x14ac:dyDescent="0.3">
      <c r="A2136" s="19" t="s">
        <v>36</v>
      </c>
      <c r="C2136" s="101">
        <v>9781479.7605254948</v>
      </c>
      <c r="D2136" s="101">
        <v>12398882.064506533</v>
      </c>
      <c r="F2136" s="41"/>
      <c r="H2136" s="95">
        <f>SUM(H2117:H2134)</f>
        <v>1026908.8107</v>
      </c>
      <c r="I2136" s="95">
        <f>SUM(I2117:I2134)</f>
        <v>1300307.0734000001</v>
      </c>
      <c r="K2136" s="41"/>
      <c r="L2136" s="41"/>
      <c r="M2136" s="24"/>
      <c r="N2136" s="40">
        <f>SUM(N2117:N2133)</f>
        <v>1298622</v>
      </c>
      <c r="O2136" s="68"/>
      <c r="P2136" s="57"/>
      <c r="Q2136" s="67"/>
    </row>
    <row r="2137" spans="1:17" ht="16.5" thickTop="1" x14ac:dyDescent="0.25"/>
    <row r="2138" spans="1:17" x14ac:dyDescent="0.25">
      <c r="A2138" s="15" t="s">
        <v>364</v>
      </c>
    </row>
    <row r="2139" spans="1:17" x14ac:dyDescent="0.25">
      <c r="A2139" s="19" t="s">
        <v>68</v>
      </c>
      <c r="C2139" s="6">
        <v>204.16800000000001</v>
      </c>
      <c r="D2139" s="6">
        <v>462</v>
      </c>
      <c r="F2139" s="24">
        <v>10</v>
      </c>
      <c r="G2139" s="24"/>
      <c r="H2139" s="7">
        <f t="shared" ref="H2139:I2150" si="314">ROUND($F2139*C2139,0)</f>
        <v>2042</v>
      </c>
      <c r="I2139" s="7">
        <f t="shared" si="314"/>
        <v>4620</v>
      </c>
      <c r="K2139" s="24"/>
      <c r="L2139" s="24">
        <f t="shared" ref="L2139:L2147" si="315">L2073</f>
        <v>10</v>
      </c>
      <c r="M2139" s="24"/>
      <c r="N2139" s="7">
        <f>ROUND($D2139*L2139,0)</f>
        <v>4620</v>
      </c>
      <c r="O2139" s="57"/>
      <c r="P2139" s="57"/>
    </row>
    <row r="2140" spans="1:17" x14ac:dyDescent="0.25">
      <c r="A2140" s="19" t="s">
        <v>79</v>
      </c>
      <c r="C2140" s="6">
        <v>0</v>
      </c>
      <c r="D2140" s="6">
        <v>0</v>
      </c>
      <c r="F2140" s="24">
        <v>120</v>
      </c>
      <c r="G2140" s="24"/>
      <c r="H2140" s="7">
        <f t="shared" si="314"/>
        <v>0</v>
      </c>
      <c r="I2140" s="7">
        <f t="shared" si="314"/>
        <v>0</v>
      </c>
      <c r="K2140" s="24"/>
      <c r="L2140" s="24">
        <f t="shared" si="315"/>
        <v>117</v>
      </c>
      <c r="M2140" s="24"/>
      <c r="N2140" s="7">
        <f>ROUND($D2140*L2140,0)</f>
        <v>0</v>
      </c>
      <c r="O2140" s="57"/>
      <c r="P2140" s="57"/>
    </row>
    <row r="2141" spans="1:17" x14ac:dyDescent="0.25">
      <c r="A2141" s="19" t="s">
        <v>80</v>
      </c>
      <c r="C2141" s="6">
        <v>0</v>
      </c>
      <c r="D2141" s="6">
        <v>0</v>
      </c>
      <c r="F2141" s="24">
        <v>10</v>
      </c>
      <c r="G2141" s="24"/>
      <c r="H2141" s="7">
        <f t="shared" si="314"/>
        <v>0</v>
      </c>
      <c r="I2141" s="7">
        <f t="shared" si="314"/>
        <v>0</v>
      </c>
      <c r="K2141" s="24"/>
      <c r="L2141" s="24">
        <f t="shared" si="315"/>
        <v>10</v>
      </c>
      <c r="M2141" s="24"/>
      <c r="N2141" s="7">
        <f>ROUND($D2141*L2141,0)</f>
        <v>0</v>
      </c>
      <c r="O2141" s="57"/>
      <c r="P2141" s="57"/>
    </row>
    <row r="2142" spans="1:17" x14ac:dyDescent="0.25">
      <c r="A2142" s="19" t="s">
        <v>346</v>
      </c>
      <c r="C2142" s="6">
        <v>123.79500655898235</v>
      </c>
      <c r="D2142" s="6">
        <v>317</v>
      </c>
      <c r="F2142" s="24"/>
      <c r="G2142" s="24"/>
      <c r="K2142" s="24"/>
      <c r="L2142" s="24">
        <f t="shared" si="315"/>
        <v>8.89</v>
      </c>
      <c r="M2142" s="24"/>
      <c r="N2142" s="7">
        <f>ROUND($D2142*L2142,0)</f>
        <v>2818</v>
      </c>
      <c r="O2142" s="57"/>
      <c r="P2142" s="57"/>
    </row>
    <row r="2143" spans="1:17" x14ac:dyDescent="0.25">
      <c r="A2143" s="19" t="s">
        <v>347</v>
      </c>
      <c r="C2143" s="6">
        <v>257.23907091095265</v>
      </c>
      <c r="D2143" s="6">
        <v>658</v>
      </c>
      <c r="F2143" s="24"/>
      <c r="G2143" s="24"/>
      <c r="K2143" s="24"/>
      <c r="L2143" s="24">
        <f t="shared" si="315"/>
        <v>7.87</v>
      </c>
      <c r="M2143" s="24"/>
      <c r="N2143" s="7">
        <f>ROUND($D2143*L2143,0)</f>
        <v>5178</v>
      </c>
      <c r="O2143" s="57"/>
      <c r="P2143" s="57"/>
    </row>
    <row r="2144" spans="1:17" x14ac:dyDescent="0.25">
      <c r="A2144" s="19" t="s">
        <v>348</v>
      </c>
      <c r="C2144" s="6">
        <v>18772.903584672436</v>
      </c>
      <c r="D2144" s="6">
        <v>59645.397899159638</v>
      </c>
      <c r="F2144" s="100"/>
      <c r="G2144" s="26"/>
      <c r="K2144" s="100"/>
      <c r="L2144" s="100">
        <f t="shared" si="315"/>
        <v>11.712</v>
      </c>
      <c r="M2144" s="26" t="s">
        <v>18</v>
      </c>
      <c r="N2144" s="7">
        <f>ROUND($D2144*L2144/100,0)</f>
        <v>6986</v>
      </c>
      <c r="O2144" s="207"/>
      <c r="P2144" s="59"/>
    </row>
    <row r="2145" spans="1:17" x14ac:dyDescent="0.25">
      <c r="A2145" s="19" t="s">
        <v>349</v>
      </c>
      <c r="C2145" s="6">
        <v>13037.670735475896</v>
      </c>
      <c r="D2145" s="6">
        <v>41424</v>
      </c>
      <c r="F2145" s="100"/>
      <c r="G2145" s="26"/>
      <c r="K2145" s="100"/>
      <c r="L2145" s="100">
        <f t="shared" si="315"/>
        <v>6.5567000000000002</v>
      </c>
      <c r="M2145" s="26" t="s">
        <v>18</v>
      </c>
      <c r="N2145" s="7">
        <f>ROUND($D2145*L2145/100,0)</f>
        <v>2716</v>
      </c>
      <c r="O2145" s="207"/>
      <c r="P2145" s="59"/>
    </row>
    <row r="2146" spans="1:17" x14ac:dyDescent="0.25">
      <c r="A2146" s="19" t="s">
        <v>350</v>
      </c>
      <c r="C2146" s="6">
        <v>78116.096415327571</v>
      </c>
      <c r="D2146" s="6">
        <v>185234</v>
      </c>
      <c r="F2146" s="100"/>
      <c r="G2146" s="26"/>
      <c r="K2146" s="100"/>
      <c r="L2146" s="100">
        <f t="shared" si="315"/>
        <v>10.364599999999999</v>
      </c>
      <c r="M2146" s="26" t="s">
        <v>18</v>
      </c>
      <c r="N2146" s="7">
        <f>ROUND($D2146*L2146/100,0)</f>
        <v>19199</v>
      </c>
      <c r="O2146" s="207"/>
      <c r="P2146" s="59"/>
    </row>
    <row r="2147" spans="1:17" x14ac:dyDescent="0.25">
      <c r="A2147" s="19" t="s">
        <v>351</v>
      </c>
      <c r="C2147" s="6">
        <v>67055.329264524102</v>
      </c>
      <c r="D2147" s="6">
        <v>159006</v>
      </c>
      <c r="F2147" s="100"/>
      <c r="G2147" s="26"/>
      <c r="K2147" s="100"/>
      <c r="L2147" s="100">
        <f t="shared" si="315"/>
        <v>5.8023999999999996</v>
      </c>
      <c r="M2147" s="26" t="s">
        <v>18</v>
      </c>
      <c r="N2147" s="7">
        <f>ROUND($D2147*L2147/100,0)</f>
        <v>9226</v>
      </c>
      <c r="O2147" s="207"/>
      <c r="P2147" s="59"/>
    </row>
    <row r="2148" spans="1:17" x14ac:dyDescent="0.25">
      <c r="A2148" s="19" t="s">
        <v>352</v>
      </c>
      <c r="C2148" s="6">
        <v>146.929479768786</v>
      </c>
      <c r="D2148" s="6">
        <v>376</v>
      </c>
      <c r="F2148" s="24">
        <v>8.65</v>
      </c>
      <c r="G2148" s="24"/>
      <c r="H2148" s="7">
        <f t="shared" si="314"/>
        <v>1271</v>
      </c>
      <c r="I2148" s="7">
        <f t="shared" si="314"/>
        <v>3252</v>
      </c>
      <c r="K2148" s="24"/>
      <c r="L2148" s="24"/>
      <c r="M2148" s="24"/>
      <c r="O2148" s="57"/>
      <c r="P2148" s="57"/>
    </row>
    <row r="2149" spans="1:17" x14ac:dyDescent="0.25">
      <c r="A2149" s="19" t="s">
        <v>353</v>
      </c>
      <c r="C2149" s="6">
        <v>234.104597701149</v>
      </c>
      <c r="D2149" s="6">
        <v>599</v>
      </c>
      <c r="F2149" s="24">
        <v>8.7000000000000011</v>
      </c>
      <c r="G2149" s="24"/>
      <c r="H2149" s="7">
        <f t="shared" si="314"/>
        <v>2037</v>
      </c>
      <c r="I2149" s="7">
        <f t="shared" si="314"/>
        <v>5211</v>
      </c>
      <c r="K2149" s="24"/>
      <c r="L2149" s="24"/>
      <c r="M2149" s="24"/>
      <c r="O2149" s="57"/>
      <c r="P2149" s="57"/>
    </row>
    <row r="2150" spans="1:17" x14ac:dyDescent="0.25">
      <c r="A2150" s="19" t="s">
        <v>77</v>
      </c>
      <c r="C2150" s="6">
        <v>0</v>
      </c>
      <c r="D2150" s="6">
        <v>0</v>
      </c>
      <c r="F2150" s="24">
        <v>-0.48</v>
      </c>
      <c r="G2150" s="24"/>
      <c r="H2150" s="7">
        <f t="shared" si="314"/>
        <v>0</v>
      </c>
      <c r="I2150" s="7">
        <f t="shared" si="314"/>
        <v>0</v>
      </c>
      <c r="K2150" s="24"/>
      <c r="L2150" s="24">
        <f>L2084</f>
        <v>-0.48</v>
      </c>
      <c r="M2150" s="24"/>
      <c r="N2150" s="7">
        <f>ROUND($D2150*L2150,0)</f>
        <v>0</v>
      </c>
      <c r="O2150" s="57"/>
      <c r="P2150" s="57"/>
    </row>
    <row r="2151" spans="1:17" x14ac:dyDescent="0.25">
      <c r="A2151" s="19" t="s">
        <v>354</v>
      </c>
      <c r="C2151" s="6">
        <v>23248</v>
      </c>
      <c r="D2151" s="6">
        <v>86160.397899159638</v>
      </c>
      <c r="F2151" s="99">
        <v>11.733599999999999</v>
      </c>
      <c r="G2151" s="26" t="s">
        <v>18</v>
      </c>
      <c r="H2151" s="7">
        <f t="shared" ref="H2151:I2154" si="316">ROUND($F2151*C2151/100,0)</f>
        <v>2728</v>
      </c>
      <c r="I2151" s="7">
        <f t="shared" si="316"/>
        <v>10110</v>
      </c>
      <c r="K2151" s="99"/>
      <c r="L2151" s="99"/>
      <c r="M2151" s="26"/>
      <c r="O2151" s="206"/>
      <c r="P2151" s="59"/>
    </row>
    <row r="2152" spans="1:17" x14ac:dyDescent="0.25">
      <c r="A2152" s="19" t="s">
        <v>355</v>
      </c>
      <c r="C2152" s="6">
        <v>14956</v>
      </c>
      <c r="D2152" s="6">
        <v>55430</v>
      </c>
      <c r="F2152" s="99">
        <v>6.5782999999999996</v>
      </c>
      <c r="G2152" s="26" t="s">
        <v>18</v>
      </c>
      <c r="H2152" s="7">
        <f t="shared" si="316"/>
        <v>984</v>
      </c>
      <c r="I2152" s="7">
        <f t="shared" si="316"/>
        <v>3646</v>
      </c>
      <c r="K2152" s="99"/>
      <c r="L2152" s="99"/>
      <c r="M2152" s="26"/>
      <c r="O2152" s="206"/>
      <c r="P2152" s="59"/>
    </row>
    <row r="2153" spans="1:17" x14ac:dyDescent="0.25">
      <c r="A2153" s="19" t="s">
        <v>356</v>
      </c>
      <c r="C2153" s="6">
        <v>73641</v>
      </c>
      <c r="D2153" s="6">
        <v>161165</v>
      </c>
      <c r="F2153" s="99">
        <v>10.8</v>
      </c>
      <c r="G2153" s="26" t="s">
        <v>18</v>
      </c>
      <c r="H2153" s="7">
        <f t="shared" si="316"/>
        <v>7953</v>
      </c>
      <c r="I2153" s="7">
        <f t="shared" si="316"/>
        <v>17406</v>
      </c>
      <c r="K2153" s="99"/>
      <c r="L2153" s="99"/>
      <c r="M2153" s="26"/>
      <c r="O2153" s="206"/>
      <c r="P2153" s="59"/>
    </row>
    <row r="2154" spans="1:17" x14ac:dyDescent="0.25">
      <c r="A2154" s="19" t="s">
        <v>357</v>
      </c>
      <c r="C2154" s="6">
        <v>65137</v>
      </c>
      <c r="D2154" s="6">
        <v>142554</v>
      </c>
      <c r="F2154" s="99">
        <v>6.0567000000000002</v>
      </c>
      <c r="G2154" s="26" t="s">
        <v>18</v>
      </c>
      <c r="H2154" s="7">
        <f t="shared" si="316"/>
        <v>3945</v>
      </c>
      <c r="I2154" s="7">
        <f t="shared" si="316"/>
        <v>8634</v>
      </c>
      <c r="K2154" s="99"/>
      <c r="L2154" s="99"/>
      <c r="M2154" s="26"/>
      <c r="O2154" s="206"/>
      <c r="P2154" s="59"/>
    </row>
    <row r="2155" spans="1:17" x14ac:dyDescent="0.25">
      <c r="A2155" s="19" t="s">
        <v>33</v>
      </c>
      <c r="C2155" s="36">
        <v>-2869</v>
      </c>
      <c r="D2155" s="36">
        <v>0</v>
      </c>
      <c r="H2155" s="37">
        <v>-309</v>
      </c>
      <c r="I2155" s="37">
        <v>0</v>
      </c>
      <c r="N2155" s="37">
        <v>0</v>
      </c>
      <c r="Q2155" s="64"/>
    </row>
    <row r="2156" spans="1:17" x14ac:dyDescent="0.25">
      <c r="A2156" s="19" t="s">
        <v>34</v>
      </c>
      <c r="F2156" s="23">
        <v>-3.3099999999999997E-2</v>
      </c>
      <c r="G2156" s="24"/>
      <c r="H2156" s="7">
        <f>SUM(H2148:H2149,H2151:H2154)*$F2156</f>
        <v>-626.18579999999997</v>
      </c>
      <c r="I2156" s="7">
        <f>SUM(I2148:I2149,I2151:I2154)*$F2156</f>
        <v>-1597.3728999999998</v>
      </c>
      <c r="K2156" s="93" t="str">
        <f>$K$43</f>
        <v>TAA 1 (1/1/2021)</v>
      </c>
      <c r="L2156" s="23">
        <f>$L$1995</f>
        <v>-2.3900000000000001E-2</v>
      </c>
      <c r="M2156" s="24"/>
      <c r="N2156" s="7">
        <f>L2156*SUM(N2142:N2147)</f>
        <v>-1102.3397</v>
      </c>
      <c r="O2156" s="65"/>
      <c r="P2156" s="57"/>
    </row>
    <row r="2157" spans="1:17" x14ac:dyDescent="0.25">
      <c r="A2157" s="19"/>
      <c r="F2157" s="23"/>
      <c r="G2157" s="24"/>
      <c r="K2157" s="93" t="str">
        <f>$K$44</f>
        <v>TAA 2 (1/1/2022)</v>
      </c>
      <c r="L2157" s="23">
        <f>$L$1996</f>
        <v>-1.1900000000000001E-2</v>
      </c>
      <c r="M2157" s="24"/>
      <c r="N2157" s="7">
        <f>L2157*SUM(N2142:N2147)</f>
        <v>-548.86369999999999</v>
      </c>
      <c r="O2157" s="65"/>
      <c r="P2157" s="57"/>
    </row>
    <row r="2158" spans="1:17" ht="16.5" thickBot="1" x14ac:dyDescent="0.3">
      <c r="A2158" s="19" t="s">
        <v>36</v>
      </c>
      <c r="C2158" s="101">
        <v>174113</v>
      </c>
      <c r="D2158" s="101">
        <v>445309.39789915964</v>
      </c>
      <c r="F2158" s="41"/>
      <c r="H2158" s="95">
        <f>SUM(H2139:H2156)</f>
        <v>20024.814200000001</v>
      </c>
      <c r="I2158" s="95">
        <f>SUM(I2139:I2156)</f>
        <v>51281.627099999998</v>
      </c>
      <c r="K2158" s="41"/>
      <c r="L2158" s="41"/>
      <c r="M2158" s="24"/>
      <c r="N2158" s="40">
        <f>SUM(N2139:N2155)</f>
        <v>50743</v>
      </c>
      <c r="O2158" s="68"/>
      <c r="P2158" s="57"/>
      <c r="Q2158" s="67"/>
    </row>
    <row r="2159" spans="1:17" ht="16.5" thickTop="1" x14ac:dyDescent="0.25"/>
    <row r="2160" spans="1:17" x14ac:dyDescent="0.25">
      <c r="A2160" s="15" t="s">
        <v>365</v>
      </c>
    </row>
    <row r="2161" spans="1:16" x14ac:dyDescent="0.25">
      <c r="A2161" s="19" t="s">
        <v>68</v>
      </c>
      <c r="C2161" s="6">
        <v>578.03800000000001</v>
      </c>
      <c r="D2161" s="6">
        <v>1546</v>
      </c>
      <c r="F2161" s="20">
        <v>10</v>
      </c>
      <c r="G2161" s="20"/>
      <c r="H2161" s="7">
        <f t="shared" ref="H2161:I2173" si="317">ROUND($F2161*C2161,0)</f>
        <v>5780</v>
      </c>
      <c r="I2161" s="7">
        <f t="shared" si="317"/>
        <v>15460</v>
      </c>
      <c r="K2161" s="24"/>
      <c r="L2161" s="24">
        <f>L2095</f>
        <v>10</v>
      </c>
      <c r="M2161" s="20"/>
      <c r="N2161" s="7">
        <f t="shared" ref="N2161:N2166" si="318">ROUND($D2161*L2161,0)</f>
        <v>15460</v>
      </c>
      <c r="O2161" s="57"/>
      <c r="P2161" s="55"/>
    </row>
    <row r="2162" spans="1:16" x14ac:dyDescent="0.25">
      <c r="A2162" s="19" t="s">
        <v>79</v>
      </c>
      <c r="C2162" s="6">
        <v>0</v>
      </c>
      <c r="D2162" s="6">
        <v>0</v>
      </c>
      <c r="F2162" s="20">
        <v>120</v>
      </c>
      <c r="G2162" s="20"/>
      <c r="H2162" s="7">
        <f t="shared" si="317"/>
        <v>0</v>
      </c>
      <c r="I2162" s="7">
        <f t="shared" si="317"/>
        <v>0</v>
      </c>
      <c r="K2162" s="24"/>
      <c r="L2162" s="24">
        <f t="shared" ref="L2162" si="319">L2096</f>
        <v>117</v>
      </c>
      <c r="M2162" s="20"/>
      <c r="N2162" s="7">
        <f t="shared" si="318"/>
        <v>0</v>
      </c>
      <c r="O2162" s="57"/>
      <c r="P2162" s="55"/>
    </row>
    <row r="2163" spans="1:16" x14ac:dyDescent="0.25">
      <c r="A2163" s="19" t="s">
        <v>12</v>
      </c>
      <c r="C2163" s="6">
        <v>139</v>
      </c>
      <c r="D2163" s="6">
        <v>393</v>
      </c>
      <c r="F2163" s="24">
        <v>2</v>
      </c>
      <c r="G2163" s="24"/>
      <c r="H2163" s="7">
        <f t="shared" si="317"/>
        <v>278</v>
      </c>
      <c r="I2163" s="7">
        <f t="shared" si="317"/>
        <v>786</v>
      </c>
      <c r="K2163" s="24"/>
      <c r="L2163" s="24">
        <f>F2163</f>
        <v>2</v>
      </c>
      <c r="M2163" s="24"/>
      <c r="N2163" s="7">
        <f t="shared" si="318"/>
        <v>786</v>
      </c>
      <c r="O2163" s="57"/>
      <c r="P2163" s="57"/>
    </row>
    <row r="2164" spans="1:16" x14ac:dyDescent="0.25">
      <c r="A2164" s="19" t="s">
        <v>80</v>
      </c>
      <c r="C2164" s="6">
        <v>0</v>
      </c>
      <c r="D2164" s="6">
        <v>0</v>
      </c>
      <c r="F2164" s="20">
        <v>10</v>
      </c>
      <c r="G2164" s="20"/>
      <c r="H2164" s="7">
        <f t="shared" si="317"/>
        <v>0</v>
      </c>
      <c r="I2164" s="7">
        <f t="shared" si="317"/>
        <v>0</v>
      </c>
      <c r="K2164" s="24"/>
      <c r="L2164" s="24">
        <f t="shared" ref="L2164:L2170" si="320">L2097</f>
        <v>10</v>
      </c>
      <c r="M2164" s="20"/>
      <c r="N2164" s="7">
        <f t="shared" si="318"/>
        <v>0</v>
      </c>
      <c r="O2164" s="57"/>
      <c r="P2164" s="55"/>
    </row>
    <row r="2165" spans="1:16" x14ac:dyDescent="0.25">
      <c r="A2165" s="19" t="s">
        <v>346</v>
      </c>
      <c r="C2165" s="6">
        <v>495.28811594685055</v>
      </c>
      <c r="D2165" s="6">
        <v>552</v>
      </c>
      <c r="F2165" s="24"/>
      <c r="G2165" s="24"/>
      <c r="K2165" s="24"/>
      <c r="L2165" s="24">
        <f t="shared" si="320"/>
        <v>8.89</v>
      </c>
      <c r="M2165" s="24"/>
      <c r="N2165" s="7">
        <f t="shared" si="318"/>
        <v>4907</v>
      </c>
      <c r="O2165" s="57"/>
      <c r="P2165" s="57"/>
    </row>
    <row r="2166" spans="1:16" x14ac:dyDescent="0.25">
      <c r="A2166" s="19" t="s">
        <v>347</v>
      </c>
      <c r="C2166" s="6">
        <v>881.54837332296552</v>
      </c>
      <c r="D2166" s="6">
        <v>982</v>
      </c>
      <c r="F2166" s="24"/>
      <c r="G2166" s="24"/>
      <c r="K2166" s="100"/>
      <c r="L2166" s="100">
        <f t="shared" si="320"/>
        <v>7.87</v>
      </c>
      <c r="M2166" s="24"/>
      <c r="N2166" s="7">
        <f t="shared" si="318"/>
        <v>7728</v>
      </c>
      <c r="O2166" s="207"/>
      <c r="P2166" s="57"/>
    </row>
    <row r="2167" spans="1:16" x14ac:dyDescent="0.25">
      <c r="A2167" s="19" t="s">
        <v>348</v>
      </c>
      <c r="C2167" s="6">
        <v>222037.79750537846</v>
      </c>
      <c r="D2167" s="6">
        <v>228752.11425782187</v>
      </c>
      <c r="F2167" s="100"/>
      <c r="G2167" s="26"/>
      <c r="K2167" s="100"/>
      <c r="L2167" s="100">
        <f t="shared" si="320"/>
        <v>11.712</v>
      </c>
      <c r="M2167" s="26" t="s">
        <v>18</v>
      </c>
      <c r="N2167" s="7">
        <f>ROUND($D2167*L2167/100,0)</f>
        <v>26791</v>
      </c>
      <c r="O2167" s="207"/>
      <c r="P2167" s="59"/>
    </row>
    <row r="2168" spans="1:16" x14ac:dyDescent="0.25">
      <c r="A2168" s="19" t="s">
        <v>349</v>
      </c>
      <c r="C2168" s="6">
        <v>215087.16967548401</v>
      </c>
      <c r="D2168" s="6">
        <v>234472</v>
      </c>
      <c r="F2168" s="100"/>
      <c r="G2168" s="26"/>
      <c r="K2168" s="100"/>
      <c r="L2168" s="100">
        <f t="shared" si="320"/>
        <v>6.5567000000000002</v>
      </c>
      <c r="M2168" s="26" t="s">
        <v>18</v>
      </c>
      <c r="N2168" s="7">
        <f>ROUND($D2168*L2168/100,0)</f>
        <v>15374</v>
      </c>
      <c r="O2168" s="207"/>
      <c r="P2168" s="59"/>
    </row>
    <row r="2169" spans="1:16" x14ac:dyDescent="0.25">
      <c r="A2169" s="19" t="s">
        <v>350</v>
      </c>
      <c r="C2169" s="6">
        <v>330553.85154286353</v>
      </c>
      <c r="D2169" s="6">
        <v>417772</v>
      </c>
      <c r="F2169" s="100"/>
      <c r="G2169" s="26"/>
      <c r="K2169" s="100"/>
      <c r="L2169" s="100">
        <f t="shared" si="320"/>
        <v>10.364599999999999</v>
      </c>
      <c r="M2169" s="26" t="s">
        <v>18</v>
      </c>
      <c r="N2169" s="7">
        <f>ROUND($D2169*L2169/100,0)</f>
        <v>43300</v>
      </c>
      <c r="O2169" s="207"/>
      <c r="P2169" s="59"/>
    </row>
    <row r="2170" spans="1:16" x14ac:dyDescent="0.25">
      <c r="A2170" s="19" t="s">
        <v>351</v>
      </c>
      <c r="C2170" s="6">
        <v>526375.08441298595</v>
      </c>
      <c r="D2170" s="6">
        <v>648715</v>
      </c>
      <c r="F2170" s="100"/>
      <c r="G2170" s="26"/>
      <c r="K2170" s="100"/>
      <c r="L2170" s="100">
        <f t="shared" si="320"/>
        <v>5.8023999999999996</v>
      </c>
      <c r="M2170" s="26" t="s">
        <v>18</v>
      </c>
      <c r="N2170" s="7">
        <f>ROUND($D2170*L2170/100,0)</f>
        <v>37641</v>
      </c>
      <c r="O2170" s="207"/>
      <c r="P2170" s="59"/>
    </row>
    <row r="2171" spans="1:16" x14ac:dyDescent="0.25">
      <c r="A2171" s="19" t="s">
        <v>352</v>
      </c>
      <c r="C2171" s="6">
        <v>685.14913294797702</v>
      </c>
      <c r="D2171" s="6">
        <v>761</v>
      </c>
      <c r="F2171" s="20">
        <v>8.65</v>
      </c>
      <c r="G2171" s="20"/>
      <c r="H2171" s="7">
        <f t="shared" si="317"/>
        <v>5927</v>
      </c>
      <c r="I2171" s="7">
        <f t="shared" si="317"/>
        <v>6583</v>
      </c>
      <c r="K2171" s="24"/>
      <c r="L2171" s="24"/>
      <c r="M2171" s="20"/>
      <c r="O2171" s="57"/>
      <c r="P2171" s="55"/>
    </row>
    <row r="2172" spans="1:16" x14ac:dyDescent="0.25">
      <c r="A2172" s="19" t="s">
        <v>353</v>
      </c>
      <c r="C2172" s="6">
        <v>691.68735632183905</v>
      </c>
      <c r="D2172" s="6">
        <v>773</v>
      </c>
      <c r="F2172" s="20">
        <v>8.7000000000000011</v>
      </c>
      <c r="G2172" s="20"/>
      <c r="H2172" s="7">
        <f t="shared" si="317"/>
        <v>6018</v>
      </c>
      <c r="I2172" s="7">
        <f t="shared" si="317"/>
        <v>6725</v>
      </c>
      <c r="K2172" s="24"/>
      <c r="L2172" s="24"/>
      <c r="M2172" s="20"/>
      <c r="O2172" s="57"/>
      <c r="P2172" s="55"/>
    </row>
    <row r="2173" spans="1:16" x14ac:dyDescent="0.25">
      <c r="A2173" s="19" t="s">
        <v>77</v>
      </c>
      <c r="C2173" s="6">
        <v>0</v>
      </c>
      <c r="D2173" s="6">
        <v>0</v>
      </c>
      <c r="F2173" s="20">
        <v>-0.48</v>
      </c>
      <c r="G2173" s="20"/>
      <c r="H2173" s="7">
        <f t="shared" si="317"/>
        <v>0</v>
      </c>
      <c r="I2173" s="7">
        <f t="shared" si="317"/>
        <v>0</v>
      </c>
      <c r="K2173" s="20"/>
      <c r="L2173" s="20">
        <f t="shared" ref="L2173" si="321">L2106</f>
        <v>-0.48</v>
      </c>
      <c r="M2173" s="20"/>
      <c r="N2173" s="7">
        <f>ROUND($D2173*L2173,0)</f>
        <v>0</v>
      </c>
      <c r="O2173" s="55"/>
      <c r="P2173" s="55"/>
    </row>
    <row r="2174" spans="1:16" x14ac:dyDescent="0.25">
      <c r="A2174" s="19" t="s">
        <v>354</v>
      </c>
      <c r="C2174" s="6">
        <v>250152.48652283178</v>
      </c>
      <c r="D2174" s="6">
        <v>239106.11425782187</v>
      </c>
      <c r="F2174" s="30">
        <v>11.733599999999999</v>
      </c>
      <c r="G2174" s="26" t="s">
        <v>18</v>
      </c>
      <c r="H2174" s="7">
        <f t="shared" ref="H2174:I2177" si="322">ROUND($F2174*C2174/100,0)</f>
        <v>29352</v>
      </c>
      <c r="I2174" s="7">
        <f t="shared" si="322"/>
        <v>28056</v>
      </c>
      <c r="K2174" s="30"/>
      <c r="L2174" s="30"/>
      <c r="M2174" s="26"/>
      <c r="O2174" s="61"/>
      <c r="P2174" s="59"/>
    </row>
    <row r="2175" spans="1:16" x14ac:dyDescent="0.25">
      <c r="A2175" s="19" t="s">
        <v>355</v>
      </c>
      <c r="C2175" s="6">
        <v>311137.78789295233</v>
      </c>
      <c r="D2175" s="6">
        <v>308302</v>
      </c>
      <c r="F2175" s="30">
        <v>6.5782999999999996</v>
      </c>
      <c r="G2175" s="26" t="s">
        <v>18</v>
      </c>
      <c r="H2175" s="7">
        <f t="shared" si="322"/>
        <v>20468</v>
      </c>
      <c r="I2175" s="7">
        <f t="shared" si="322"/>
        <v>20281</v>
      </c>
      <c r="K2175" s="30"/>
      <c r="L2175" s="30"/>
      <c r="M2175" s="26"/>
      <c r="O2175" s="61"/>
      <c r="P2175" s="59"/>
    </row>
    <row r="2176" spans="1:16" x14ac:dyDescent="0.25">
      <c r="A2176" s="19" t="s">
        <v>356</v>
      </c>
      <c r="C2176" s="6">
        <v>302439.1625254103</v>
      </c>
      <c r="D2176" s="6">
        <v>409460</v>
      </c>
      <c r="F2176" s="30">
        <v>10.8</v>
      </c>
      <c r="G2176" s="26" t="s">
        <v>18</v>
      </c>
      <c r="H2176" s="7">
        <f t="shared" si="322"/>
        <v>32663</v>
      </c>
      <c r="I2176" s="7">
        <f t="shared" si="322"/>
        <v>44222</v>
      </c>
      <c r="K2176" s="30"/>
      <c r="L2176" s="30"/>
      <c r="M2176" s="26"/>
      <c r="O2176" s="61"/>
      <c r="P2176" s="59"/>
    </row>
    <row r="2177" spans="1:17" x14ac:dyDescent="0.25">
      <c r="A2177" s="19" t="s">
        <v>357</v>
      </c>
      <c r="C2177" s="6">
        <v>430324.46619551769</v>
      </c>
      <c r="D2177" s="6">
        <v>572843</v>
      </c>
      <c r="F2177" s="30">
        <v>6.0567000000000002</v>
      </c>
      <c r="G2177" s="26" t="s">
        <v>18</v>
      </c>
      <c r="H2177" s="7">
        <f t="shared" si="322"/>
        <v>26063</v>
      </c>
      <c r="I2177" s="7">
        <f t="shared" si="322"/>
        <v>34695</v>
      </c>
      <c r="K2177" s="30"/>
      <c r="L2177" s="30"/>
      <c r="M2177" s="26"/>
      <c r="O2177" s="61"/>
      <c r="P2177" s="59"/>
    </row>
    <row r="2178" spans="1:17" x14ac:dyDescent="0.25">
      <c r="A2178" s="19" t="s">
        <v>33</v>
      </c>
      <c r="C2178" s="36">
        <v>6915</v>
      </c>
      <c r="D2178" s="36">
        <v>0</v>
      </c>
      <c r="H2178" s="141">
        <f>H2201+H2224</f>
        <v>727</v>
      </c>
      <c r="I2178" s="141">
        <f t="shared" ref="I2178" si="323">I2201+I2224</f>
        <v>0</v>
      </c>
      <c r="N2178" s="141">
        <f t="shared" ref="N2178" si="324">N2201+N2224</f>
        <v>0</v>
      </c>
      <c r="Q2178" s="224"/>
    </row>
    <row r="2179" spans="1:17" x14ac:dyDescent="0.25">
      <c r="A2179" s="19" t="s">
        <v>34</v>
      </c>
      <c r="F2179" s="23">
        <v>-3.3099999999999997E-2</v>
      </c>
      <c r="G2179" s="24"/>
      <c r="H2179" s="7">
        <f>SUM(H2171:H2172,H2174:H2177)*$F2179</f>
        <v>-3988.2520999999997</v>
      </c>
      <c r="I2179" s="7">
        <f>SUM(I2171:I2172,I2174:I2177)*$F2179</f>
        <v>-4652.6021999999994</v>
      </c>
      <c r="K2179" s="93" t="str">
        <f>$K$43</f>
        <v>TAA 1 (1/1/2021)</v>
      </c>
      <c r="L2179" s="23">
        <f>$L$1995</f>
        <v>-2.3900000000000001E-2</v>
      </c>
      <c r="M2179" s="24"/>
      <c r="N2179" s="7">
        <f>L2179*SUM(N2165:N2170)</f>
        <v>-3244.2099000000003</v>
      </c>
      <c r="O2179" s="65"/>
      <c r="P2179" s="57"/>
    </row>
    <row r="2180" spans="1:17" x14ac:dyDescent="0.25">
      <c r="A2180" s="19"/>
      <c r="F2180" s="23"/>
      <c r="G2180" s="24"/>
      <c r="K2180" s="93" t="str">
        <f>$K$44</f>
        <v>TAA 2 (1/1/2022)</v>
      </c>
      <c r="L2180" s="23">
        <f>$L$1996</f>
        <v>-1.1900000000000001E-2</v>
      </c>
      <c r="M2180" s="24"/>
      <c r="N2180" s="7">
        <f>L2180*SUM(N2165:N2170)</f>
        <v>-1615.3179</v>
      </c>
      <c r="O2180" s="65"/>
      <c r="P2180" s="57"/>
    </row>
    <row r="2181" spans="1:17" ht="16.5" thickBot="1" x14ac:dyDescent="0.3">
      <c r="A2181" s="19" t="s">
        <v>36</v>
      </c>
      <c r="C2181" s="101">
        <v>1300968.903136712</v>
      </c>
      <c r="D2181" s="101">
        <v>1529711.1142578218</v>
      </c>
      <c r="F2181" s="41"/>
      <c r="H2181" s="95">
        <f>SUM(H2161:H2179)</f>
        <v>123287.7479</v>
      </c>
      <c r="I2181" s="95">
        <f>SUM(I2161:I2179)</f>
        <v>152155.39780000001</v>
      </c>
      <c r="K2181" s="41"/>
      <c r="L2181" s="41"/>
      <c r="M2181" s="24"/>
      <c r="N2181" s="40">
        <f>SUM(N2161:N2178)</f>
        <v>151987</v>
      </c>
      <c r="O2181" s="68"/>
      <c r="P2181" s="57"/>
      <c r="Q2181" s="67"/>
    </row>
    <row r="2182" spans="1:17" ht="16.5" thickTop="1" x14ac:dyDescent="0.25"/>
    <row r="2183" spans="1:17" x14ac:dyDescent="0.25">
      <c r="A2183" s="15" t="s">
        <v>366</v>
      </c>
    </row>
    <row r="2184" spans="1:17" x14ac:dyDescent="0.25">
      <c r="A2184" s="19" t="s">
        <v>68</v>
      </c>
      <c r="C2184" s="6">
        <v>80.8</v>
      </c>
      <c r="D2184" s="6">
        <v>322</v>
      </c>
      <c r="F2184" s="24">
        <v>10</v>
      </c>
      <c r="G2184" s="24"/>
      <c r="H2184" s="7">
        <f t="shared" ref="H2184:I2196" si="325">ROUND($F2184*C2184,0)</f>
        <v>808</v>
      </c>
      <c r="I2184" s="7">
        <f t="shared" si="325"/>
        <v>3220</v>
      </c>
      <c r="K2184" s="24"/>
      <c r="L2184" s="24">
        <f t="shared" ref="L2184:L2193" si="326">L2161</f>
        <v>10</v>
      </c>
      <c r="M2184" s="24"/>
      <c r="N2184" s="7">
        <f t="shared" ref="N2184:N2189" si="327">ROUND($D2184*L2184,0)</f>
        <v>3220</v>
      </c>
      <c r="O2184" s="57"/>
      <c r="P2184" s="57"/>
    </row>
    <row r="2185" spans="1:17" x14ac:dyDescent="0.25">
      <c r="A2185" s="19" t="s">
        <v>79</v>
      </c>
      <c r="C2185" s="6">
        <v>0</v>
      </c>
      <c r="D2185" s="6">
        <v>0</v>
      </c>
      <c r="F2185" s="24">
        <v>120</v>
      </c>
      <c r="G2185" s="24"/>
      <c r="H2185" s="7">
        <f t="shared" si="325"/>
        <v>0</v>
      </c>
      <c r="I2185" s="7">
        <f t="shared" si="325"/>
        <v>0</v>
      </c>
      <c r="K2185" s="24"/>
      <c r="L2185" s="24">
        <f t="shared" si="326"/>
        <v>117</v>
      </c>
      <c r="M2185" s="24"/>
      <c r="N2185" s="7">
        <f t="shared" si="327"/>
        <v>0</v>
      </c>
      <c r="O2185" s="57"/>
      <c r="P2185" s="57"/>
    </row>
    <row r="2186" spans="1:17" x14ac:dyDescent="0.25">
      <c r="A2186" s="19" t="s">
        <v>12</v>
      </c>
      <c r="C2186" s="6">
        <v>34</v>
      </c>
      <c r="D2186" s="6">
        <v>135</v>
      </c>
      <c r="F2186" s="24">
        <v>2</v>
      </c>
      <c r="G2186" s="24"/>
      <c r="H2186" s="7">
        <f t="shared" si="325"/>
        <v>68</v>
      </c>
      <c r="I2186" s="7">
        <f t="shared" si="325"/>
        <v>270</v>
      </c>
      <c r="K2186" s="24"/>
      <c r="L2186" s="24">
        <f t="shared" si="326"/>
        <v>2</v>
      </c>
      <c r="M2186" s="24"/>
      <c r="N2186" s="7">
        <f t="shared" si="327"/>
        <v>270</v>
      </c>
      <c r="O2186" s="57"/>
      <c r="P2186" s="57"/>
    </row>
    <row r="2187" spans="1:17" x14ac:dyDescent="0.25">
      <c r="A2187" s="19" t="s">
        <v>80</v>
      </c>
      <c r="C2187" s="6">
        <v>0</v>
      </c>
      <c r="D2187" s="6">
        <v>0</v>
      </c>
      <c r="F2187" s="24">
        <v>10</v>
      </c>
      <c r="G2187" s="24"/>
      <c r="H2187" s="7">
        <f t="shared" si="325"/>
        <v>0</v>
      </c>
      <c r="I2187" s="7">
        <f t="shared" si="325"/>
        <v>0</v>
      </c>
      <c r="K2187" s="24"/>
      <c r="L2187" s="24">
        <f t="shared" si="326"/>
        <v>10</v>
      </c>
      <c r="M2187" s="24"/>
      <c r="N2187" s="7">
        <f t="shared" si="327"/>
        <v>0</v>
      </c>
      <c r="O2187" s="57"/>
      <c r="P2187" s="57"/>
    </row>
    <row r="2188" spans="1:17" x14ac:dyDescent="0.25">
      <c r="A2188" s="19" t="s">
        <v>346</v>
      </c>
      <c r="C2188" s="6">
        <v>26</v>
      </c>
      <c r="D2188" s="6">
        <v>54</v>
      </c>
      <c r="F2188" s="24"/>
      <c r="G2188" s="24"/>
      <c r="K2188" s="24"/>
      <c r="L2188" s="24">
        <f t="shared" si="326"/>
        <v>8.89</v>
      </c>
      <c r="M2188" s="24"/>
      <c r="N2188" s="7">
        <f t="shared" si="327"/>
        <v>480</v>
      </c>
      <c r="O2188" s="57"/>
      <c r="P2188" s="57"/>
    </row>
    <row r="2189" spans="1:17" x14ac:dyDescent="0.25">
      <c r="A2189" s="19" t="s">
        <v>347</v>
      </c>
      <c r="C2189" s="6">
        <v>45</v>
      </c>
      <c r="D2189" s="6">
        <v>94</v>
      </c>
      <c r="F2189" s="24"/>
      <c r="G2189" s="24"/>
      <c r="K2189" s="24"/>
      <c r="L2189" s="24">
        <f t="shared" si="326"/>
        <v>7.87</v>
      </c>
      <c r="M2189" s="24"/>
      <c r="N2189" s="7">
        <f t="shared" si="327"/>
        <v>740</v>
      </c>
      <c r="O2189" s="57"/>
      <c r="P2189" s="57"/>
    </row>
    <row r="2190" spans="1:17" x14ac:dyDescent="0.25">
      <c r="A2190" s="19" t="s">
        <v>348</v>
      </c>
      <c r="C2190" s="6">
        <v>20901.987155416205</v>
      </c>
      <c r="D2190" s="6">
        <v>37926.333333333314</v>
      </c>
      <c r="F2190" s="100"/>
      <c r="G2190" s="26"/>
      <c r="K2190" s="100"/>
      <c r="L2190" s="100">
        <f t="shared" si="326"/>
        <v>11.712</v>
      </c>
      <c r="M2190" s="26" t="s">
        <v>18</v>
      </c>
      <c r="N2190" s="7">
        <f>ROUND($D2190*L2190/100,0)</f>
        <v>4442</v>
      </c>
      <c r="O2190" s="207"/>
      <c r="P2190" s="59"/>
    </row>
    <row r="2191" spans="1:17" x14ac:dyDescent="0.25">
      <c r="A2191" s="19" t="s">
        <v>349</v>
      </c>
      <c r="C2191" s="6">
        <v>35127.494916347903</v>
      </c>
      <c r="D2191" s="6">
        <v>63738</v>
      </c>
      <c r="F2191" s="100"/>
      <c r="G2191" s="26"/>
      <c r="K2191" s="100"/>
      <c r="L2191" s="100">
        <f t="shared" si="326"/>
        <v>6.5567000000000002</v>
      </c>
      <c r="M2191" s="26" t="s">
        <v>18</v>
      </c>
      <c r="N2191" s="7">
        <f>ROUND($D2191*L2191/100,0)</f>
        <v>4179</v>
      </c>
      <c r="O2191" s="207"/>
      <c r="P2191" s="59"/>
    </row>
    <row r="2192" spans="1:17" x14ac:dyDescent="0.25">
      <c r="A2192" s="19" t="s">
        <v>350</v>
      </c>
      <c r="C2192" s="6">
        <v>39524.867974118919</v>
      </c>
      <c r="D2192" s="6">
        <v>90285</v>
      </c>
      <c r="F2192" s="100"/>
      <c r="G2192" s="26"/>
      <c r="K2192" s="100"/>
      <c r="L2192" s="100">
        <f t="shared" si="326"/>
        <v>10.364599999999999</v>
      </c>
      <c r="M2192" s="26" t="s">
        <v>18</v>
      </c>
      <c r="N2192" s="7">
        <f>ROUND($D2192*L2192/100,0)</f>
        <v>9358</v>
      </c>
      <c r="O2192" s="207"/>
      <c r="P2192" s="59"/>
    </row>
    <row r="2193" spans="1:17" x14ac:dyDescent="0.25">
      <c r="A2193" s="19" t="s">
        <v>351</v>
      </c>
      <c r="C2193" s="6">
        <v>48663.65053124704</v>
      </c>
      <c r="D2193" s="6">
        <v>111160</v>
      </c>
      <c r="F2193" s="100"/>
      <c r="G2193" s="26"/>
      <c r="K2193" s="100"/>
      <c r="L2193" s="100">
        <f t="shared" si="326"/>
        <v>5.8023999999999996</v>
      </c>
      <c r="M2193" s="26" t="s">
        <v>18</v>
      </c>
      <c r="N2193" s="7">
        <f>ROUND($D2193*L2193/100,0)</f>
        <v>6450</v>
      </c>
      <c r="O2193" s="207"/>
      <c r="P2193" s="59"/>
    </row>
    <row r="2194" spans="1:17" x14ac:dyDescent="0.25">
      <c r="A2194" s="19" t="s">
        <v>352</v>
      </c>
      <c r="C2194" s="6">
        <v>33</v>
      </c>
      <c r="D2194" s="6">
        <v>69</v>
      </c>
      <c r="F2194" s="24">
        <v>8.65</v>
      </c>
      <c r="G2194" s="24"/>
      <c r="H2194" s="7">
        <f t="shared" si="325"/>
        <v>285</v>
      </c>
      <c r="I2194" s="7">
        <f t="shared" si="325"/>
        <v>597</v>
      </c>
      <c r="K2194" s="24"/>
      <c r="L2194" s="24"/>
      <c r="M2194" s="24"/>
      <c r="O2194" s="57"/>
      <c r="P2194" s="57"/>
    </row>
    <row r="2195" spans="1:17" x14ac:dyDescent="0.25">
      <c r="A2195" s="19" t="s">
        <v>353</v>
      </c>
      <c r="C2195" s="6">
        <v>38</v>
      </c>
      <c r="D2195" s="6">
        <v>79</v>
      </c>
      <c r="F2195" s="24">
        <v>8.7000000000000011</v>
      </c>
      <c r="G2195" s="24"/>
      <c r="H2195" s="7">
        <f t="shared" si="325"/>
        <v>331</v>
      </c>
      <c r="I2195" s="7">
        <f t="shared" si="325"/>
        <v>687</v>
      </c>
      <c r="K2195" s="24"/>
      <c r="L2195" s="24"/>
      <c r="M2195" s="24"/>
      <c r="O2195" s="57"/>
      <c r="P2195" s="57"/>
    </row>
    <row r="2196" spans="1:17" x14ac:dyDescent="0.25">
      <c r="A2196" s="19" t="s">
        <v>77</v>
      </c>
      <c r="C2196" s="6">
        <v>0</v>
      </c>
      <c r="D2196" s="6">
        <v>0</v>
      </c>
      <c r="F2196" s="24">
        <v>-0.48</v>
      </c>
      <c r="G2196" s="24"/>
      <c r="H2196" s="7">
        <f t="shared" si="325"/>
        <v>0</v>
      </c>
      <c r="I2196" s="7">
        <f t="shared" si="325"/>
        <v>0</v>
      </c>
      <c r="K2196" s="24"/>
      <c r="L2196" s="24">
        <f>L2173</f>
        <v>-0.48</v>
      </c>
      <c r="M2196" s="24"/>
      <c r="N2196" s="7">
        <f>ROUND($D2196*L2196,0)</f>
        <v>0</v>
      </c>
      <c r="O2196" s="57"/>
      <c r="P2196" s="57"/>
    </row>
    <row r="2197" spans="1:17" x14ac:dyDescent="0.25">
      <c r="A2197" s="19" t="s">
        <v>354</v>
      </c>
      <c r="C2197" s="6">
        <v>25924.992708098362</v>
      </c>
      <c r="D2197" s="6">
        <v>47537.333333333314</v>
      </c>
      <c r="F2197" s="100">
        <v>11.733599999999999</v>
      </c>
      <c r="G2197" s="26" t="s">
        <v>18</v>
      </c>
      <c r="H2197" s="7">
        <f t="shared" ref="H2197:I2200" si="328">ROUND($F2197*C2197/100,0)</f>
        <v>3042</v>
      </c>
      <c r="I2197" s="7">
        <f t="shared" si="328"/>
        <v>5578</v>
      </c>
      <c r="K2197" s="100"/>
      <c r="L2197" s="100"/>
      <c r="M2197" s="26"/>
      <c r="O2197" s="207"/>
      <c r="P2197" s="59"/>
    </row>
    <row r="2198" spans="1:17" x14ac:dyDescent="0.25">
      <c r="A2198" s="19" t="s">
        <v>355</v>
      </c>
      <c r="C2198" s="6">
        <v>43379.4482922647</v>
      </c>
      <c r="D2198" s="6">
        <v>79543</v>
      </c>
      <c r="F2198" s="100">
        <v>6.5782999999999996</v>
      </c>
      <c r="G2198" s="26" t="s">
        <v>18</v>
      </c>
      <c r="H2198" s="7">
        <f t="shared" si="328"/>
        <v>2854</v>
      </c>
      <c r="I2198" s="7">
        <f t="shared" si="328"/>
        <v>5233</v>
      </c>
      <c r="K2198" s="100"/>
      <c r="L2198" s="100"/>
      <c r="M2198" s="26"/>
      <c r="O2198" s="207"/>
      <c r="P2198" s="59"/>
    </row>
    <row r="2199" spans="1:17" x14ac:dyDescent="0.25">
      <c r="A2199" s="19" t="s">
        <v>356</v>
      </c>
      <c r="C2199" s="6">
        <v>34501.862421436766</v>
      </c>
      <c r="D2199" s="6">
        <v>81071</v>
      </c>
      <c r="F2199" s="100">
        <v>10.8</v>
      </c>
      <c r="G2199" s="26" t="s">
        <v>18</v>
      </c>
      <c r="H2199" s="7">
        <f t="shared" si="328"/>
        <v>3726</v>
      </c>
      <c r="I2199" s="7">
        <f t="shared" si="328"/>
        <v>8756</v>
      </c>
      <c r="K2199" s="100"/>
      <c r="L2199" s="100"/>
      <c r="M2199" s="26"/>
      <c r="O2199" s="207"/>
      <c r="P2199" s="59"/>
    </row>
    <row r="2200" spans="1:17" x14ac:dyDescent="0.25">
      <c r="A2200" s="19" t="s">
        <v>357</v>
      </c>
      <c r="C2200" s="6">
        <v>40411.697155330243</v>
      </c>
      <c r="D2200" s="6">
        <v>94958</v>
      </c>
      <c r="F2200" s="100">
        <v>6.0567000000000002</v>
      </c>
      <c r="G2200" s="26" t="s">
        <v>18</v>
      </c>
      <c r="H2200" s="7">
        <f t="shared" si="328"/>
        <v>2448</v>
      </c>
      <c r="I2200" s="7">
        <f t="shared" si="328"/>
        <v>5751</v>
      </c>
      <c r="K2200" s="100"/>
      <c r="L2200" s="100"/>
      <c r="M2200" s="26"/>
      <c r="O2200" s="207"/>
      <c r="P2200" s="59"/>
    </row>
    <row r="2201" spans="1:17" x14ac:dyDescent="0.25">
      <c r="A2201" s="19" t="s">
        <v>33</v>
      </c>
      <c r="C2201" s="36">
        <v>818</v>
      </c>
      <c r="D2201" s="36">
        <v>0</v>
      </c>
      <c r="H2201" s="37">
        <v>81</v>
      </c>
      <c r="I2201" s="37">
        <v>0</v>
      </c>
      <c r="N2201" s="37">
        <v>0</v>
      </c>
      <c r="Q2201" s="64"/>
    </row>
    <row r="2202" spans="1:17" x14ac:dyDescent="0.25">
      <c r="A2202" s="19" t="s">
        <v>34</v>
      </c>
      <c r="F2202" s="23">
        <v>-3.3099999999999997E-2</v>
      </c>
      <c r="G2202" s="24"/>
      <c r="H2202" s="7">
        <f>SUM(H2194:H2195,H2197:H2200)*$F2202</f>
        <v>-419.90659999999997</v>
      </c>
      <c r="I2202" s="7">
        <f>SUM(I2194:I2195,I2197:I2200)*$F2202</f>
        <v>-880.5261999999999</v>
      </c>
      <c r="K2202" s="93" t="str">
        <f>$K$43</f>
        <v>TAA 1 (1/1/2021)</v>
      </c>
      <c r="L2202" s="23">
        <f>$L$1995</f>
        <v>-2.3900000000000001E-2</v>
      </c>
      <c r="M2202" s="24"/>
      <c r="N2202" s="7">
        <f>L2202*SUM(N2188:N2193)</f>
        <v>-613.01110000000006</v>
      </c>
      <c r="O2202" s="65"/>
      <c r="P2202" s="57"/>
    </row>
    <row r="2203" spans="1:17" x14ac:dyDescent="0.25">
      <c r="A2203" s="19"/>
      <c r="F2203" s="23"/>
      <c r="G2203" s="24"/>
      <c r="K2203" s="93" t="str">
        <f>$K$44</f>
        <v>TAA 2 (1/1/2022)</v>
      </c>
      <c r="L2203" s="23">
        <f>$L$1996</f>
        <v>-1.1900000000000001E-2</v>
      </c>
      <c r="M2203" s="24"/>
      <c r="N2203" s="7">
        <f>L2203*SUM(N2188:N2193)</f>
        <v>-305.22310000000004</v>
      </c>
      <c r="O2203" s="65"/>
      <c r="P2203" s="57"/>
    </row>
    <row r="2204" spans="1:17" ht="16.5" thickBot="1" x14ac:dyDescent="0.3">
      <c r="A2204" s="19" t="s">
        <v>36</v>
      </c>
      <c r="C2204" s="101">
        <v>145036.00057713006</v>
      </c>
      <c r="D2204" s="101">
        <v>303109.33333333331</v>
      </c>
      <c r="F2204" s="41"/>
      <c r="H2204" s="95">
        <f>SUM(H2184:H2202)</f>
        <v>13223.0934</v>
      </c>
      <c r="I2204" s="95">
        <f>SUM(I2184:I2202)</f>
        <v>29211.4738</v>
      </c>
      <c r="K2204" s="41"/>
      <c r="L2204" s="41"/>
      <c r="M2204" s="24"/>
      <c r="N2204" s="40">
        <f>SUM(N2184:N2201)</f>
        <v>29139</v>
      </c>
      <c r="O2204" s="68"/>
      <c r="P2204" s="57"/>
      <c r="Q2204" s="67"/>
    </row>
    <row r="2205" spans="1:17" ht="16.5" thickTop="1" x14ac:dyDescent="0.25"/>
    <row r="2206" spans="1:17" x14ac:dyDescent="0.25">
      <c r="A2206" s="15" t="s">
        <v>367</v>
      </c>
    </row>
    <row r="2207" spans="1:17" x14ac:dyDescent="0.25">
      <c r="A2207" s="19" t="s">
        <v>68</v>
      </c>
      <c r="C2207" s="6">
        <v>497.238</v>
      </c>
      <c r="D2207" s="6">
        <v>1224</v>
      </c>
      <c r="F2207" s="24">
        <v>10</v>
      </c>
      <c r="G2207" s="24"/>
      <c r="H2207" s="7">
        <f t="shared" ref="H2207:I2219" si="329">ROUND($F2207*C2207,0)</f>
        <v>4972</v>
      </c>
      <c r="I2207" s="7">
        <f t="shared" si="329"/>
        <v>12240</v>
      </c>
      <c r="K2207" s="24"/>
      <c r="L2207" s="24">
        <f t="shared" ref="L2207:L2216" si="330">L2161</f>
        <v>10</v>
      </c>
      <c r="M2207" s="24"/>
      <c r="N2207" s="7">
        <f t="shared" ref="N2207:N2212" si="331">ROUND($D2207*L2207,0)</f>
        <v>12240</v>
      </c>
      <c r="O2207" s="57"/>
      <c r="P2207" s="57"/>
    </row>
    <row r="2208" spans="1:17" x14ac:dyDescent="0.25">
      <c r="A2208" s="19" t="s">
        <v>79</v>
      </c>
      <c r="C2208" s="6">
        <v>0</v>
      </c>
      <c r="D2208" s="6">
        <v>0</v>
      </c>
      <c r="F2208" s="24">
        <v>120</v>
      </c>
      <c r="G2208" s="24"/>
      <c r="H2208" s="7">
        <f t="shared" si="329"/>
        <v>0</v>
      </c>
      <c r="I2208" s="7">
        <f t="shared" si="329"/>
        <v>0</v>
      </c>
      <c r="K2208" s="24"/>
      <c r="L2208" s="24">
        <f t="shared" si="330"/>
        <v>117</v>
      </c>
      <c r="M2208" s="24"/>
      <c r="N2208" s="7">
        <f t="shared" si="331"/>
        <v>0</v>
      </c>
      <c r="O2208" s="57"/>
      <c r="P2208" s="57"/>
    </row>
    <row r="2209" spans="1:17" x14ac:dyDescent="0.25">
      <c r="A2209" s="19" t="s">
        <v>12</v>
      </c>
      <c r="C2209" s="6">
        <v>105</v>
      </c>
      <c r="D2209" s="6">
        <v>258</v>
      </c>
      <c r="F2209" s="24">
        <v>2</v>
      </c>
      <c r="G2209" s="24"/>
      <c r="H2209" s="7">
        <f t="shared" si="329"/>
        <v>210</v>
      </c>
      <c r="I2209" s="7">
        <f t="shared" si="329"/>
        <v>516</v>
      </c>
      <c r="K2209" s="24"/>
      <c r="L2209" s="24">
        <f t="shared" si="330"/>
        <v>2</v>
      </c>
      <c r="M2209" s="24"/>
      <c r="N2209" s="7">
        <f t="shared" si="331"/>
        <v>516</v>
      </c>
      <c r="O2209" s="57"/>
      <c r="P2209" s="57"/>
    </row>
    <row r="2210" spans="1:17" x14ac:dyDescent="0.25">
      <c r="A2210" s="19" t="s">
        <v>80</v>
      </c>
      <c r="C2210" s="6">
        <v>0</v>
      </c>
      <c r="D2210" s="6">
        <v>0</v>
      </c>
      <c r="F2210" s="24">
        <v>10</v>
      </c>
      <c r="G2210" s="24"/>
      <c r="H2210" s="7">
        <f t="shared" si="329"/>
        <v>0</v>
      </c>
      <c r="I2210" s="7">
        <f t="shared" si="329"/>
        <v>0</v>
      </c>
      <c r="K2210" s="24"/>
      <c r="L2210" s="24">
        <f t="shared" si="330"/>
        <v>10</v>
      </c>
      <c r="M2210" s="24"/>
      <c r="N2210" s="7">
        <f t="shared" si="331"/>
        <v>0</v>
      </c>
      <c r="O2210" s="57"/>
      <c r="P2210" s="57"/>
    </row>
    <row r="2211" spans="1:17" x14ac:dyDescent="0.25">
      <c r="A2211" s="19" t="s">
        <v>346</v>
      </c>
      <c r="C2211" s="6">
        <v>469.28811594685055</v>
      </c>
      <c r="D2211" s="6">
        <v>498</v>
      </c>
      <c r="F2211" s="24"/>
      <c r="G2211" s="24"/>
      <c r="K2211" s="24"/>
      <c r="L2211" s="24">
        <f t="shared" si="330"/>
        <v>8.89</v>
      </c>
      <c r="M2211" s="24"/>
      <c r="N2211" s="7">
        <f t="shared" si="331"/>
        <v>4427</v>
      </c>
      <c r="O2211" s="57"/>
      <c r="P2211" s="57"/>
    </row>
    <row r="2212" spans="1:17" x14ac:dyDescent="0.25">
      <c r="A2212" s="19" t="s">
        <v>347</v>
      </c>
      <c r="C2212" s="6">
        <v>836.54837332296552</v>
      </c>
      <c r="D2212" s="6">
        <v>888</v>
      </c>
      <c r="F2212" s="24"/>
      <c r="G2212" s="24"/>
      <c r="K2212" s="24"/>
      <c r="L2212" s="24">
        <f t="shared" si="330"/>
        <v>7.87</v>
      </c>
      <c r="M2212" s="24"/>
      <c r="N2212" s="7">
        <f t="shared" si="331"/>
        <v>6989</v>
      </c>
      <c r="O2212" s="57"/>
      <c r="P2212" s="57"/>
    </row>
    <row r="2213" spans="1:17" x14ac:dyDescent="0.25">
      <c r="A2213" s="19" t="s">
        <v>348</v>
      </c>
      <c r="C2213" s="6">
        <v>201135.81034996227</v>
      </c>
      <c r="D2213" s="6">
        <v>190825.78092448856</v>
      </c>
      <c r="F2213" s="100"/>
      <c r="G2213" s="26"/>
      <c r="K2213" s="100"/>
      <c r="L2213" s="100">
        <f t="shared" si="330"/>
        <v>11.712</v>
      </c>
      <c r="M2213" s="26" t="s">
        <v>18</v>
      </c>
      <c r="N2213" s="7">
        <f>ROUND($D2213*L2213/100,0)</f>
        <v>22350</v>
      </c>
      <c r="O2213" s="207"/>
      <c r="P2213" s="59"/>
    </row>
    <row r="2214" spans="1:17" x14ac:dyDescent="0.25">
      <c r="A2214" s="19" t="s">
        <v>349</v>
      </c>
      <c r="C2214" s="6">
        <v>179959.67475913611</v>
      </c>
      <c r="D2214" s="6">
        <v>170734</v>
      </c>
      <c r="F2214" s="100"/>
      <c r="G2214" s="26"/>
      <c r="K2214" s="100"/>
      <c r="L2214" s="100">
        <f t="shared" si="330"/>
        <v>6.5567000000000002</v>
      </c>
      <c r="M2214" s="26" t="s">
        <v>18</v>
      </c>
      <c r="N2214" s="7">
        <f>ROUND($D2214*L2214/100,0)</f>
        <v>11195</v>
      </c>
      <c r="O2214" s="207"/>
      <c r="P2214" s="59"/>
    </row>
    <row r="2215" spans="1:17" x14ac:dyDescent="0.25">
      <c r="A2215" s="19" t="s">
        <v>350</v>
      </c>
      <c r="C2215" s="6">
        <v>291028.98356874462</v>
      </c>
      <c r="D2215" s="6">
        <v>327487</v>
      </c>
      <c r="F2215" s="100"/>
      <c r="G2215" s="26"/>
      <c r="K2215" s="100"/>
      <c r="L2215" s="100">
        <f t="shared" si="330"/>
        <v>10.364599999999999</v>
      </c>
      <c r="M2215" s="26" t="s">
        <v>18</v>
      </c>
      <c r="N2215" s="7">
        <f>ROUND($D2215*L2215/100,0)</f>
        <v>33943</v>
      </c>
      <c r="O2215" s="207"/>
      <c r="P2215" s="59"/>
    </row>
    <row r="2216" spans="1:17" x14ac:dyDescent="0.25">
      <c r="A2216" s="19" t="s">
        <v>351</v>
      </c>
      <c r="C2216" s="6">
        <v>477711.43388173886</v>
      </c>
      <c r="D2216" s="6">
        <v>537555</v>
      </c>
      <c r="F2216" s="100"/>
      <c r="G2216" s="26"/>
      <c r="K2216" s="100"/>
      <c r="L2216" s="100">
        <f t="shared" si="330"/>
        <v>5.8023999999999996</v>
      </c>
      <c r="M2216" s="26" t="s">
        <v>18</v>
      </c>
      <c r="N2216" s="7">
        <f>ROUND($D2216*L2216/100,0)</f>
        <v>31191</v>
      </c>
      <c r="O2216" s="207"/>
      <c r="P2216" s="59"/>
    </row>
    <row r="2217" spans="1:17" x14ac:dyDescent="0.25">
      <c r="A2217" s="19" t="s">
        <v>352</v>
      </c>
      <c r="C2217" s="6">
        <v>652.14913294797702</v>
      </c>
      <c r="D2217" s="6">
        <v>692</v>
      </c>
      <c r="F2217" s="24">
        <v>8.65</v>
      </c>
      <c r="G2217" s="24"/>
      <c r="H2217" s="7">
        <f t="shared" si="329"/>
        <v>5641</v>
      </c>
      <c r="I2217" s="7">
        <f t="shared" si="329"/>
        <v>5986</v>
      </c>
      <c r="K2217" s="24"/>
      <c r="L2217" s="24"/>
      <c r="M2217" s="24"/>
      <c r="O2217" s="57"/>
      <c r="P2217" s="57"/>
    </row>
    <row r="2218" spans="1:17" x14ac:dyDescent="0.25">
      <c r="A2218" s="19" t="s">
        <v>353</v>
      </c>
      <c r="C2218" s="6">
        <v>653.68735632183905</v>
      </c>
      <c r="D2218" s="6">
        <v>694</v>
      </c>
      <c r="F2218" s="24">
        <v>8.7000000000000011</v>
      </c>
      <c r="G2218" s="24"/>
      <c r="H2218" s="7">
        <f t="shared" si="329"/>
        <v>5687</v>
      </c>
      <c r="I2218" s="7">
        <f t="shared" si="329"/>
        <v>6038</v>
      </c>
      <c r="K2218" s="24"/>
      <c r="L2218" s="24"/>
      <c r="M2218" s="24"/>
      <c r="O2218" s="57"/>
      <c r="P2218" s="57"/>
    </row>
    <row r="2219" spans="1:17" x14ac:dyDescent="0.25">
      <c r="A2219" s="19" t="s">
        <v>77</v>
      </c>
      <c r="C2219" s="6">
        <v>0</v>
      </c>
      <c r="D2219" s="6">
        <v>0</v>
      </c>
      <c r="F2219" s="24">
        <v>-0.48</v>
      </c>
      <c r="G2219" s="24"/>
      <c r="H2219" s="7">
        <f t="shared" si="329"/>
        <v>0</v>
      </c>
      <c r="I2219" s="7">
        <f t="shared" si="329"/>
        <v>0</v>
      </c>
      <c r="K2219" s="24"/>
      <c r="L2219" s="24">
        <f>L2173</f>
        <v>-0.48</v>
      </c>
      <c r="M2219" s="24"/>
      <c r="N2219" s="7">
        <f>ROUND($D2219*L2219,0)</f>
        <v>0</v>
      </c>
      <c r="O2219" s="57"/>
      <c r="P2219" s="57"/>
    </row>
    <row r="2220" spans="1:17" x14ac:dyDescent="0.25">
      <c r="A2220" s="19" t="s">
        <v>354</v>
      </c>
      <c r="C2220" s="6">
        <v>224227.4938147334</v>
      </c>
      <c r="D2220" s="6">
        <v>191568.78092448856</v>
      </c>
      <c r="F2220" s="100">
        <v>11.733599999999999</v>
      </c>
      <c r="G2220" s="26" t="s">
        <v>18</v>
      </c>
      <c r="H2220" s="7">
        <f t="shared" ref="H2220:I2223" si="332">ROUND($F2220*C2220/100,0)</f>
        <v>26310</v>
      </c>
      <c r="I2220" s="7">
        <f t="shared" si="332"/>
        <v>22478</v>
      </c>
      <c r="K2220" s="100"/>
      <c r="L2220" s="100"/>
      <c r="M2220" s="26"/>
      <c r="O2220" s="207"/>
      <c r="P2220" s="59"/>
    </row>
    <row r="2221" spans="1:17" x14ac:dyDescent="0.25">
      <c r="A2221" s="19" t="s">
        <v>355</v>
      </c>
      <c r="C2221" s="6">
        <v>267758.33960068761</v>
      </c>
      <c r="D2221" s="6">
        <v>228759</v>
      </c>
      <c r="F2221" s="100">
        <v>6.5782999999999996</v>
      </c>
      <c r="G2221" s="26" t="s">
        <v>18</v>
      </c>
      <c r="H2221" s="7">
        <f t="shared" si="332"/>
        <v>17614</v>
      </c>
      <c r="I2221" s="7">
        <f t="shared" si="332"/>
        <v>15048</v>
      </c>
      <c r="K2221" s="100"/>
      <c r="L2221" s="100"/>
      <c r="M2221" s="26"/>
      <c r="O2221" s="207"/>
      <c r="P2221" s="59"/>
    </row>
    <row r="2222" spans="1:17" x14ac:dyDescent="0.25">
      <c r="A2222" s="19" t="s">
        <v>356</v>
      </c>
      <c r="C2222" s="6">
        <v>267937.30010397354</v>
      </c>
      <c r="D2222" s="6">
        <v>328389</v>
      </c>
      <c r="F2222" s="100">
        <v>10.8</v>
      </c>
      <c r="G2222" s="26" t="s">
        <v>18</v>
      </c>
      <c r="H2222" s="7">
        <f t="shared" si="332"/>
        <v>28937</v>
      </c>
      <c r="I2222" s="7">
        <f t="shared" si="332"/>
        <v>35466</v>
      </c>
      <c r="K2222" s="100"/>
      <c r="L2222" s="100"/>
      <c r="M2222" s="26"/>
      <c r="O2222" s="207"/>
      <c r="P2222" s="59"/>
    </row>
    <row r="2223" spans="1:17" x14ac:dyDescent="0.25">
      <c r="A2223" s="19" t="s">
        <v>357</v>
      </c>
      <c r="C2223" s="6">
        <v>389912.76904018741</v>
      </c>
      <c r="D2223" s="6">
        <v>477885</v>
      </c>
      <c r="F2223" s="100">
        <v>6.0567000000000002</v>
      </c>
      <c r="G2223" s="26" t="s">
        <v>18</v>
      </c>
      <c r="H2223" s="7">
        <f t="shared" si="332"/>
        <v>23616</v>
      </c>
      <c r="I2223" s="7">
        <f t="shared" si="332"/>
        <v>28944</v>
      </c>
      <c r="K2223" s="100"/>
      <c r="L2223" s="100"/>
      <c r="M2223" s="26"/>
      <c r="O2223" s="207"/>
      <c r="P2223" s="59"/>
    </row>
    <row r="2224" spans="1:17" x14ac:dyDescent="0.25">
      <c r="A2224" s="19" t="s">
        <v>33</v>
      </c>
      <c r="C2224" s="36">
        <v>6097</v>
      </c>
      <c r="D2224" s="36">
        <v>0</v>
      </c>
      <c r="H2224" s="37">
        <v>646</v>
      </c>
      <c r="I2224" s="37">
        <v>0</v>
      </c>
      <c r="N2224" s="37">
        <v>0</v>
      </c>
      <c r="Q2224" s="64"/>
    </row>
    <row r="2225" spans="1:17" x14ac:dyDescent="0.25">
      <c r="A2225" s="19" t="s">
        <v>34</v>
      </c>
      <c r="F2225" s="23">
        <v>-3.3099999999999997E-2</v>
      </c>
      <c r="G2225" s="24"/>
      <c r="H2225" s="7">
        <f>SUM(H2217:H2218,H2220:H2223)*$F2225</f>
        <v>-3568.3454999999999</v>
      </c>
      <c r="I2225" s="7">
        <f>SUM(I2217:I2218,I2220:I2223)*$F2225</f>
        <v>-3772.0759999999996</v>
      </c>
      <c r="K2225" s="93" t="str">
        <f>$K$43</f>
        <v>TAA 1 (1/1/2021)</v>
      </c>
      <c r="L2225" s="23">
        <f>$L$1995</f>
        <v>-2.3900000000000001E-2</v>
      </c>
      <c r="M2225" s="24"/>
      <c r="N2225" s="7">
        <f>L2225*SUM(N2211:N2216)</f>
        <v>-2631.2705000000001</v>
      </c>
      <c r="O2225" s="65"/>
      <c r="P2225" s="57"/>
    </row>
    <row r="2226" spans="1:17" x14ac:dyDescent="0.25">
      <c r="A2226" s="19"/>
      <c r="F2226" s="23"/>
      <c r="G2226" s="24"/>
      <c r="K2226" s="93" t="str">
        <f>$K$44</f>
        <v>TAA 2 (1/1/2022)</v>
      </c>
      <c r="L2226" s="23">
        <f>$L$1996</f>
        <v>-1.1900000000000001E-2</v>
      </c>
      <c r="M2226" s="24"/>
      <c r="N2226" s="7">
        <f>L2226*SUM(N2211:N2216)</f>
        <v>-1310.1305</v>
      </c>
      <c r="O2226" s="65"/>
      <c r="P2226" s="57"/>
    </row>
    <row r="2227" spans="1:17" ht="16.5" thickBot="1" x14ac:dyDescent="0.3">
      <c r="A2227" s="19" t="s">
        <v>36</v>
      </c>
      <c r="C2227" s="101">
        <v>1155932.9025595819</v>
      </c>
      <c r="D2227" s="101">
        <v>1226601.7809244886</v>
      </c>
      <c r="F2227" s="41"/>
      <c r="H2227" s="95">
        <f>SUM(H2207:H2225)</f>
        <v>110064.6545</v>
      </c>
      <c r="I2227" s="95">
        <f>SUM(I2207:I2225)</f>
        <v>122943.924</v>
      </c>
      <c r="K2227" s="41"/>
      <c r="L2227" s="41"/>
      <c r="M2227" s="24"/>
      <c r="N2227" s="40">
        <f>SUM(N2207:N2224)</f>
        <v>122851</v>
      </c>
      <c r="O2227" s="68"/>
      <c r="P2227" s="57"/>
      <c r="Q2227" s="67"/>
    </row>
    <row r="2228" spans="1:17" ht="16.5" thickTop="1" x14ac:dyDescent="0.25"/>
    <row r="2229" spans="1:17" x14ac:dyDescent="0.25">
      <c r="A2229" s="15" t="s">
        <v>368</v>
      </c>
      <c r="F2229" s="100"/>
      <c r="G2229" s="100"/>
      <c r="K2229" s="100"/>
      <c r="L2229" s="100"/>
      <c r="M2229" s="100"/>
      <c r="O2229" s="207"/>
      <c r="P2229" s="207"/>
    </row>
    <row r="2230" spans="1:17" x14ac:dyDescent="0.25">
      <c r="A2230" s="134" t="s">
        <v>369</v>
      </c>
    </row>
    <row r="2231" spans="1:17" x14ac:dyDescent="0.25">
      <c r="A2231" s="19" t="s">
        <v>370</v>
      </c>
      <c r="B2231" s="19"/>
      <c r="C2231" s="6">
        <v>0</v>
      </c>
      <c r="D2231" s="6">
        <v>0</v>
      </c>
      <c r="F2231" s="136">
        <v>133</v>
      </c>
      <c r="G2231" s="20"/>
      <c r="H2231" s="7">
        <f>ROUND($F2231*C2231,0)</f>
        <v>0</v>
      </c>
      <c r="I2231" s="7">
        <f>ROUND($F2231*D2231,0)</f>
        <v>0</v>
      </c>
      <c r="K2231" s="136"/>
      <c r="L2231" s="136">
        <v>137</v>
      </c>
      <c r="M2231" s="20"/>
      <c r="N2231" s="7">
        <f>ROUND($D2231*L2231,0)</f>
        <v>0</v>
      </c>
      <c r="O2231" s="219"/>
      <c r="P2231" s="55"/>
    </row>
    <row r="2232" spans="1:17" x14ac:dyDescent="0.25">
      <c r="A2232" s="19" t="s">
        <v>371</v>
      </c>
      <c r="B2232" s="19"/>
      <c r="C2232" s="6">
        <v>0</v>
      </c>
      <c r="D2232" s="6">
        <v>0</v>
      </c>
      <c r="F2232" s="136">
        <v>5.6</v>
      </c>
      <c r="G2232" s="20"/>
      <c r="H2232" s="7">
        <f>ROUND($F2232*C2232,0)</f>
        <v>0</v>
      </c>
      <c r="I2232" s="7">
        <f>ROUND($F2232*D2232,0)</f>
        <v>0</v>
      </c>
      <c r="K2232" s="136"/>
      <c r="L2232" s="136">
        <v>5.75</v>
      </c>
      <c r="M2232" s="20"/>
      <c r="N2232" s="7">
        <f>ROUND($D2232*L2232,0)</f>
        <v>0</v>
      </c>
      <c r="O2232" s="219"/>
      <c r="P2232" s="55"/>
    </row>
    <row r="2233" spans="1:17" x14ac:dyDescent="0.25">
      <c r="A2233" s="19" t="s">
        <v>372</v>
      </c>
      <c r="B2233" s="19"/>
      <c r="F2233" s="137"/>
      <c r="G2233" s="24"/>
      <c r="K2233" s="137"/>
      <c r="L2233" s="137"/>
      <c r="M2233" s="24"/>
      <c r="O2233" s="223"/>
      <c r="P2233" s="57"/>
    </row>
    <row r="2234" spans="1:17" x14ac:dyDescent="0.25">
      <c r="A2234" s="19" t="s">
        <v>373</v>
      </c>
      <c r="B2234" s="19"/>
      <c r="F2234" s="136"/>
      <c r="G2234" s="138"/>
      <c r="K2234" s="136"/>
      <c r="L2234" s="136"/>
      <c r="M2234" s="138"/>
      <c r="O2234" s="219"/>
      <c r="P2234" s="220"/>
    </row>
    <row r="2235" spans="1:17" x14ac:dyDescent="0.25">
      <c r="A2235" s="19" t="s">
        <v>374</v>
      </c>
      <c r="B2235" s="19"/>
      <c r="C2235" s="6">
        <v>0</v>
      </c>
      <c r="D2235" s="6">
        <v>0</v>
      </c>
      <c r="F2235" s="136"/>
      <c r="G2235" s="138"/>
      <c r="K2235" s="136"/>
      <c r="L2235" s="136">
        <v>0.9</v>
      </c>
      <c r="M2235" s="138"/>
      <c r="N2235" s="7">
        <f>ROUND($D2235*L2235,0)</f>
        <v>0</v>
      </c>
      <c r="O2235" s="219"/>
      <c r="P2235" s="220"/>
    </row>
    <row r="2236" spans="1:17" x14ac:dyDescent="0.25">
      <c r="A2236" s="19" t="s">
        <v>375</v>
      </c>
      <c r="B2236" s="19"/>
      <c r="C2236" s="6">
        <v>0</v>
      </c>
      <c r="D2236" s="6">
        <v>0</v>
      </c>
      <c r="F2236" s="136"/>
      <c r="G2236" s="138"/>
      <c r="K2236" s="136"/>
      <c r="L2236" s="136">
        <v>0.8</v>
      </c>
      <c r="M2236" s="138"/>
      <c r="N2236" s="7">
        <f>ROUND($D2236*L2236,0)</f>
        <v>0</v>
      </c>
      <c r="O2236" s="219"/>
      <c r="P2236" s="220"/>
    </row>
    <row r="2237" spans="1:17" x14ac:dyDescent="0.25">
      <c r="A2237" s="19" t="s">
        <v>376</v>
      </c>
      <c r="B2237" s="19"/>
      <c r="F2237" s="137"/>
      <c r="G2237" s="139"/>
      <c r="K2237" s="137"/>
      <c r="L2237" s="137"/>
      <c r="M2237" s="139"/>
      <c r="O2237" s="223"/>
      <c r="P2237" s="221"/>
    </row>
    <row r="2238" spans="1:17" x14ac:dyDescent="0.25">
      <c r="A2238" s="19" t="s">
        <v>374</v>
      </c>
      <c r="B2238" s="19"/>
      <c r="C2238" s="6">
        <v>0</v>
      </c>
      <c r="D2238" s="6">
        <v>0</v>
      </c>
      <c r="F2238" s="137"/>
      <c r="G2238" s="139"/>
      <c r="K2238" s="136"/>
      <c r="L2238" s="136">
        <f>L2235/2</f>
        <v>0.45</v>
      </c>
      <c r="M2238" s="139"/>
      <c r="N2238" s="7">
        <f>ROUND($D2238*L2238,0)</f>
        <v>0</v>
      </c>
      <c r="O2238" s="219"/>
      <c r="P2238" s="221"/>
    </row>
    <row r="2239" spans="1:17" x14ac:dyDescent="0.25">
      <c r="A2239" s="19" t="s">
        <v>375</v>
      </c>
      <c r="B2239" s="19"/>
      <c r="C2239" s="6">
        <v>0</v>
      </c>
      <c r="D2239" s="6">
        <v>0</v>
      </c>
      <c r="F2239" s="137"/>
      <c r="G2239" s="139"/>
      <c r="K2239" s="136"/>
      <c r="L2239" s="136">
        <f>L2236/2</f>
        <v>0.4</v>
      </c>
      <c r="M2239" s="139"/>
      <c r="N2239" s="7">
        <f>ROUND($D2239*L2239,0)</f>
        <v>0</v>
      </c>
      <c r="O2239" s="219"/>
      <c r="P2239" s="221"/>
    </row>
    <row r="2240" spans="1:17" x14ac:dyDescent="0.25">
      <c r="A2240" s="19" t="s">
        <v>377</v>
      </c>
      <c r="B2240" s="19"/>
      <c r="F2240" s="136"/>
      <c r="G2240" s="20"/>
      <c r="K2240" s="136"/>
      <c r="L2240" s="136"/>
      <c r="M2240" s="20"/>
      <c r="O2240" s="219"/>
      <c r="P2240" s="55"/>
    </row>
    <row r="2241" spans="1:16" x14ac:dyDescent="0.25">
      <c r="A2241" s="19" t="s">
        <v>374</v>
      </c>
      <c r="B2241" s="19"/>
      <c r="C2241" s="6">
        <v>0</v>
      </c>
      <c r="D2241" s="6">
        <v>0</v>
      </c>
      <c r="F2241" s="136"/>
      <c r="G2241" s="20"/>
      <c r="K2241" s="136"/>
      <c r="L2241" s="136">
        <v>41.89</v>
      </c>
      <c r="M2241" s="20"/>
      <c r="N2241" s="7">
        <f>ROUND($D2241*L2241,0)</f>
        <v>0</v>
      </c>
      <c r="O2241" s="219"/>
      <c r="P2241" s="55"/>
    </row>
    <row r="2242" spans="1:16" x14ac:dyDescent="0.25">
      <c r="A2242" s="19" t="s">
        <v>375</v>
      </c>
      <c r="B2242" s="19"/>
      <c r="C2242" s="6">
        <v>0</v>
      </c>
      <c r="D2242" s="6">
        <v>0</v>
      </c>
      <c r="F2242" s="136"/>
      <c r="G2242" s="20"/>
      <c r="K2242" s="136"/>
      <c r="L2242" s="136">
        <v>37.07</v>
      </c>
      <c r="M2242" s="20"/>
      <c r="N2242" s="7">
        <f>ROUND($D2242*L2242,0)</f>
        <v>0</v>
      </c>
      <c r="O2242" s="219"/>
      <c r="P2242" s="55"/>
    </row>
    <row r="2243" spans="1:16" x14ac:dyDescent="0.25">
      <c r="A2243" s="19" t="s">
        <v>373</v>
      </c>
      <c r="B2243" s="19"/>
      <c r="F2243" s="136"/>
      <c r="G2243" s="138"/>
      <c r="K2243" s="136"/>
      <c r="L2243" s="136"/>
      <c r="M2243" s="138"/>
      <c r="O2243" s="219"/>
      <c r="P2243" s="220"/>
    </row>
    <row r="2244" spans="1:16" x14ac:dyDescent="0.25">
      <c r="A2244" s="19" t="s">
        <v>378</v>
      </c>
      <c r="B2244" s="19"/>
      <c r="C2244" s="6">
        <v>0</v>
      </c>
      <c r="D2244" s="6">
        <v>0</v>
      </c>
      <c r="F2244" s="136">
        <v>0.88</v>
      </c>
      <c r="G2244" s="138"/>
      <c r="H2244" s="7">
        <f>ROUND($F2244*C2244,0)</f>
        <v>0</v>
      </c>
      <c r="I2244" s="7">
        <f>ROUND($F2244*D2244,0)</f>
        <v>0</v>
      </c>
      <c r="K2244" s="136"/>
      <c r="L2244" s="136"/>
      <c r="M2244" s="138"/>
      <c r="O2244" s="219"/>
      <c r="P2244" s="220"/>
    </row>
    <row r="2245" spans="1:16" x14ac:dyDescent="0.25">
      <c r="A2245" s="19" t="s">
        <v>379</v>
      </c>
      <c r="B2245" s="19"/>
      <c r="C2245" s="6">
        <v>0</v>
      </c>
      <c r="D2245" s="6">
        <v>0</v>
      </c>
      <c r="F2245" s="136">
        <v>0.62</v>
      </c>
      <c r="G2245" s="138"/>
      <c r="H2245" s="7">
        <f>ROUND($F2245*C2245,0)</f>
        <v>0</v>
      </c>
      <c r="I2245" s="7">
        <f>ROUND($F2245*D2245,0)</f>
        <v>0</v>
      </c>
      <c r="K2245" s="136"/>
      <c r="L2245" s="136"/>
      <c r="M2245" s="138"/>
      <c r="O2245" s="219"/>
      <c r="P2245" s="220"/>
    </row>
    <row r="2246" spans="1:16" x14ac:dyDescent="0.25">
      <c r="A2246" s="19" t="s">
        <v>376</v>
      </c>
      <c r="B2246" s="19"/>
      <c r="F2246" s="137"/>
      <c r="G2246" s="139"/>
      <c r="K2246" s="137"/>
      <c r="L2246" s="137"/>
      <c r="M2246" s="139"/>
      <c r="O2246" s="223"/>
      <c r="P2246" s="221"/>
    </row>
    <row r="2247" spans="1:16" x14ac:dyDescent="0.25">
      <c r="A2247" s="19" t="s">
        <v>378</v>
      </c>
      <c r="B2247" s="19"/>
      <c r="C2247" s="6">
        <v>0</v>
      </c>
      <c r="D2247" s="6">
        <v>0</v>
      </c>
      <c r="F2247" s="137">
        <v>0.44</v>
      </c>
      <c r="G2247" s="139"/>
      <c r="H2247" s="7">
        <f>ROUND($F2247*C2247,0)</f>
        <v>0</v>
      </c>
      <c r="I2247" s="7">
        <f>ROUND($F2247*D2247,0)</f>
        <v>0</v>
      </c>
      <c r="K2247" s="137"/>
      <c r="L2247" s="137"/>
      <c r="M2247" s="139"/>
      <c r="O2247" s="223"/>
      <c r="P2247" s="221"/>
    </row>
    <row r="2248" spans="1:16" x14ac:dyDescent="0.25">
      <c r="A2248" s="19" t="s">
        <v>379</v>
      </c>
      <c r="B2248" s="19"/>
      <c r="C2248" s="6">
        <v>0</v>
      </c>
      <c r="D2248" s="6">
        <v>0</v>
      </c>
      <c r="F2248" s="137">
        <v>0.31</v>
      </c>
      <c r="G2248" s="139"/>
      <c r="H2248" s="7">
        <f>ROUND($F2248*C2248,0)</f>
        <v>0</v>
      </c>
      <c r="I2248" s="7">
        <f>ROUND($F2248*D2248,0)</f>
        <v>0</v>
      </c>
      <c r="K2248" s="137"/>
      <c r="L2248" s="137"/>
      <c r="M2248" s="139"/>
      <c r="O2248" s="223"/>
      <c r="P2248" s="221"/>
    </row>
    <row r="2249" spans="1:16" x14ac:dyDescent="0.25">
      <c r="A2249" s="19" t="s">
        <v>377</v>
      </c>
      <c r="B2249" s="19"/>
      <c r="F2249" s="136"/>
      <c r="G2249" s="20"/>
      <c r="K2249" s="136"/>
      <c r="L2249" s="136"/>
      <c r="M2249" s="20"/>
      <c r="O2249" s="219"/>
      <c r="P2249" s="55"/>
    </row>
    <row r="2250" spans="1:16" x14ac:dyDescent="0.25">
      <c r="A2250" s="19" t="s">
        <v>378</v>
      </c>
      <c r="B2250" s="19"/>
      <c r="C2250" s="6">
        <v>0</v>
      </c>
      <c r="D2250" s="6">
        <v>0</v>
      </c>
      <c r="F2250" s="136">
        <v>40.81</v>
      </c>
      <c r="G2250" s="20"/>
      <c r="H2250" s="7">
        <f>ROUND($F2250*C2250,0)</f>
        <v>0</v>
      </c>
      <c r="I2250" s="7">
        <f>ROUND($F2250*D2250,0)</f>
        <v>0</v>
      </c>
      <c r="K2250" s="136"/>
      <c r="L2250" s="136"/>
      <c r="M2250" s="20"/>
      <c r="O2250" s="219"/>
      <c r="P2250" s="55"/>
    </row>
    <row r="2251" spans="1:16" x14ac:dyDescent="0.25">
      <c r="A2251" s="19" t="s">
        <v>379</v>
      </c>
      <c r="B2251" s="19"/>
      <c r="C2251" s="6">
        <v>0</v>
      </c>
      <c r="D2251" s="6">
        <v>0</v>
      </c>
      <c r="F2251" s="136">
        <v>32.04</v>
      </c>
      <c r="G2251" s="20"/>
      <c r="H2251" s="7">
        <f>ROUND($F2251*C2251,0)</f>
        <v>0</v>
      </c>
      <c r="I2251" s="7">
        <f>ROUND($F2251*D2251,0)</f>
        <v>0</v>
      </c>
      <c r="K2251" s="136"/>
      <c r="L2251" s="136"/>
      <c r="M2251" s="20"/>
      <c r="O2251" s="219"/>
      <c r="P2251" s="55"/>
    </row>
    <row r="2252" spans="1:16" x14ac:dyDescent="0.25">
      <c r="A2252" s="134" t="s">
        <v>380</v>
      </c>
      <c r="F2252" s="137"/>
      <c r="K2252" s="137"/>
      <c r="L2252" s="137"/>
      <c r="O2252" s="223"/>
    </row>
    <row r="2253" spans="1:16" x14ac:dyDescent="0.25">
      <c r="A2253" s="19" t="s">
        <v>370</v>
      </c>
      <c r="C2253" s="6">
        <v>24</v>
      </c>
      <c r="D2253" s="6">
        <v>25</v>
      </c>
      <c r="F2253" s="136">
        <v>605</v>
      </c>
      <c r="G2253" s="20"/>
      <c r="H2253" s="7">
        <f>ROUND($F2253*C2253,0)</f>
        <v>14520</v>
      </c>
      <c r="I2253" s="7">
        <f>ROUND($F2253*D2253,0)</f>
        <v>15125</v>
      </c>
      <c r="K2253" s="136"/>
      <c r="L2253" s="136">
        <v>621</v>
      </c>
      <c r="M2253" s="20"/>
      <c r="N2253" s="7">
        <f>ROUND($D2253*L2253,0)</f>
        <v>15525</v>
      </c>
      <c r="O2253" s="219"/>
      <c r="P2253" s="55"/>
    </row>
    <row r="2254" spans="1:16" x14ac:dyDescent="0.25">
      <c r="A2254" s="19" t="s">
        <v>371</v>
      </c>
      <c r="C2254" s="6">
        <v>36600</v>
      </c>
      <c r="D2254" s="6">
        <v>34929</v>
      </c>
      <c r="F2254" s="136">
        <v>4.46</v>
      </c>
      <c r="G2254" s="20"/>
      <c r="H2254" s="7">
        <f>ROUND($F2254*C2254,0)</f>
        <v>163236</v>
      </c>
      <c r="I2254" s="7">
        <f>ROUND($F2254*D2254,0)</f>
        <v>155783</v>
      </c>
      <c r="K2254" s="136"/>
      <c r="L2254" s="136">
        <v>4.58</v>
      </c>
      <c r="M2254" s="20"/>
      <c r="N2254" s="7">
        <f>ROUND($D2254*L2254,0)</f>
        <v>159975</v>
      </c>
      <c r="O2254" s="219"/>
      <c r="P2254" s="55"/>
    </row>
    <row r="2255" spans="1:16" x14ac:dyDescent="0.25">
      <c r="A2255" s="19" t="s">
        <v>372</v>
      </c>
      <c r="F2255" s="136"/>
      <c r="G2255" s="20"/>
      <c r="K2255" s="137"/>
      <c r="L2255" s="137"/>
      <c r="M2255" s="20"/>
      <c r="O2255" s="223"/>
      <c r="P2255" s="55"/>
    </row>
    <row r="2256" spans="1:16" x14ac:dyDescent="0.25">
      <c r="A2256" s="19" t="s">
        <v>373</v>
      </c>
      <c r="F2256" s="136"/>
      <c r="G2256" s="138"/>
      <c r="K2256" s="136"/>
      <c r="L2256" s="136"/>
      <c r="M2256" s="138"/>
      <c r="O2256" s="219"/>
      <c r="P2256" s="220"/>
    </row>
    <row r="2257" spans="1:16" x14ac:dyDescent="0.25">
      <c r="A2257" s="19" t="s">
        <v>374</v>
      </c>
      <c r="C2257" s="6">
        <v>70696.650348096649</v>
      </c>
      <c r="D2257" s="6">
        <v>67470</v>
      </c>
      <c r="F2257" s="136"/>
      <c r="G2257" s="138"/>
      <c r="K2257" s="136"/>
      <c r="L2257" s="136">
        <v>0.88</v>
      </c>
      <c r="M2257" s="138"/>
      <c r="N2257" s="7">
        <f>ROUND($D2257*L2257,0)</f>
        <v>59374</v>
      </c>
      <c r="O2257" s="219"/>
      <c r="P2257" s="220"/>
    </row>
    <row r="2258" spans="1:16" x14ac:dyDescent="0.25">
      <c r="A2258" s="19" t="s">
        <v>375</v>
      </c>
      <c r="C2258" s="6">
        <v>49579.034602910964</v>
      </c>
      <c r="D2258" s="6">
        <v>47316</v>
      </c>
      <c r="F2258" s="136"/>
      <c r="G2258" s="138"/>
      <c r="K2258" s="136"/>
      <c r="L2258" s="136">
        <v>0.78</v>
      </c>
      <c r="M2258" s="138"/>
      <c r="N2258" s="7">
        <f>ROUND($D2258*L2258,0)</f>
        <v>36906</v>
      </c>
      <c r="O2258" s="219"/>
      <c r="P2258" s="220"/>
    </row>
    <row r="2259" spans="1:16" x14ac:dyDescent="0.25">
      <c r="A2259" s="19" t="s">
        <v>376</v>
      </c>
      <c r="F2259" s="137"/>
      <c r="G2259" s="139"/>
      <c r="K2259" s="137"/>
      <c r="L2259" s="137"/>
      <c r="M2259" s="139"/>
      <c r="O2259" s="223"/>
      <c r="P2259" s="221"/>
    </row>
    <row r="2260" spans="1:16" x14ac:dyDescent="0.25">
      <c r="A2260" s="19" t="s">
        <v>374</v>
      </c>
      <c r="C2260" s="6">
        <v>1582.2885037622348</v>
      </c>
      <c r="D2260" s="6">
        <v>1510</v>
      </c>
      <c r="F2260" s="137"/>
      <c r="G2260" s="139"/>
      <c r="K2260" s="136"/>
      <c r="L2260" s="136">
        <f>L2257/2</f>
        <v>0.44</v>
      </c>
      <c r="M2260" s="139"/>
      <c r="N2260" s="7">
        <f>ROUND($D2260*L2260,0)</f>
        <v>664</v>
      </c>
      <c r="O2260" s="219"/>
      <c r="P2260" s="221"/>
    </row>
    <row r="2261" spans="1:16" x14ac:dyDescent="0.25">
      <c r="A2261" s="19" t="s">
        <v>375</v>
      </c>
      <c r="C2261" s="6">
        <v>0</v>
      </c>
      <c r="D2261" s="6">
        <v>0</v>
      </c>
      <c r="F2261" s="137"/>
      <c r="G2261" s="139"/>
      <c r="K2261" s="136"/>
      <c r="L2261" s="136">
        <f>L2258/2</f>
        <v>0.39</v>
      </c>
      <c r="M2261" s="139"/>
      <c r="N2261" s="7">
        <f>ROUND($D2261*L2261,0)</f>
        <v>0</v>
      </c>
      <c r="O2261" s="219"/>
      <c r="P2261" s="221"/>
    </row>
    <row r="2262" spans="1:16" x14ac:dyDescent="0.25">
      <c r="A2262" s="19" t="s">
        <v>377</v>
      </c>
      <c r="F2262" s="136"/>
      <c r="G2262" s="20"/>
      <c r="K2262" s="136"/>
      <c r="L2262" s="136"/>
      <c r="M2262" s="20"/>
      <c r="O2262" s="219"/>
      <c r="P2262" s="55"/>
    </row>
    <row r="2263" spans="1:16" x14ac:dyDescent="0.25">
      <c r="A2263" s="19" t="s">
        <v>374</v>
      </c>
      <c r="C2263" s="6">
        <v>148.49169035307125</v>
      </c>
      <c r="D2263" s="6">
        <v>142</v>
      </c>
      <c r="F2263" s="136"/>
      <c r="G2263" s="20"/>
      <c r="K2263" s="136"/>
      <c r="L2263" s="136">
        <v>39.56</v>
      </c>
      <c r="M2263" s="20"/>
      <c r="N2263" s="7">
        <f>ROUND($D2263*L2263,0)</f>
        <v>5618</v>
      </c>
      <c r="O2263" s="219"/>
      <c r="P2263" s="55"/>
    </row>
    <row r="2264" spans="1:16" x14ac:dyDescent="0.25">
      <c r="A2264" s="19" t="s">
        <v>375</v>
      </c>
      <c r="C2264" s="6">
        <v>686.10495578422365</v>
      </c>
      <c r="D2264" s="6">
        <v>655</v>
      </c>
      <c r="F2264" s="136"/>
      <c r="G2264" s="20"/>
      <c r="K2264" s="136"/>
      <c r="L2264" s="136">
        <v>35.01</v>
      </c>
      <c r="M2264" s="20"/>
      <c r="N2264" s="7">
        <f>ROUND($D2264*L2264,0)</f>
        <v>22932</v>
      </c>
      <c r="O2264" s="219"/>
      <c r="P2264" s="55"/>
    </row>
    <row r="2265" spans="1:16" x14ac:dyDescent="0.25">
      <c r="A2265" s="19" t="s">
        <v>373</v>
      </c>
      <c r="F2265" s="136"/>
      <c r="G2265" s="138"/>
      <c r="K2265" s="136"/>
      <c r="L2265" s="136"/>
      <c r="M2265" s="138"/>
      <c r="O2265" s="219"/>
      <c r="P2265" s="220"/>
    </row>
    <row r="2266" spans="1:16" x14ac:dyDescent="0.25">
      <c r="A2266" s="19" t="s">
        <v>378</v>
      </c>
      <c r="C2266" s="6">
        <v>87126</v>
      </c>
      <c r="D2266" s="6">
        <v>83149</v>
      </c>
      <c r="F2266" s="136">
        <v>0.86</v>
      </c>
      <c r="G2266" s="138"/>
      <c r="H2266" s="7">
        <f>ROUND($F2266*C2266,0)</f>
        <v>74928</v>
      </c>
      <c r="I2266" s="7">
        <f>ROUND($F2266*D2266,0)</f>
        <v>71508</v>
      </c>
      <c r="K2266" s="136"/>
      <c r="L2266" s="136"/>
      <c r="M2266" s="138"/>
      <c r="O2266" s="219"/>
      <c r="P2266" s="220"/>
    </row>
    <row r="2267" spans="1:16" x14ac:dyDescent="0.25">
      <c r="A2267" s="19" t="s">
        <v>379</v>
      </c>
      <c r="C2267" s="6">
        <v>43646</v>
      </c>
      <c r="D2267" s="6">
        <v>41654</v>
      </c>
      <c r="F2267" s="136">
        <v>0.6</v>
      </c>
      <c r="G2267" s="138"/>
      <c r="H2267" s="7">
        <f>ROUND($F2267*C2267,0)</f>
        <v>26188</v>
      </c>
      <c r="I2267" s="7">
        <f>ROUND($F2267*D2267,0)</f>
        <v>24992</v>
      </c>
      <c r="K2267" s="136"/>
      <c r="L2267" s="136"/>
      <c r="M2267" s="138"/>
      <c r="O2267" s="219"/>
      <c r="P2267" s="220"/>
    </row>
    <row r="2268" spans="1:16" x14ac:dyDescent="0.25">
      <c r="A2268" s="19" t="s">
        <v>376</v>
      </c>
      <c r="F2268" s="137"/>
      <c r="G2268" s="139"/>
      <c r="K2268" s="137"/>
      <c r="L2268" s="137"/>
      <c r="M2268" s="139"/>
      <c r="O2268" s="223"/>
      <c r="P2268" s="221"/>
    </row>
    <row r="2269" spans="1:16" x14ac:dyDescent="0.25">
      <c r="A2269" s="19" t="s">
        <v>378</v>
      </c>
      <c r="C2269" s="6">
        <v>1950</v>
      </c>
      <c r="D2269" s="6">
        <v>1861</v>
      </c>
      <c r="F2269" s="137">
        <v>0.43</v>
      </c>
      <c r="G2269" s="139"/>
      <c r="H2269" s="7">
        <f>ROUND($F2269*C2269,0)</f>
        <v>839</v>
      </c>
      <c r="I2269" s="7">
        <f>ROUND($F2269*D2269,0)</f>
        <v>800</v>
      </c>
      <c r="K2269" s="137"/>
      <c r="L2269" s="137"/>
      <c r="M2269" s="139"/>
      <c r="O2269" s="223"/>
      <c r="P2269" s="221"/>
    </row>
    <row r="2270" spans="1:16" x14ac:dyDescent="0.25">
      <c r="A2270" s="19" t="s">
        <v>379</v>
      </c>
      <c r="C2270" s="6">
        <v>0</v>
      </c>
      <c r="D2270" s="6">
        <v>0</v>
      </c>
      <c r="F2270" s="137">
        <v>0.3</v>
      </c>
      <c r="G2270" s="139"/>
      <c r="H2270" s="7">
        <f>ROUND($F2270*C2270,0)</f>
        <v>0</v>
      </c>
      <c r="I2270" s="7">
        <f>ROUND($F2270*D2270,0)</f>
        <v>0</v>
      </c>
      <c r="K2270" s="137"/>
      <c r="L2270" s="137"/>
      <c r="M2270" s="139"/>
      <c r="O2270" s="223"/>
      <c r="P2270" s="221"/>
    </row>
    <row r="2271" spans="1:16" x14ac:dyDescent="0.25">
      <c r="A2271" s="19" t="s">
        <v>377</v>
      </c>
      <c r="F2271" s="136"/>
      <c r="G2271" s="20"/>
      <c r="K2271" s="136"/>
      <c r="L2271" s="136"/>
      <c r="M2271" s="20"/>
      <c r="O2271" s="219"/>
      <c r="P2271" s="55"/>
    </row>
    <row r="2272" spans="1:16" x14ac:dyDescent="0.25">
      <c r="A2272" s="19" t="s">
        <v>378</v>
      </c>
      <c r="C2272" s="6">
        <v>183</v>
      </c>
      <c r="D2272" s="6">
        <v>175</v>
      </c>
      <c r="F2272" s="136">
        <v>38.54</v>
      </c>
      <c r="G2272" s="20"/>
      <c r="H2272" s="7">
        <f>ROUND($F2272*C2272,0)</f>
        <v>7053</v>
      </c>
      <c r="I2272" s="7">
        <f>ROUND($F2272*D2272,0)</f>
        <v>6745</v>
      </c>
      <c r="K2272" s="136"/>
      <c r="L2272" s="136"/>
      <c r="M2272" s="20"/>
      <c r="O2272" s="219"/>
      <c r="P2272" s="55"/>
    </row>
    <row r="2273" spans="1:16" x14ac:dyDescent="0.25">
      <c r="A2273" s="19" t="s">
        <v>379</v>
      </c>
      <c r="C2273" s="6">
        <v>604</v>
      </c>
      <c r="D2273" s="6">
        <v>576</v>
      </c>
      <c r="F2273" s="136">
        <v>29.77</v>
      </c>
      <c r="G2273" s="20"/>
      <c r="H2273" s="7">
        <f>ROUND($F2273*C2273,0)</f>
        <v>17981</v>
      </c>
      <c r="I2273" s="7">
        <f>ROUND($F2273*D2273,0)</f>
        <v>17148</v>
      </c>
      <c r="K2273" s="136"/>
      <c r="L2273" s="136"/>
      <c r="M2273" s="20"/>
      <c r="O2273" s="219"/>
      <c r="P2273" s="55"/>
    </row>
    <row r="2274" spans="1:16" x14ac:dyDescent="0.25">
      <c r="A2274" s="134" t="s">
        <v>381</v>
      </c>
      <c r="F2274" s="137"/>
      <c r="K2274" s="137"/>
      <c r="L2274" s="137"/>
      <c r="O2274" s="223"/>
    </row>
    <row r="2275" spans="1:16" x14ac:dyDescent="0.25">
      <c r="A2275" s="19" t="s">
        <v>370</v>
      </c>
      <c r="C2275" s="6">
        <v>59</v>
      </c>
      <c r="D2275" s="6">
        <v>59</v>
      </c>
      <c r="F2275" s="136">
        <v>678</v>
      </c>
      <c r="G2275" s="20"/>
      <c r="H2275" s="7">
        <f>ROUND($F2275*C2275,0)</f>
        <v>40002</v>
      </c>
      <c r="I2275" s="7">
        <f>ROUND($F2275*D2275,0)</f>
        <v>40002</v>
      </c>
      <c r="K2275" s="136"/>
      <c r="L2275" s="136">
        <v>696</v>
      </c>
      <c r="M2275" s="20"/>
      <c r="N2275" s="7">
        <f>ROUND($D2275*L2275,0)</f>
        <v>41064</v>
      </c>
      <c r="O2275" s="219"/>
      <c r="P2275" s="55"/>
    </row>
    <row r="2276" spans="1:16" x14ac:dyDescent="0.25">
      <c r="A2276" s="19" t="s">
        <v>371</v>
      </c>
      <c r="C2276" s="6">
        <v>255139</v>
      </c>
      <c r="D2276" s="6">
        <v>291905</v>
      </c>
      <c r="F2276" s="136">
        <v>2.63</v>
      </c>
      <c r="G2276" s="20"/>
      <c r="H2276" s="7">
        <f>ROUND($F2276*C2276,0)</f>
        <v>671016</v>
      </c>
      <c r="I2276" s="7">
        <f>ROUND($F2276*D2276,0)</f>
        <v>767710</v>
      </c>
      <c r="K2276" s="136"/>
      <c r="L2276" s="136">
        <v>2.7</v>
      </c>
      <c r="M2276" s="20"/>
      <c r="N2276" s="7">
        <f>ROUND($D2276*L2276,0)</f>
        <v>788144</v>
      </c>
      <c r="O2276" s="219"/>
      <c r="P2276" s="55"/>
    </row>
    <row r="2277" spans="1:16" x14ac:dyDescent="0.25">
      <c r="A2277" s="19" t="s">
        <v>372</v>
      </c>
      <c r="F2277" s="137"/>
      <c r="G2277" s="24"/>
      <c r="K2277" s="137"/>
      <c r="L2277" s="137"/>
      <c r="M2277" s="24"/>
      <c r="O2277" s="223"/>
      <c r="P2277" s="57"/>
    </row>
    <row r="2278" spans="1:16" x14ac:dyDescent="0.25">
      <c r="A2278" s="19" t="s">
        <v>373</v>
      </c>
      <c r="F2278" s="136"/>
      <c r="G2278" s="138"/>
      <c r="K2278" s="136"/>
      <c r="L2278" s="136"/>
      <c r="M2278" s="138"/>
      <c r="O2278" s="219"/>
      <c r="P2278" s="220"/>
    </row>
    <row r="2279" spans="1:16" x14ac:dyDescent="0.25">
      <c r="A2279" s="19" t="s">
        <v>374</v>
      </c>
      <c r="C2279" s="6">
        <v>600848.49925864791</v>
      </c>
      <c r="D2279" s="6">
        <v>657860</v>
      </c>
      <c r="F2279" s="136"/>
      <c r="G2279" s="138"/>
      <c r="K2279" s="136"/>
      <c r="L2279" s="136">
        <v>0.78</v>
      </c>
      <c r="M2279" s="138"/>
      <c r="N2279" s="7">
        <f>ROUND($D2279*L2279,0)</f>
        <v>513131</v>
      </c>
      <c r="O2279" s="219"/>
      <c r="P2279" s="220"/>
    </row>
    <row r="2280" spans="1:16" x14ac:dyDescent="0.25">
      <c r="A2280" s="19" t="s">
        <v>375</v>
      </c>
      <c r="C2280" s="6">
        <v>277598.74667151121</v>
      </c>
      <c r="D2280" s="6">
        <v>307104</v>
      </c>
      <c r="F2280" s="136"/>
      <c r="G2280" s="138"/>
      <c r="K2280" s="136"/>
      <c r="L2280" s="136">
        <v>0.69</v>
      </c>
      <c r="M2280" s="138"/>
      <c r="N2280" s="7">
        <f>ROUND($D2280*L2280,0)</f>
        <v>211902</v>
      </c>
      <c r="O2280" s="219"/>
      <c r="P2280" s="220"/>
    </row>
    <row r="2281" spans="1:16" x14ac:dyDescent="0.25">
      <c r="A2281" s="19" t="s">
        <v>376</v>
      </c>
      <c r="F2281" s="137"/>
      <c r="G2281" s="139"/>
      <c r="K2281" s="137"/>
      <c r="L2281" s="137"/>
      <c r="M2281" s="139"/>
      <c r="O2281" s="223"/>
      <c r="P2281" s="221"/>
    </row>
    <row r="2282" spans="1:16" x14ac:dyDescent="0.25">
      <c r="A2282" s="19" t="s">
        <v>374</v>
      </c>
      <c r="C2282" s="6">
        <v>0</v>
      </c>
      <c r="D2282" s="6">
        <v>0</v>
      </c>
      <c r="F2282" s="137"/>
      <c r="G2282" s="139"/>
      <c r="K2282" s="136"/>
      <c r="L2282" s="136">
        <f>L2279/2</f>
        <v>0.39</v>
      </c>
      <c r="M2282" s="139"/>
      <c r="N2282" s="7">
        <f>ROUND($D2282*L2282,0)</f>
        <v>0</v>
      </c>
      <c r="O2282" s="219"/>
      <c r="P2282" s="221"/>
    </row>
    <row r="2283" spans="1:16" x14ac:dyDescent="0.25">
      <c r="A2283" s="19" t="s">
        <v>375</v>
      </c>
      <c r="C2283" s="6">
        <v>124384.92161982199</v>
      </c>
      <c r="D2283" s="6">
        <v>150561</v>
      </c>
      <c r="F2283" s="137"/>
      <c r="G2283" s="139"/>
      <c r="K2283" s="136"/>
      <c r="L2283" s="136">
        <f>L2280/2</f>
        <v>0.34499999999999997</v>
      </c>
      <c r="M2283" s="139"/>
      <c r="N2283" s="7">
        <f>ROUND($D2283*L2283,0)</f>
        <v>51944</v>
      </c>
      <c r="O2283" s="219"/>
      <c r="P2283" s="221"/>
    </row>
    <row r="2284" spans="1:16" x14ac:dyDescent="0.25">
      <c r="A2284" s="19" t="s">
        <v>377</v>
      </c>
      <c r="F2284" s="136"/>
      <c r="G2284" s="20"/>
      <c r="K2284" s="136"/>
      <c r="L2284" s="136"/>
      <c r="M2284" s="20"/>
      <c r="O2284" s="219"/>
      <c r="P2284" s="55"/>
    </row>
    <row r="2285" spans="1:16" x14ac:dyDescent="0.25">
      <c r="A2285" s="19" t="s">
        <v>374</v>
      </c>
      <c r="C2285" s="6">
        <v>7090.2753568586704</v>
      </c>
      <c r="D2285" s="6">
        <v>6767</v>
      </c>
      <c r="F2285" s="136"/>
      <c r="G2285" s="20"/>
      <c r="K2285" s="136"/>
      <c r="L2285" s="136">
        <v>33.21</v>
      </c>
      <c r="M2285" s="20"/>
      <c r="N2285" s="7">
        <f>ROUND($D2285*L2285,0)</f>
        <v>224732</v>
      </c>
      <c r="O2285" s="219"/>
      <c r="P2285" s="55"/>
    </row>
    <row r="2286" spans="1:16" x14ac:dyDescent="0.25">
      <c r="A2286" s="19" t="s">
        <v>375</v>
      </c>
      <c r="C2286" s="6">
        <v>1117.76039154251</v>
      </c>
      <c r="D2286" s="6">
        <v>1067</v>
      </c>
      <c r="F2286" s="136"/>
      <c r="G2286" s="20"/>
      <c r="K2286" s="136"/>
      <c r="L2286" s="136">
        <v>29.39</v>
      </c>
      <c r="M2286" s="20"/>
      <c r="N2286" s="7">
        <f>ROUND($D2286*L2286,0)</f>
        <v>31359</v>
      </c>
      <c r="O2286" s="219"/>
      <c r="P2286" s="55"/>
    </row>
    <row r="2287" spans="1:16" x14ac:dyDescent="0.25">
      <c r="A2287" s="19" t="s">
        <v>373</v>
      </c>
      <c r="F2287" s="136"/>
      <c r="G2287" s="138"/>
      <c r="K2287" s="136"/>
      <c r="L2287" s="136"/>
      <c r="M2287" s="138"/>
      <c r="O2287" s="219"/>
      <c r="P2287" s="220"/>
    </row>
    <row r="2288" spans="1:16" x14ac:dyDescent="0.25">
      <c r="A2288" s="19" t="s">
        <v>378</v>
      </c>
      <c r="C2288" s="6">
        <v>740481</v>
      </c>
      <c r="D2288" s="6">
        <v>810741</v>
      </c>
      <c r="F2288" s="136">
        <v>0.76</v>
      </c>
      <c r="G2288" s="138"/>
      <c r="H2288" s="7">
        <f>ROUND($F2288*C2288,0)</f>
        <v>562766</v>
      </c>
      <c r="I2288" s="7">
        <f>ROUND($F2288*D2288,0)</f>
        <v>616163</v>
      </c>
      <c r="K2288" s="136"/>
      <c r="L2288" s="136"/>
      <c r="M2288" s="138"/>
      <c r="O2288" s="219"/>
      <c r="P2288" s="220"/>
    </row>
    <row r="2289" spans="1:17" x14ac:dyDescent="0.25">
      <c r="A2289" s="19" t="s">
        <v>379</v>
      </c>
      <c r="C2289" s="6">
        <v>244379</v>
      </c>
      <c r="D2289" s="6">
        <v>270354</v>
      </c>
      <c r="F2289" s="136">
        <v>0.51</v>
      </c>
      <c r="G2289" s="138"/>
      <c r="H2289" s="7">
        <f>ROUND($F2289*C2289,0)</f>
        <v>124633</v>
      </c>
      <c r="I2289" s="7">
        <f>ROUND($F2289*D2289,0)</f>
        <v>137881</v>
      </c>
      <c r="K2289" s="136"/>
      <c r="L2289" s="136"/>
      <c r="M2289" s="138"/>
      <c r="O2289" s="219"/>
      <c r="P2289" s="220"/>
    </row>
    <row r="2290" spans="1:17" x14ac:dyDescent="0.25">
      <c r="A2290" s="19" t="s">
        <v>376</v>
      </c>
      <c r="F2290" s="137"/>
      <c r="G2290" s="139"/>
      <c r="K2290" s="137"/>
      <c r="L2290" s="137"/>
      <c r="M2290" s="139"/>
      <c r="O2290" s="223"/>
      <c r="P2290" s="221"/>
    </row>
    <row r="2291" spans="1:17" x14ac:dyDescent="0.25">
      <c r="A2291" s="19" t="s">
        <v>378</v>
      </c>
      <c r="C2291" s="6">
        <v>0</v>
      </c>
      <c r="D2291" s="6">
        <v>0</v>
      </c>
      <c r="F2291" s="137">
        <v>0.38</v>
      </c>
      <c r="G2291" s="139"/>
      <c r="H2291" s="7">
        <f>ROUND($F2291*C2291,0)</f>
        <v>0</v>
      </c>
      <c r="I2291" s="7">
        <f>ROUND($F2291*D2291,0)</f>
        <v>0</v>
      </c>
      <c r="K2291" s="137"/>
      <c r="L2291" s="137"/>
      <c r="M2291" s="139"/>
      <c r="O2291" s="223"/>
      <c r="P2291" s="221"/>
    </row>
    <row r="2292" spans="1:17" x14ac:dyDescent="0.25">
      <c r="A2292" s="19" t="s">
        <v>379</v>
      </c>
      <c r="C2292" s="6">
        <v>109500</v>
      </c>
      <c r="D2292" s="6">
        <v>132544</v>
      </c>
      <c r="F2292" s="137">
        <v>0.255</v>
      </c>
      <c r="G2292" s="139"/>
      <c r="H2292" s="7">
        <f>ROUND($F2292*C2292,0)</f>
        <v>27923</v>
      </c>
      <c r="I2292" s="7">
        <f>ROUND($F2292*D2292,0)</f>
        <v>33799</v>
      </c>
      <c r="K2292" s="137"/>
      <c r="L2292" s="137"/>
      <c r="M2292" s="139"/>
      <c r="O2292" s="223"/>
      <c r="P2292" s="221"/>
    </row>
    <row r="2293" spans="1:17" x14ac:dyDescent="0.25">
      <c r="A2293" s="19" t="s">
        <v>377</v>
      </c>
      <c r="F2293" s="136"/>
      <c r="G2293" s="20"/>
      <c r="K2293" s="136"/>
      <c r="L2293" s="136"/>
      <c r="M2293" s="20"/>
      <c r="O2293" s="219"/>
      <c r="P2293" s="55"/>
    </row>
    <row r="2294" spans="1:17" x14ac:dyDescent="0.25">
      <c r="A2294" s="19" t="s">
        <v>378</v>
      </c>
      <c r="C2294" s="6">
        <v>8738</v>
      </c>
      <c r="D2294" s="6">
        <v>8339</v>
      </c>
      <c r="F2294" s="136">
        <v>32.35</v>
      </c>
      <c r="G2294" s="20"/>
      <c r="H2294" s="7">
        <f>ROUND($F2294*C2294,0)</f>
        <v>282674</v>
      </c>
      <c r="I2294" s="7">
        <f>ROUND($F2294*D2294,0)</f>
        <v>269767</v>
      </c>
      <c r="K2294" s="136"/>
      <c r="L2294" s="136"/>
      <c r="M2294" s="20"/>
      <c r="O2294" s="219"/>
      <c r="P2294" s="55"/>
    </row>
    <row r="2295" spans="1:17" x14ac:dyDescent="0.25">
      <c r="A2295" s="19" t="s">
        <v>379</v>
      </c>
      <c r="C2295" s="6">
        <v>984</v>
      </c>
      <c r="D2295" s="6">
        <v>939</v>
      </c>
      <c r="F2295" s="136">
        <v>23.36</v>
      </c>
      <c r="G2295" s="20"/>
      <c r="H2295" s="7">
        <f>ROUND($F2295*C2295,0)</f>
        <v>22986</v>
      </c>
      <c r="I2295" s="7">
        <f>ROUND($F2295*D2295,0)</f>
        <v>21935</v>
      </c>
      <c r="K2295" s="136"/>
      <c r="L2295" s="136"/>
      <c r="M2295" s="20"/>
      <c r="O2295" s="219"/>
      <c r="P2295" s="55"/>
    </row>
    <row r="2296" spans="1:17" x14ac:dyDescent="0.25">
      <c r="A2296" s="19" t="s">
        <v>328</v>
      </c>
      <c r="C2296" s="121"/>
      <c r="D2296" s="121"/>
      <c r="F2296" s="100"/>
      <c r="G2296" s="100"/>
      <c r="H2296" s="37">
        <f>SUM(H2231:H2295)</f>
        <v>2036745</v>
      </c>
      <c r="I2296" s="37">
        <f>SUM(I2231:I2295)</f>
        <v>2179358</v>
      </c>
      <c r="K2296" s="100"/>
      <c r="L2296" s="100"/>
      <c r="M2296" s="100"/>
      <c r="N2296" s="37">
        <f>SUM(N2231:N2295)</f>
        <v>2163270</v>
      </c>
      <c r="O2296" s="207"/>
      <c r="P2296" s="207"/>
      <c r="Q2296" s="64"/>
    </row>
    <row r="2297" spans="1:17" x14ac:dyDescent="0.25">
      <c r="A2297" s="134" t="s">
        <v>382</v>
      </c>
    </row>
    <row r="2298" spans="1:17" x14ac:dyDescent="0.25">
      <c r="A2298" s="15" t="s">
        <v>383</v>
      </c>
      <c r="F2298" s="24"/>
      <c r="G2298" s="24"/>
      <c r="K2298" s="24"/>
      <c r="L2298" s="24"/>
      <c r="M2298" s="24"/>
      <c r="O2298" s="57"/>
      <c r="P2298" s="57"/>
    </row>
    <row r="2299" spans="1:17" x14ac:dyDescent="0.25">
      <c r="A2299" s="19" t="s">
        <v>81</v>
      </c>
      <c r="C2299" s="6">
        <v>29129</v>
      </c>
      <c r="D2299" s="6">
        <v>27799</v>
      </c>
      <c r="F2299" s="24">
        <v>4.76</v>
      </c>
      <c r="G2299" s="24"/>
      <c r="H2299" s="7">
        <f t="shared" ref="H2299:I2308" si="333">ROUND($F2299*C2299,0)</f>
        <v>138654</v>
      </c>
      <c r="I2299" s="7">
        <f t="shared" si="333"/>
        <v>132323</v>
      </c>
      <c r="K2299" s="24"/>
      <c r="L2299" s="24">
        <f t="shared" ref="L2299:L2305" si="334">L1378</f>
        <v>4.8099999999999996</v>
      </c>
      <c r="M2299" s="24"/>
      <c r="N2299" s="7">
        <f>ROUND($D2299*L2299,0)</f>
        <v>133713</v>
      </c>
      <c r="O2299" s="57"/>
      <c r="P2299" s="57"/>
    </row>
    <row r="2300" spans="1:17" x14ac:dyDescent="0.25">
      <c r="A2300" s="19" t="s">
        <v>176</v>
      </c>
      <c r="C2300" s="6">
        <v>2828.2164038624519</v>
      </c>
      <c r="D2300" s="6">
        <v>2699</v>
      </c>
      <c r="F2300" s="24"/>
      <c r="G2300" s="24"/>
      <c r="K2300" s="24"/>
      <c r="L2300" s="24">
        <f t="shared" si="334"/>
        <v>15.73</v>
      </c>
      <c r="M2300" s="24"/>
      <c r="N2300" s="7">
        <f>ROUND($D2300*L2300,0)</f>
        <v>42455</v>
      </c>
      <c r="O2300" s="57"/>
      <c r="P2300" s="57"/>
    </row>
    <row r="2301" spans="1:17" x14ac:dyDescent="0.25">
      <c r="A2301" s="19" t="s">
        <v>177</v>
      </c>
      <c r="C2301" s="6">
        <v>28169.780665940372</v>
      </c>
      <c r="D2301" s="6">
        <v>26884</v>
      </c>
      <c r="F2301" s="24"/>
      <c r="G2301" s="24"/>
      <c r="K2301" s="24"/>
      <c r="L2301" s="24">
        <f t="shared" si="334"/>
        <v>13.92</v>
      </c>
      <c r="M2301" s="24"/>
      <c r="N2301" s="7">
        <f>ROUND($D2301*L2301,0)</f>
        <v>374225</v>
      </c>
      <c r="O2301" s="57"/>
      <c r="P2301" s="57"/>
    </row>
    <row r="2302" spans="1:17" x14ac:dyDescent="0.25">
      <c r="A2302" s="19" t="s">
        <v>17</v>
      </c>
      <c r="C2302" s="6">
        <v>943370.68349318916</v>
      </c>
      <c r="D2302" s="6">
        <v>905085</v>
      </c>
      <c r="F2302" s="100"/>
      <c r="G2302" s="26"/>
      <c r="K2302" s="100"/>
      <c r="L2302" s="100">
        <f t="shared" si="334"/>
        <v>5.8281999999999998</v>
      </c>
      <c r="M2302" s="26" t="s">
        <v>18</v>
      </c>
      <c r="N2302" s="7">
        <f>ROUND($D2302*L2302/100,0)</f>
        <v>52750</v>
      </c>
      <c r="O2302" s="207"/>
      <c r="P2302" s="59"/>
    </row>
    <row r="2303" spans="1:17" x14ac:dyDescent="0.25">
      <c r="A2303" s="19" t="s">
        <v>178</v>
      </c>
      <c r="C2303" s="6">
        <v>2666759.3334862269</v>
      </c>
      <c r="D2303" s="6">
        <v>2558532</v>
      </c>
      <c r="F2303" s="100"/>
      <c r="G2303" s="26"/>
      <c r="K2303" s="100"/>
      <c r="L2303" s="100">
        <f t="shared" si="334"/>
        <v>5.1577000000000002</v>
      </c>
      <c r="M2303" s="26" t="s">
        <v>18</v>
      </c>
      <c r="N2303" s="7">
        <f>ROUND($D2303*L2303/100,0)</f>
        <v>131961</v>
      </c>
      <c r="O2303" s="207"/>
      <c r="P2303" s="59"/>
    </row>
    <row r="2304" spans="1:17" x14ac:dyDescent="0.25">
      <c r="A2304" s="19" t="s">
        <v>19</v>
      </c>
      <c r="C2304" s="6">
        <v>4194488.0053539481</v>
      </c>
      <c r="D2304" s="6">
        <v>4024260</v>
      </c>
      <c r="F2304" s="100"/>
      <c r="G2304" s="26"/>
      <c r="K2304" s="100"/>
      <c r="L2304" s="100">
        <f t="shared" si="334"/>
        <v>2.9624000000000001</v>
      </c>
      <c r="M2304" s="26" t="s">
        <v>18</v>
      </c>
      <c r="N2304" s="7">
        <f>ROUND($D2304*L2304/100,0)</f>
        <v>119215</v>
      </c>
      <c r="O2304" s="207"/>
      <c r="P2304" s="59"/>
    </row>
    <row r="2305" spans="1:17" x14ac:dyDescent="0.25">
      <c r="A2305" s="19" t="s">
        <v>179</v>
      </c>
      <c r="C2305" s="6">
        <v>7840981.977666636</v>
      </c>
      <c r="D2305" s="6">
        <v>7522766</v>
      </c>
      <c r="F2305" s="100"/>
      <c r="G2305" s="26"/>
      <c r="K2305" s="100"/>
      <c r="L2305" s="100">
        <f t="shared" si="334"/>
        <v>2.6215999999999999</v>
      </c>
      <c r="M2305" s="26" t="s">
        <v>18</v>
      </c>
      <c r="N2305" s="7">
        <f>ROUND($D2305*L2305/100,0)</f>
        <v>197217</v>
      </c>
      <c r="O2305" s="207"/>
      <c r="P2305" s="59"/>
    </row>
    <row r="2306" spans="1:17" x14ac:dyDescent="0.25">
      <c r="A2306" s="19" t="s">
        <v>180</v>
      </c>
      <c r="C2306" s="6">
        <v>3500</v>
      </c>
      <c r="D2306" s="6">
        <v>3340</v>
      </c>
      <c r="F2306" s="24">
        <v>15.56</v>
      </c>
      <c r="G2306" s="24"/>
      <c r="H2306" s="7">
        <f t="shared" si="333"/>
        <v>54460</v>
      </c>
      <c r="I2306" s="7">
        <f t="shared" si="333"/>
        <v>51970</v>
      </c>
      <c r="K2306" s="24"/>
      <c r="L2306" s="24"/>
      <c r="M2306" s="24"/>
      <c r="O2306" s="57"/>
      <c r="P2306" s="57"/>
    </row>
    <row r="2307" spans="1:17" x14ac:dyDescent="0.25">
      <c r="A2307" s="19" t="s">
        <v>181</v>
      </c>
      <c r="C2307" s="6">
        <v>25538</v>
      </c>
      <c r="D2307" s="6">
        <v>24372</v>
      </c>
      <c r="F2307" s="24">
        <v>11.19</v>
      </c>
      <c r="G2307" s="24"/>
      <c r="H2307" s="7">
        <f t="shared" si="333"/>
        <v>285770</v>
      </c>
      <c r="I2307" s="7">
        <f t="shared" si="333"/>
        <v>272723</v>
      </c>
      <c r="K2307" s="24"/>
      <c r="L2307" s="24"/>
      <c r="M2307" s="24"/>
      <c r="O2307" s="57"/>
      <c r="P2307" s="57"/>
    </row>
    <row r="2308" spans="1:17" x14ac:dyDescent="0.25">
      <c r="A2308" s="19" t="s">
        <v>77</v>
      </c>
      <c r="C2308" s="6">
        <v>29038</v>
      </c>
      <c r="D2308" s="6">
        <v>27713</v>
      </c>
      <c r="F2308" s="24">
        <v>-1.1299999999999999</v>
      </c>
      <c r="G2308" s="24"/>
      <c r="H2308" s="7">
        <f t="shared" si="333"/>
        <v>-32813</v>
      </c>
      <c r="I2308" s="7">
        <f t="shared" si="333"/>
        <v>-31316</v>
      </c>
      <c r="K2308" s="24"/>
      <c r="L2308" s="24">
        <f>L1387</f>
        <v>-1.1299999999999999</v>
      </c>
      <c r="M2308" s="24"/>
      <c r="N2308" s="7">
        <f>ROUND($D2308*L2308,0)</f>
        <v>-31316</v>
      </c>
      <c r="O2308" s="57"/>
      <c r="P2308" s="57"/>
    </row>
    <row r="2309" spans="1:17" x14ac:dyDescent="0.25">
      <c r="A2309" s="19" t="s">
        <v>25</v>
      </c>
      <c r="C2309" s="6">
        <v>1183200</v>
      </c>
      <c r="D2309" s="6">
        <v>1135181.6666666567</v>
      </c>
      <c r="F2309" s="100">
        <v>5.0473999999999997</v>
      </c>
      <c r="G2309" s="26" t="s">
        <v>18</v>
      </c>
      <c r="H2309" s="7">
        <f t="shared" ref="H2309:I2311" si="335">ROUND($F2309*C2309/100,0)</f>
        <v>59721</v>
      </c>
      <c r="I2309" s="7">
        <f t="shared" si="335"/>
        <v>57297</v>
      </c>
      <c r="K2309" s="100"/>
      <c r="L2309" s="100"/>
      <c r="M2309" s="26"/>
      <c r="O2309" s="207"/>
      <c r="P2309" s="59"/>
    </row>
    <row r="2310" spans="1:17" x14ac:dyDescent="0.25">
      <c r="A2310" s="19" t="s">
        <v>124</v>
      </c>
      <c r="C2310" s="6">
        <v>5407200</v>
      </c>
      <c r="D2310" s="6">
        <v>5187756</v>
      </c>
      <c r="F2310" s="100">
        <v>3.9510999999999998</v>
      </c>
      <c r="G2310" s="26" t="s">
        <v>18</v>
      </c>
      <c r="H2310" s="7">
        <f t="shared" si="335"/>
        <v>213644</v>
      </c>
      <c r="I2310" s="7">
        <f t="shared" si="335"/>
        <v>204973</v>
      </c>
      <c r="K2310" s="100"/>
      <c r="L2310" s="100"/>
      <c r="M2310" s="26"/>
      <c r="O2310" s="207"/>
      <c r="P2310" s="59"/>
    </row>
    <row r="2311" spans="1:17" x14ac:dyDescent="0.25">
      <c r="A2311" s="19" t="s">
        <v>41</v>
      </c>
      <c r="C2311" s="130">
        <v>9055200</v>
      </c>
      <c r="D2311" s="130">
        <v>8687706</v>
      </c>
      <c r="F2311" s="142">
        <v>3.4001999999999999</v>
      </c>
      <c r="G2311" s="26" t="s">
        <v>18</v>
      </c>
      <c r="H2311" s="141">
        <f t="shared" si="335"/>
        <v>307895</v>
      </c>
      <c r="I2311" s="141">
        <f t="shared" si="335"/>
        <v>295399</v>
      </c>
      <c r="K2311" s="142"/>
      <c r="L2311" s="142"/>
      <c r="M2311" s="26"/>
      <c r="N2311" s="141"/>
      <c r="O2311" s="225"/>
      <c r="P2311" s="59"/>
      <c r="Q2311" s="224"/>
    </row>
    <row r="2312" spans="1:17" x14ac:dyDescent="0.25">
      <c r="A2312" s="19" t="s">
        <v>34</v>
      </c>
      <c r="F2312" s="23">
        <v>-3.1800000000000002E-2</v>
      </c>
      <c r="G2312" s="24"/>
      <c r="H2312" s="7">
        <f>SUM(H2306:H2307,H2309:H2311)*$F2312</f>
        <v>-29303.382000000001</v>
      </c>
      <c r="I2312" s="7">
        <f>SUM(I2306:I2307,I2309:I2311)*$F2312</f>
        <v>-28059.1116</v>
      </c>
      <c r="K2312" s="93" t="str">
        <f>$K$43</f>
        <v>TAA 1 (1/1/2021)</v>
      </c>
      <c r="L2312" s="23">
        <f>L1392</f>
        <v>-2.5000000000000001E-2</v>
      </c>
      <c r="M2312" s="24"/>
      <c r="N2312" s="7">
        <f>L2312*SUM(N2300:N2305)</f>
        <v>-22945.575000000001</v>
      </c>
      <c r="O2312" s="65"/>
      <c r="P2312" s="57"/>
    </row>
    <row r="2313" spans="1:17" x14ac:dyDescent="0.25">
      <c r="A2313" s="19"/>
      <c r="F2313" s="23"/>
      <c r="G2313" s="24"/>
      <c r="K2313" s="93" t="str">
        <f>$K$44</f>
        <v>TAA 2 (1/1/2022)</v>
      </c>
      <c r="L2313" s="23">
        <f>L1393</f>
        <v>-1.2500000000000001E-2</v>
      </c>
      <c r="M2313" s="24"/>
      <c r="N2313" s="7">
        <f>L2313*SUM(N2300:N2305)</f>
        <v>-11472.7875</v>
      </c>
      <c r="O2313" s="65"/>
      <c r="P2313" s="57"/>
    </row>
    <row r="2314" spans="1:17" x14ac:dyDescent="0.25">
      <c r="A2314" s="15" t="s">
        <v>384</v>
      </c>
      <c r="F2314" s="24"/>
      <c r="G2314" s="24"/>
      <c r="K2314" s="24"/>
      <c r="L2314" s="24"/>
      <c r="M2314" s="24"/>
      <c r="O2314" s="57"/>
      <c r="P2314" s="57"/>
    </row>
    <row r="2315" spans="1:17" x14ac:dyDescent="0.25">
      <c r="A2315" s="19" t="s">
        <v>81</v>
      </c>
      <c r="C2315" s="6">
        <v>272193</v>
      </c>
      <c r="D2315" s="6">
        <v>283278</v>
      </c>
      <c r="F2315" s="24">
        <v>2.2200000000000002</v>
      </c>
      <c r="G2315" s="24"/>
      <c r="H2315" s="7">
        <f t="shared" ref="H2315:I2323" si="336">ROUND($F2315*C2315,0)</f>
        <v>604268</v>
      </c>
      <c r="I2315" s="7">
        <f t="shared" si="336"/>
        <v>628877</v>
      </c>
      <c r="K2315" s="24"/>
      <c r="L2315" s="24">
        <f t="shared" ref="L2315:L2321" si="337">L1480</f>
        <v>2.2799999999999998</v>
      </c>
      <c r="M2315" s="24"/>
      <c r="N2315" s="7">
        <f>ROUND($D2315*L2315,0)</f>
        <v>645874</v>
      </c>
      <c r="O2315" s="57"/>
      <c r="P2315" s="57"/>
    </row>
    <row r="2316" spans="1:17" x14ac:dyDescent="0.25">
      <c r="A2316" s="19" t="s">
        <v>176</v>
      </c>
      <c r="C2316" s="6">
        <v>94439.903634551389</v>
      </c>
      <c r="D2316" s="6">
        <v>96907</v>
      </c>
      <c r="F2316" s="24"/>
      <c r="G2316" s="24"/>
      <c r="K2316" s="24"/>
      <c r="L2316" s="24">
        <f t="shared" si="337"/>
        <v>14.33</v>
      </c>
      <c r="M2316" s="24"/>
      <c r="N2316" s="7">
        <f>ROUND($D2316*L2316,0)</f>
        <v>1388677</v>
      </c>
      <c r="O2316" s="57"/>
      <c r="P2316" s="57"/>
    </row>
    <row r="2317" spans="1:17" x14ac:dyDescent="0.25">
      <c r="A2317" s="19" t="s">
        <v>177</v>
      </c>
      <c r="C2317" s="6">
        <v>171966.98186467227</v>
      </c>
      <c r="D2317" s="6">
        <v>180946</v>
      </c>
      <c r="F2317" s="24"/>
      <c r="G2317" s="24"/>
      <c r="K2317" s="24"/>
      <c r="L2317" s="24">
        <f t="shared" si="337"/>
        <v>12.68</v>
      </c>
      <c r="M2317" s="24"/>
      <c r="N2317" s="7">
        <f>ROUND($D2317*L2317,0)</f>
        <v>2294395</v>
      </c>
      <c r="O2317" s="57"/>
      <c r="P2317" s="57"/>
    </row>
    <row r="2318" spans="1:17" x14ac:dyDescent="0.25">
      <c r="A2318" s="19" t="s">
        <v>17</v>
      </c>
      <c r="C2318" s="6">
        <v>14297570.662985027</v>
      </c>
      <c r="D2318" s="6">
        <v>14609917</v>
      </c>
      <c r="F2318" s="99"/>
      <c r="G2318" s="26"/>
      <c r="K2318" s="99"/>
      <c r="L2318" s="99">
        <f t="shared" si="337"/>
        <v>5.1477000000000004</v>
      </c>
      <c r="M2318" s="26" t="s">
        <v>18</v>
      </c>
      <c r="N2318" s="7">
        <f>ROUND($D2318*L2318/100,0)</f>
        <v>752075</v>
      </c>
      <c r="O2318" s="206"/>
      <c r="P2318" s="59"/>
    </row>
    <row r="2319" spans="1:17" x14ac:dyDescent="0.25">
      <c r="A2319" s="19" t="s">
        <v>178</v>
      </c>
      <c r="C2319" s="6">
        <v>20978455.284624182</v>
      </c>
      <c r="D2319" s="6">
        <v>21736230</v>
      </c>
      <c r="F2319" s="99"/>
      <c r="G2319" s="26"/>
      <c r="K2319" s="99"/>
      <c r="L2319" s="99">
        <f t="shared" si="337"/>
        <v>4.5555000000000003</v>
      </c>
      <c r="M2319" s="26" t="s">
        <v>18</v>
      </c>
      <c r="N2319" s="7">
        <f>ROUND($D2319*L2319/100,0)</f>
        <v>990194</v>
      </c>
      <c r="O2319" s="206"/>
      <c r="P2319" s="59"/>
    </row>
    <row r="2320" spans="1:17" x14ac:dyDescent="0.25">
      <c r="A2320" s="19" t="s">
        <v>19</v>
      </c>
      <c r="C2320" s="6">
        <v>46087699.508693144</v>
      </c>
      <c r="D2320" s="6">
        <v>47389695</v>
      </c>
      <c r="F2320" s="99"/>
      <c r="G2320" s="26"/>
      <c r="K2320" s="99"/>
      <c r="L2320" s="99">
        <f t="shared" si="337"/>
        <v>2.6164999999999998</v>
      </c>
      <c r="M2320" s="26" t="s">
        <v>18</v>
      </c>
      <c r="N2320" s="7">
        <f>ROUND($D2320*L2320/100,0)</f>
        <v>1239951</v>
      </c>
      <c r="O2320" s="206"/>
      <c r="P2320" s="59"/>
    </row>
    <row r="2321" spans="1:17" x14ac:dyDescent="0.25">
      <c r="A2321" s="19" t="s">
        <v>179</v>
      </c>
      <c r="C2321" s="130">
        <v>88097430.543697655</v>
      </c>
      <c r="D2321" s="130">
        <v>90512657.666666657</v>
      </c>
      <c r="F2321" s="143"/>
      <c r="G2321" s="26"/>
      <c r="H2321" s="141"/>
      <c r="I2321" s="141"/>
      <c r="K2321" s="143"/>
      <c r="L2321" s="143">
        <f t="shared" si="337"/>
        <v>2.3155000000000001</v>
      </c>
      <c r="M2321" s="26" t="s">
        <v>18</v>
      </c>
      <c r="N2321" s="7">
        <f>ROUND($D2321*L2321/100,0)</f>
        <v>2095821</v>
      </c>
      <c r="O2321" s="226"/>
      <c r="P2321" s="59"/>
    </row>
    <row r="2322" spans="1:17" x14ac:dyDescent="0.25">
      <c r="A2322" s="19" t="s">
        <v>180</v>
      </c>
      <c r="C2322" s="6">
        <v>116387</v>
      </c>
      <c r="D2322" s="6">
        <v>119427</v>
      </c>
      <c r="F2322" s="24">
        <v>13.96</v>
      </c>
      <c r="G2322" s="24"/>
      <c r="H2322" s="7">
        <f t="shared" si="336"/>
        <v>1624763</v>
      </c>
      <c r="I2322" s="7">
        <f t="shared" si="336"/>
        <v>1667201</v>
      </c>
      <c r="K2322" s="24"/>
      <c r="L2322" s="24"/>
      <c r="M2322" s="24"/>
      <c r="O2322" s="57"/>
      <c r="P2322" s="57"/>
    </row>
    <row r="2323" spans="1:17" x14ac:dyDescent="0.25">
      <c r="A2323" s="19" t="s">
        <v>181</v>
      </c>
      <c r="C2323" s="6">
        <v>151388</v>
      </c>
      <c r="D2323" s="6">
        <v>159292</v>
      </c>
      <c r="F2323" s="24">
        <v>9.4700000000000006</v>
      </c>
      <c r="G2323" s="24"/>
      <c r="H2323" s="7">
        <f t="shared" si="336"/>
        <v>1433644</v>
      </c>
      <c r="I2323" s="7">
        <f t="shared" si="336"/>
        <v>1508495</v>
      </c>
      <c r="K2323" s="24"/>
      <c r="L2323" s="24"/>
      <c r="M2323" s="24"/>
      <c r="O2323" s="57"/>
      <c r="P2323" s="57"/>
    </row>
    <row r="2324" spans="1:17" x14ac:dyDescent="0.25">
      <c r="A2324" s="19" t="s">
        <v>187</v>
      </c>
      <c r="C2324" s="6">
        <v>20671943</v>
      </c>
      <c r="D2324" s="6">
        <v>21123545</v>
      </c>
      <c r="F2324" s="99">
        <v>4.6531000000000002</v>
      </c>
      <c r="G2324" s="26" t="s">
        <v>18</v>
      </c>
      <c r="H2324" s="7">
        <f t="shared" ref="H2324:I2326" si="338">ROUND($F2324*C2324/100,0)</f>
        <v>961886</v>
      </c>
      <c r="I2324" s="7">
        <f t="shared" si="338"/>
        <v>982900</v>
      </c>
      <c r="K2324" s="99"/>
      <c r="L2324" s="99"/>
      <c r="M2324" s="26"/>
      <c r="O2324" s="206"/>
      <c r="P2324" s="59"/>
    </row>
    <row r="2325" spans="1:17" x14ac:dyDescent="0.25">
      <c r="A2325" s="19" t="s">
        <v>188</v>
      </c>
      <c r="C2325" s="6">
        <v>41988517</v>
      </c>
      <c r="D2325" s="6">
        <v>43505207</v>
      </c>
      <c r="F2325" s="99">
        <v>3.4988999999999999</v>
      </c>
      <c r="G2325" s="26" t="s">
        <v>18</v>
      </c>
      <c r="H2325" s="7">
        <f t="shared" si="338"/>
        <v>1469136</v>
      </c>
      <c r="I2325" s="7">
        <f t="shared" si="338"/>
        <v>1522204</v>
      </c>
      <c r="K2325" s="99"/>
      <c r="L2325" s="99"/>
      <c r="M2325" s="26"/>
      <c r="O2325" s="206"/>
      <c r="P2325" s="59"/>
    </row>
    <row r="2326" spans="1:17" x14ac:dyDescent="0.25">
      <c r="A2326" s="19" t="s">
        <v>41</v>
      </c>
      <c r="C2326" s="130">
        <v>106800696</v>
      </c>
      <c r="D2326" s="130">
        <v>109619747</v>
      </c>
      <c r="F2326" s="143">
        <v>2.9224999999999999</v>
      </c>
      <c r="G2326" s="26" t="s">
        <v>18</v>
      </c>
      <c r="H2326" s="141">
        <f t="shared" si="338"/>
        <v>3121250</v>
      </c>
      <c r="I2326" s="141">
        <f t="shared" si="338"/>
        <v>3203637</v>
      </c>
      <c r="K2326" s="143"/>
      <c r="L2326" s="143"/>
      <c r="M2326" s="26"/>
      <c r="N2326" s="141"/>
      <c r="O2326" s="226"/>
      <c r="P2326" s="59"/>
      <c r="Q2326" s="224"/>
    </row>
    <row r="2327" spans="1:17" x14ac:dyDescent="0.25">
      <c r="A2327" s="19" t="s">
        <v>34</v>
      </c>
      <c r="F2327" s="144">
        <v>-3.0700000000000002E-2</v>
      </c>
      <c r="G2327" s="24"/>
      <c r="H2327" s="145">
        <f>SUM(H2322:H2326)*$F2327</f>
        <v>-264347.84529999999</v>
      </c>
      <c r="I2327" s="145">
        <f>SUM(I2322:I2326)*$F2327</f>
        <v>-272752.21590000001</v>
      </c>
      <c r="K2327" s="93" t="str">
        <f>$K$43</f>
        <v>TAA 1 (1/1/2021)</v>
      </c>
      <c r="L2327" s="23">
        <f>L1493</f>
        <v>-2.4299999999999999E-2</v>
      </c>
      <c r="M2327" s="24"/>
      <c r="N2327" s="7">
        <f>L2327*SUM(N2316:N2321)</f>
        <v>-212895.0459</v>
      </c>
      <c r="O2327" s="65"/>
      <c r="P2327" s="57"/>
    </row>
    <row r="2328" spans="1:17" x14ac:dyDescent="0.25">
      <c r="A2328" s="19"/>
      <c r="F2328" s="23"/>
      <c r="G2328" s="24"/>
      <c r="K2328" s="93" t="str">
        <f>$K$44</f>
        <v>TAA 2 (1/1/2022)</v>
      </c>
      <c r="L2328" s="23">
        <f>L1494</f>
        <v>-1.21E-2</v>
      </c>
      <c r="M2328" s="24"/>
      <c r="N2328" s="7">
        <f>L2328*SUM(N2316:N2321)</f>
        <v>-106009.4673</v>
      </c>
      <c r="O2328" s="65"/>
      <c r="P2328" s="57"/>
    </row>
    <row r="2329" spans="1:17" x14ac:dyDescent="0.25">
      <c r="A2329" s="19" t="s">
        <v>328</v>
      </c>
      <c r="F2329" s="99"/>
      <c r="G2329" s="26"/>
      <c r="H2329" s="7">
        <f>SUM(H2299:H2327)</f>
        <v>9948626.7727000006</v>
      </c>
      <c r="I2329" s="7">
        <f>SUM(I2299:I2327)</f>
        <v>10195871.672499999</v>
      </c>
      <c r="K2329" s="99"/>
      <c r="L2329" s="99"/>
      <c r="M2329" s="26"/>
      <c r="N2329" s="7">
        <f>SUM(N2299:N2311,N2315:N2326)</f>
        <v>10427207</v>
      </c>
      <c r="O2329" s="206"/>
      <c r="P2329" s="59"/>
    </row>
    <row r="2330" spans="1:17" x14ac:dyDescent="0.25">
      <c r="A2330" s="5" t="s">
        <v>164</v>
      </c>
      <c r="C2330" s="121">
        <v>-102498</v>
      </c>
      <c r="D2330" s="121">
        <v>0</v>
      </c>
      <c r="F2330" s="100"/>
      <c r="G2330" s="100"/>
      <c r="H2330" s="37">
        <f>H2434+H2538</f>
        <v>-7456</v>
      </c>
      <c r="I2330" s="37">
        <f>I2434+I2538</f>
        <v>0</v>
      </c>
      <c r="K2330" s="100"/>
      <c r="L2330" s="100"/>
      <c r="M2330" s="100"/>
      <c r="N2330" s="37"/>
      <c r="O2330" s="207"/>
      <c r="P2330" s="207"/>
      <c r="Q2330" s="64"/>
    </row>
    <row r="2331" spans="1:17" ht="16.5" thickBot="1" x14ac:dyDescent="0.3">
      <c r="A2331" s="19" t="s">
        <v>385</v>
      </c>
      <c r="C2331" s="101">
        <v>185004258</v>
      </c>
      <c r="D2331" s="101">
        <v>189259142.66666666</v>
      </c>
      <c r="F2331" s="41"/>
      <c r="H2331" s="95">
        <f>H2296+H2329+H2330</f>
        <v>11977915.772700001</v>
      </c>
      <c r="I2331" s="95">
        <f>I2296+I2329+I2330</f>
        <v>12375229.672499999</v>
      </c>
      <c r="K2331" s="41"/>
      <c r="L2331" s="41"/>
      <c r="N2331" s="95">
        <f>N2296+N2329</f>
        <v>12590477</v>
      </c>
      <c r="O2331" s="68"/>
      <c r="Q2331" s="208"/>
    </row>
    <row r="2332" spans="1:17" ht="16.5" thickTop="1" x14ac:dyDescent="0.25"/>
    <row r="2333" spans="1:17" x14ac:dyDescent="0.25">
      <c r="A2333" s="15" t="s">
        <v>386</v>
      </c>
      <c r="F2333" s="100"/>
      <c r="G2333" s="100"/>
      <c r="K2333" s="100"/>
      <c r="L2333" s="100"/>
      <c r="M2333" s="100"/>
      <c r="O2333" s="207"/>
      <c r="P2333" s="207"/>
    </row>
    <row r="2334" spans="1:17" x14ac:dyDescent="0.25">
      <c r="A2334" s="134" t="s">
        <v>369</v>
      </c>
    </row>
    <row r="2335" spans="1:17" x14ac:dyDescent="0.25">
      <c r="A2335" s="19" t="s">
        <v>370</v>
      </c>
      <c r="B2335" s="19"/>
      <c r="F2335" s="136">
        <v>133</v>
      </c>
      <c r="G2335" s="20"/>
      <c r="H2335" s="7">
        <f>ROUND($F2335*C2335,0)</f>
        <v>0</v>
      </c>
      <c r="I2335" s="7">
        <f>ROUND($F2335*D2335,0)</f>
        <v>0</v>
      </c>
      <c r="K2335" s="136"/>
      <c r="L2335" s="136">
        <f>L2231</f>
        <v>137</v>
      </c>
      <c r="M2335" s="20"/>
      <c r="N2335" s="7">
        <f>ROUND($D2335*L2335,0)</f>
        <v>0</v>
      </c>
      <c r="O2335" s="219"/>
      <c r="P2335" s="55"/>
    </row>
    <row r="2336" spans="1:17" x14ac:dyDescent="0.25">
      <c r="A2336" s="19" t="s">
        <v>371</v>
      </c>
      <c r="B2336" s="19"/>
      <c r="F2336" s="136">
        <v>5.6</v>
      </c>
      <c r="G2336" s="20"/>
      <c r="H2336" s="7">
        <f>ROUND($F2336*C2336,0)</f>
        <v>0</v>
      </c>
      <c r="I2336" s="7">
        <f>ROUND($F2336*D2336,0)</f>
        <v>0</v>
      </c>
      <c r="K2336" s="136"/>
      <c r="L2336" s="136">
        <f>L2232</f>
        <v>5.75</v>
      </c>
      <c r="M2336" s="20"/>
      <c r="N2336" s="7">
        <f>ROUND($D2336*L2336,0)</f>
        <v>0</v>
      </c>
      <c r="O2336" s="219"/>
      <c r="P2336" s="55"/>
    </row>
    <row r="2337" spans="1:16" x14ac:dyDescent="0.25">
      <c r="A2337" s="19" t="s">
        <v>372</v>
      </c>
      <c r="B2337" s="19"/>
      <c r="F2337" s="137"/>
      <c r="G2337" s="24"/>
      <c r="K2337" s="137"/>
      <c r="L2337" s="137"/>
      <c r="M2337" s="24"/>
      <c r="O2337" s="223"/>
      <c r="P2337" s="57"/>
    </row>
    <row r="2338" spans="1:16" x14ac:dyDescent="0.25">
      <c r="A2338" s="19" t="s">
        <v>373</v>
      </c>
      <c r="B2338" s="19"/>
      <c r="F2338" s="136"/>
      <c r="G2338" s="138"/>
      <c r="K2338" s="136"/>
      <c r="L2338" s="136"/>
      <c r="M2338" s="138"/>
      <c r="O2338" s="219"/>
      <c r="P2338" s="220"/>
    </row>
    <row r="2339" spans="1:16" x14ac:dyDescent="0.25">
      <c r="A2339" s="19" t="s">
        <v>374</v>
      </c>
      <c r="B2339" s="19"/>
      <c r="F2339" s="136"/>
      <c r="G2339" s="138"/>
      <c r="K2339" s="136"/>
      <c r="L2339" s="136">
        <f t="shared" ref="L2339:L2340" si="339">L2235</f>
        <v>0.9</v>
      </c>
      <c r="M2339" s="138"/>
      <c r="N2339" s="7">
        <f>ROUND($D2339*L2339,0)</f>
        <v>0</v>
      </c>
      <c r="O2339" s="219"/>
      <c r="P2339" s="220"/>
    </row>
    <row r="2340" spans="1:16" x14ac:dyDescent="0.25">
      <c r="A2340" s="19" t="s">
        <v>375</v>
      </c>
      <c r="B2340" s="19"/>
      <c r="F2340" s="136"/>
      <c r="G2340" s="138"/>
      <c r="K2340" s="136"/>
      <c r="L2340" s="136">
        <f t="shared" si="339"/>
        <v>0.8</v>
      </c>
      <c r="M2340" s="138"/>
      <c r="N2340" s="7">
        <f>ROUND($D2340*L2340,0)</f>
        <v>0</v>
      </c>
      <c r="O2340" s="219"/>
      <c r="P2340" s="220"/>
    </row>
    <row r="2341" spans="1:16" x14ac:dyDescent="0.25">
      <c r="A2341" s="19" t="s">
        <v>376</v>
      </c>
      <c r="B2341" s="19"/>
      <c r="F2341" s="137"/>
      <c r="G2341" s="139"/>
      <c r="K2341" s="137"/>
      <c r="L2341" s="137"/>
      <c r="M2341" s="139"/>
      <c r="O2341" s="223"/>
      <c r="P2341" s="221"/>
    </row>
    <row r="2342" spans="1:16" x14ac:dyDescent="0.25">
      <c r="A2342" s="19" t="s">
        <v>374</v>
      </c>
      <c r="B2342" s="19"/>
      <c r="F2342" s="137"/>
      <c r="G2342" s="139"/>
      <c r="K2342" s="137"/>
      <c r="L2342" s="137">
        <f t="shared" ref="L2342:L2343" si="340">L2238</f>
        <v>0.45</v>
      </c>
      <c r="M2342" s="139"/>
      <c r="N2342" s="7">
        <f>ROUND($D2342*L2342,0)</f>
        <v>0</v>
      </c>
      <c r="O2342" s="223"/>
      <c r="P2342" s="221"/>
    </row>
    <row r="2343" spans="1:16" x14ac:dyDescent="0.25">
      <c r="A2343" s="19" t="s">
        <v>375</v>
      </c>
      <c r="B2343" s="19"/>
      <c r="F2343" s="137"/>
      <c r="G2343" s="139"/>
      <c r="K2343" s="137"/>
      <c r="L2343" s="137">
        <f t="shared" si="340"/>
        <v>0.4</v>
      </c>
      <c r="M2343" s="139"/>
      <c r="N2343" s="7">
        <f>ROUND($D2343*L2343,0)</f>
        <v>0</v>
      </c>
      <c r="O2343" s="223"/>
      <c r="P2343" s="221"/>
    </row>
    <row r="2344" spans="1:16" x14ac:dyDescent="0.25">
      <c r="A2344" s="19" t="s">
        <v>377</v>
      </c>
      <c r="B2344" s="19"/>
      <c r="F2344" s="136"/>
      <c r="G2344" s="20"/>
      <c r="K2344" s="136"/>
      <c r="L2344" s="136"/>
      <c r="M2344" s="20"/>
      <c r="O2344" s="219"/>
      <c r="P2344" s="55"/>
    </row>
    <row r="2345" spans="1:16" x14ac:dyDescent="0.25">
      <c r="A2345" s="19" t="s">
        <v>374</v>
      </c>
      <c r="B2345" s="19"/>
      <c r="F2345" s="136"/>
      <c r="G2345" s="20"/>
      <c r="K2345" s="136"/>
      <c r="L2345" s="136">
        <f t="shared" ref="L2345:L2346" si="341">L2241</f>
        <v>41.89</v>
      </c>
      <c r="M2345" s="20"/>
      <c r="N2345" s="7">
        <f>ROUND($D2345*L2345,0)</f>
        <v>0</v>
      </c>
      <c r="O2345" s="219"/>
      <c r="P2345" s="55"/>
    </row>
    <row r="2346" spans="1:16" x14ac:dyDescent="0.25">
      <c r="A2346" s="19" t="s">
        <v>375</v>
      </c>
      <c r="B2346" s="19"/>
      <c r="F2346" s="136"/>
      <c r="G2346" s="20"/>
      <c r="K2346" s="136"/>
      <c r="L2346" s="136">
        <f t="shared" si="341"/>
        <v>37.07</v>
      </c>
      <c r="M2346" s="20"/>
      <c r="N2346" s="7">
        <f>ROUND($D2346*L2346,0)</f>
        <v>0</v>
      </c>
      <c r="O2346" s="219"/>
      <c r="P2346" s="55"/>
    </row>
    <row r="2347" spans="1:16" x14ac:dyDescent="0.25">
      <c r="A2347" s="19" t="s">
        <v>373</v>
      </c>
      <c r="B2347" s="19"/>
      <c r="F2347" s="136"/>
      <c r="G2347" s="138"/>
      <c r="K2347" s="136"/>
      <c r="L2347" s="136"/>
      <c r="M2347" s="138"/>
      <c r="O2347" s="219"/>
      <c r="P2347" s="220"/>
    </row>
    <row r="2348" spans="1:16" x14ac:dyDescent="0.25">
      <c r="A2348" s="19" t="s">
        <v>378</v>
      </c>
      <c r="B2348" s="19"/>
      <c r="F2348" s="136">
        <v>0.88</v>
      </c>
      <c r="G2348" s="138"/>
      <c r="H2348" s="7">
        <f>ROUND($F2348*C2348,0)</f>
        <v>0</v>
      </c>
      <c r="I2348" s="7">
        <f>ROUND($F2348*D2348,0)</f>
        <v>0</v>
      </c>
      <c r="K2348" s="136"/>
      <c r="L2348" s="136"/>
      <c r="M2348" s="138"/>
      <c r="O2348" s="219"/>
      <c r="P2348" s="220"/>
    </row>
    <row r="2349" spans="1:16" x14ac:dyDescent="0.25">
      <c r="A2349" s="19" t="s">
        <v>379</v>
      </c>
      <c r="B2349" s="19"/>
      <c r="F2349" s="136">
        <v>0.62</v>
      </c>
      <c r="G2349" s="138"/>
      <c r="H2349" s="7">
        <f>ROUND($F2349*C2349,0)</f>
        <v>0</v>
      </c>
      <c r="I2349" s="7">
        <f>ROUND($F2349*D2349,0)</f>
        <v>0</v>
      </c>
      <c r="K2349" s="136"/>
      <c r="L2349" s="136"/>
      <c r="M2349" s="138"/>
      <c r="O2349" s="219"/>
      <c r="P2349" s="220"/>
    </row>
    <row r="2350" spans="1:16" x14ac:dyDescent="0.25">
      <c r="A2350" s="19" t="s">
        <v>376</v>
      </c>
      <c r="B2350" s="19"/>
      <c r="F2350" s="137"/>
      <c r="G2350" s="139"/>
      <c r="K2350" s="137"/>
      <c r="L2350" s="137"/>
      <c r="M2350" s="139"/>
      <c r="O2350" s="223"/>
      <c r="P2350" s="221"/>
    </row>
    <row r="2351" spans="1:16" x14ac:dyDescent="0.25">
      <c r="A2351" s="19" t="s">
        <v>378</v>
      </c>
      <c r="B2351" s="19"/>
      <c r="F2351" s="137">
        <v>0.44</v>
      </c>
      <c r="G2351" s="139"/>
      <c r="H2351" s="7">
        <f>ROUND($F2351*C2351,0)</f>
        <v>0</v>
      </c>
      <c r="I2351" s="7">
        <f>ROUND($F2351*D2351,0)</f>
        <v>0</v>
      </c>
      <c r="K2351" s="137"/>
      <c r="L2351" s="137"/>
      <c r="M2351" s="139"/>
      <c r="O2351" s="223"/>
      <c r="P2351" s="221"/>
    </row>
    <row r="2352" spans="1:16" x14ac:dyDescent="0.25">
      <c r="A2352" s="19" t="s">
        <v>379</v>
      </c>
      <c r="B2352" s="19"/>
      <c r="F2352" s="137">
        <v>0.31</v>
      </c>
      <c r="G2352" s="139"/>
      <c r="H2352" s="7">
        <f>ROUND($F2352*C2352,0)</f>
        <v>0</v>
      </c>
      <c r="I2352" s="7">
        <f>ROUND($F2352*D2352,0)</f>
        <v>0</v>
      </c>
      <c r="K2352" s="137"/>
      <c r="L2352" s="137"/>
      <c r="M2352" s="139"/>
      <c r="O2352" s="223"/>
      <c r="P2352" s="221"/>
    </row>
    <row r="2353" spans="1:16" x14ac:dyDescent="0.25">
      <c r="A2353" s="19" t="s">
        <v>377</v>
      </c>
      <c r="B2353" s="19"/>
      <c r="F2353" s="136"/>
      <c r="G2353" s="20"/>
      <c r="K2353" s="136"/>
      <c r="L2353" s="136"/>
      <c r="M2353" s="20"/>
      <c r="O2353" s="219"/>
      <c r="P2353" s="55"/>
    </row>
    <row r="2354" spans="1:16" x14ac:dyDescent="0.25">
      <c r="A2354" s="19" t="s">
        <v>378</v>
      </c>
      <c r="B2354" s="19"/>
      <c r="F2354" s="136">
        <v>40.81</v>
      </c>
      <c r="G2354" s="20"/>
      <c r="H2354" s="7">
        <f>ROUND($F2354*C2354,0)</f>
        <v>0</v>
      </c>
      <c r="I2354" s="7">
        <f>ROUND($F2354*D2354,0)</f>
        <v>0</v>
      </c>
      <c r="K2354" s="136"/>
      <c r="L2354" s="136"/>
      <c r="M2354" s="20"/>
      <c r="O2354" s="219"/>
      <c r="P2354" s="55"/>
    </row>
    <row r="2355" spans="1:16" x14ac:dyDescent="0.25">
      <c r="A2355" s="19" t="s">
        <v>379</v>
      </c>
      <c r="B2355" s="19"/>
      <c r="F2355" s="136">
        <v>32.04</v>
      </c>
      <c r="G2355" s="20"/>
      <c r="H2355" s="7">
        <f>ROUND($F2355*C2355,0)</f>
        <v>0</v>
      </c>
      <c r="I2355" s="7">
        <f>ROUND($F2355*D2355,0)</f>
        <v>0</v>
      </c>
      <c r="K2355" s="136"/>
      <c r="L2355" s="136"/>
      <c r="M2355" s="20"/>
      <c r="O2355" s="219"/>
      <c r="P2355" s="55"/>
    </row>
    <row r="2356" spans="1:16" x14ac:dyDescent="0.25">
      <c r="A2356" s="134" t="s">
        <v>380</v>
      </c>
      <c r="F2356" s="137"/>
      <c r="K2356" s="137"/>
      <c r="L2356" s="137"/>
      <c r="O2356" s="223"/>
    </row>
    <row r="2357" spans="1:16" x14ac:dyDescent="0.25">
      <c r="A2357" s="19" t="s">
        <v>370</v>
      </c>
      <c r="C2357" s="6">
        <v>24</v>
      </c>
      <c r="D2357" s="6">
        <v>25</v>
      </c>
      <c r="F2357" s="136">
        <v>605</v>
      </c>
      <c r="G2357" s="20"/>
      <c r="H2357" s="7">
        <f>ROUND($F2357*C2357,0)</f>
        <v>14520</v>
      </c>
      <c r="I2357" s="7">
        <f>ROUND($F2357*D2357,0)</f>
        <v>15125</v>
      </c>
      <c r="K2357" s="136"/>
      <c r="L2357" s="136">
        <f t="shared" ref="L2357:L2358" si="342">L2253</f>
        <v>621</v>
      </c>
      <c r="M2357" s="20"/>
      <c r="N2357" s="7">
        <f>ROUND($D2357*L2357,0)</f>
        <v>15525</v>
      </c>
      <c r="O2357" s="219"/>
      <c r="P2357" s="55"/>
    </row>
    <row r="2358" spans="1:16" x14ac:dyDescent="0.25">
      <c r="A2358" s="19" t="s">
        <v>371</v>
      </c>
      <c r="C2358" s="6">
        <v>36600</v>
      </c>
      <c r="D2358" s="6">
        <v>34929</v>
      </c>
      <c r="F2358" s="136">
        <v>4.46</v>
      </c>
      <c r="G2358" s="20"/>
      <c r="H2358" s="7">
        <f>ROUND($F2358*C2358,0)</f>
        <v>163236</v>
      </c>
      <c r="I2358" s="7">
        <f>ROUND($F2358*D2358,0)</f>
        <v>155783</v>
      </c>
      <c r="K2358" s="136"/>
      <c r="L2358" s="136">
        <f t="shared" si="342"/>
        <v>4.58</v>
      </c>
      <c r="M2358" s="20"/>
      <c r="N2358" s="7">
        <f>ROUND($D2358*L2358,0)</f>
        <v>159975</v>
      </c>
      <c r="O2358" s="219"/>
      <c r="P2358" s="55"/>
    </row>
    <row r="2359" spans="1:16" x14ac:dyDescent="0.25">
      <c r="A2359" s="19" t="s">
        <v>372</v>
      </c>
      <c r="F2359" s="136"/>
      <c r="G2359" s="20"/>
      <c r="K2359" s="136"/>
      <c r="L2359" s="136"/>
      <c r="M2359" s="20"/>
      <c r="O2359" s="219"/>
      <c r="P2359" s="55"/>
    </row>
    <row r="2360" spans="1:16" x14ac:dyDescent="0.25">
      <c r="A2360" s="19" t="s">
        <v>373</v>
      </c>
      <c r="F2360" s="136"/>
      <c r="G2360" s="138"/>
      <c r="K2360" s="136"/>
      <c r="L2360" s="136"/>
      <c r="M2360" s="138"/>
      <c r="O2360" s="219"/>
      <c r="P2360" s="220"/>
    </row>
    <row r="2361" spans="1:16" x14ac:dyDescent="0.25">
      <c r="A2361" s="19" t="s">
        <v>374</v>
      </c>
      <c r="C2361" s="6">
        <v>70696.650348096649</v>
      </c>
      <c r="D2361" s="6">
        <v>67470</v>
      </c>
      <c r="F2361" s="136"/>
      <c r="G2361" s="138"/>
      <c r="K2361" s="136"/>
      <c r="L2361" s="136">
        <f t="shared" ref="L2361:L2362" si="343">L2257</f>
        <v>0.88</v>
      </c>
      <c r="M2361" s="138"/>
      <c r="N2361" s="7">
        <f>ROUND($D2361*L2361,0)</f>
        <v>59374</v>
      </c>
      <c r="O2361" s="219"/>
      <c r="P2361" s="220"/>
    </row>
    <row r="2362" spans="1:16" x14ac:dyDescent="0.25">
      <c r="A2362" s="19" t="s">
        <v>375</v>
      </c>
      <c r="C2362" s="6">
        <v>49579.034602910964</v>
      </c>
      <c r="D2362" s="6">
        <v>47316</v>
      </c>
      <c r="F2362" s="136"/>
      <c r="G2362" s="138"/>
      <c r="K2362" s="136"/>
      <c r="L2362" s="136">
        <f t="shared" si="343"/>
        <v>0.78</v>
      </c>
      <c r="M2362" s="138"/>
      <c r="N2362" s="7">
        <f>ROUND($D2362*L2362,0)</f>
        <v>36906</v>
      </c>
      <c r="O2362" s="219"/>
      <c r="P2362" s="220"/>
    </row>
    <row r="2363" spans="1:16" x14ac:dyDescent="0.25">
      <c r="A2363" s="19" t="s">
        <v>376</v>
      </c>
      <c r="F2363" s="137"/>
      <c r="G2363" s="139"/>
      <c r="K2363" s="137"/>
      <c r="L2363" s="137"/>
      <c r="M2363" s="139"/>
      <c r="O2363" s="223"/>
      <c r="P2363" s="221"/>
    </row>
    <row r="2364" spans="1:16" x14ac:dyDescent="0.25">
      <c r="A2364" s="19" t="s">
        <v>374</v>
      </c>
      <c r="C2364" s="6">
        <v>1582.2885037622348</v>
      </c>
      <c r="D2364" s="6">
        <v>1510</v>
      </c>
      <c r="F2364" s="137"/>
      <c r="G2364" s="139"/>
      <c r="K2364" s="137"/>
      <c r="L2364" s="137">
        <f t="shared" ref="L2364:L2365" si="344">L2260</f>
        <v>0.44</v>
      </c>
      <c r="M2364" s="139"/>
      <c r="N2364" s="7">
        <f>ROUND($D2364*L2364,0)</f>
        <v>664</v>
      </c>
      <c r="O2364" s="223"/>
      <c r="P2364" s="221"/>
    </row>
    <row r="2365" spans="1:16" x14ac:dyDescent="0.25">
      <c r="A2365" s="19" t="s">
        <v>375</v>
      </c>
      <c r="C2365" s="6">
        <v>0</v>
      </c>
      <c r="D2365" s="6">
        <v>0</v>
      </c>
      <c r="F2365" s="137"/>
      <c r="G2365" s="139"/>
      <c r="K2365" s="137"/>
      <c r="L2365" s="137">
        <f t="shared" si="344"/>
        <v>0.39</v>
      </c>
      <c r="M2365" s="139"/>
      <c r="N2365" s="7">
        <f>ROUND($D2365*L2365,0)</f>
        <v>0</v>
      </c>
      <c r="O2365" s="223"/>
      <c r="P2365" s="221"/>
    </row>
    <row r="2366" spans="1:16" x14ac:dyDescent="0.25">
      <c r="A2366" s="19" t="s">
        <v>377</v>
      </c>
      <c r="F2366" s="136"/>
      <c r="G2366" s="20"/>
      <c r="K2366" s="136"/>
      <c r="L2366" s="136"/>
      <c r="M2366" s="20"/>
      <c r="O2366" s="219"/>
      <c r="P2366" s="55"/>
    </row>
    <row r="2367" spans="1:16" x14ac:dyDescent="0.25">
      <c r="A2367" s="19" t="s">
        <v>374</v>
      </c>
      <c r="C2367" s="6">
        <v>148.49169035307125</v>
      </c>
      <c r="D2367" s="6">
        <v>142</v>
      </c>
      <c r="F2367" s="136"/>
      <c r="G2367" s="20"/>
      <c r="K2367" s="136"/>
      <c r="L2367" s="136">
        <f t="shared" ref="L2367:L2368" si="345">L2263</f>
        <v>39.56</v>
      </c>
      <c r="M2367" s="20"/>
      <c r="N2367" s="7">
        <f>ROUND($D2367*L2367,0)</f>
        <v>5618</v>
      </c>
      <c r="O2367" s="219"/>
      <c r="P2367" s="55"/>
    </row>
    <row r="2368" spans="1:16" x14ac:dyDescent="0.25">
      <c r="A2368" s="19" t="s">
        <v>375</v>
      </c>
      <c r="C2368" s="6">
        <v>686.10495578422365</v>
      </c>
      <c r="D2368" s="6">
        <v>655</v>
      </c>
      <c r="F2368" s="136"/>
      <c r="G2368" s="20"/>
      <c r="K2368" s="136"/>
      <c r="L2368" s="136">
        <f t="shared" si="345"/>
        <v>35.01</v>
      </c>
      <c r="M2368" s="20"/>
      <c r="N2368" s="7">
        <f>ROUND($D2368*L2368,0)</f>
        <v>22932</v>
      </c>
      <c r="O2368" s="219"/>
      <c r="P2368" s="55"/>
    </row>
    <row r="2369" spans="1:16" x14ac:dyDescent="0.25">
      <c r="A2369" s="19" t="s">
        <v>373</v>
      </c>
      <c r="F2369" s="136"/>
      <c r="G2369" s="138"/>
      <c r="K2369" s="136"/>
      <c r="L2369" s="136"/>
      <c r="M2369" s="138"/>
      <c r="O2369" s="219"/>
      <c r="P2369" s="220"/>
    </row>
    <row r="2370" spans="1:16" x14ac:dyDescent="0.25">
      <c r="A2370" s="19" t="s">
        <v>378</v>
      </c>
      <c r="C2370" s="6">
        <v>87126</v>
      </c>
      <c r="D2370" s="6">
        <v>83149</v>
      </c>
      <c r="F2370" s="136">
        <v>0.86</v>
      </c>
      <c r="G2370" s="138"/>
      <c r="H2370" s="7">
        <f>ROUND($F2370*C2370,0)</f>
        <v>74928</v>
      </c>
      <c r="I2370" s="7">
        <f>ROUND($F2370*D2370,0)</f>
        <v>71508</v>
      </c>
      <c r="K2370" s="136"/>
      <c r="L2370" s="136"/>
      <c r="M2370" s="138"/>
      <c r="O2370" s="219"/>
      <c r="P2370" s="220"/>
    </row>
    <row r="2371" spans="1:16" x14ac:dyDescent="0.25">
      <c r="A2371" s="19" t="s">
        <v>379</v>
      </c>
      <c r="C2371" s="6">
        <v>43646</v>
      </c>
      <c r="D2371" s="6">
        <v>41654</v>
      </c>
      <c r="F2371" s="136">
        <v>0.6</v>
      </c>
      <c r="G2371" s="138"/>
      <c r="H2371" s="7">
        <f>ROUND($F2371*C2371,0)</f>
        <v>26188</v>
      </c>
      <c r="I2371" s="7">
        <f>ROUND($F2371*D2371,0)</f>
        <v>24992</v>
      </c>
      <c r="K2371" s="136"/>
      <c r="L2371" s="136"/>
      <c r="M2371" s="138"/>
      <c r="O2371" s="219"/>
      <c r="P2371" s="220"/>
    </row>
    <row r="2372" spans="1:16" x14ac:dyDescent="0.25">
      <c r="A2372" s="19" t="s">
        <v>376</v>
      </c>
      <c r="F2372" s="137"/>
      <c r="G2372" s="139"/>
      <c r="K2372" s="137"/>
      <c r="L2372" s="137"/>
      <c r="M2372" s="139"/>
      <c r="O2372" s="223"/>
      <c r="P2372" s="221"/>
    </row>
    <row r="2373" spans="1:16" x14ac:dyDescent="0.25">
      <c r="A2373" s="19" t="s">
        <v>378</v>
      </c>
      <c r="C2373" s="6">
        <v>1950</v>
      </c>
      <c r="D2373" s="6">
        <v>1861</v>
      </c>
      <c r="F2373" s="137">
        <v>0.43</v>
      </c>
      <c r="G2373" s="139"/>
      <c r="H2373" s="7">
        <f>ROUND($F2373*C2373,0)</f>
        <v>839</v>
      </c>
      <c r="I2373" s="7">
        <f>ROUND($F2373*D2373,0)</f>
        <v>800</v>
      </c>
      <c r="K2373" s="137"/>
      <c r="L2373" s="137"/>
      <c r="M2373" s="139"/>
      <c r="O2373" s="223"/>
      <c r="P2373" s="221"/>
    </row>
    <row r="2374" spans="1:16" x14ac:dyDescent="0.25">
      <c r="A2374" s="19" t="s">
        <v>379</v>
      </c>
      <c r="C2374" s="6">
        <v>0</v>
      </c>
      <c r="D2374" s="6">
        <v>0</v>
      </c>
      <c r="F2374" s="137">
        <v>0.3</v>
      </c>
      <c r="G2374" s="139"/>
      <c r="H2374" s="7">
        <f>ROUND($F2374*C2374,0)</f>
        <v>0</v>
      </c>
      <c r="I2374" s="7">
        <f>ROUND($F2374*D2374,0)</f>
        <v>0</v>
      </c>
      <c r="K2374" s="137"/>
      <c r="L2374" s="137"/>
      <c r="M2374" s="139"/>
      <c r="O2374" s="223"/>
      <c r="P2374" s="221"/>
    </row>
    <row r="2375" spans="1:16" x14ac:dyDescent="0.25">
      <c r="A2375" s="19" t="s">
        <v>377</v>
      </c>
      <c r="F2375" s="136"/>
      <c r="G2375" s="20"/>
      <c r="K2375" s="136"/>
      <c r="L2375" s="136"/>
      <c r="M2375" s="20"/>
      <c r="O2375" s="219"/>
      <c r="P2375" s="55"/>
    </row>
    <row r="2376" spans="1:16" x14ac:dyDescent="0.25">
      <c r="A2376" s="19" t="s">
        <v>378</v>
      </c>
      <c r="C2376" s="6">
        <v>183</v>
      </c>
      <c r="D2376" s="6">
        <v>175</v>
      </c>
      <c r="F2376" s="136">
        <v>38.54</v>
      </c>
      <c r="G2376" s="20"/>
      <c r="H2376" s="7">
        <f>ROUND($F2376*C2376,0)</f>
        <v>7053</v>
      </c>
      <c r="I2376" s="7">
        <f>ROUND($F2376*D2376,0)</f>
        <v>6745</v>
      </c>
      <c r="K2376" s="136"/>
      <c r="L2376" s="136"/>
      <c r="M2376" s="20"/>
      <c r="O2376" s="219"/>
      <c r="P2376" s="55"/>
    </row>
    <row r="2377" spans="1:16" x14ac:dyDescent="0.25">
      <c r="A2377" s="19" t="s">
        <v>379</v>
      </c>
      <c r="C2377" s="6">
        <v>604</v>
      </c>
      <c r="D2377" s="6">
        <v>576</v>
      </c>
      <c r="F2377" s="136">
        <v>29.77</v>
      </c>
      <c r="G2377" s="20"/>
      <c r="H2377" s="7">
        <f>ROUND($F2377*C2377,0)</f>
        <v>17981</v>
      </c>
      <c r="I2377" s="7">
        <f>ROUND($F2377*D2377,0)</f>
        <v>17148</v>
      </c>
      <c r="K2377" s="136"/>
      <c r="L2377" s="136"/>
      <c r="M2377" s="20"/>
      <c r="O2377" s="219"/>
      <c r="P2377" s="55"/>
    </row>
    <row r="2378" spans="1:16" x14ac:dyDescent="0.25">
      <c r="A2378" s="134" t="s">
        <v>381</v>
      </c>
      <c r="F2378" s="137"/>
      <c r="K2378" s="137"/>
      <c r="L2378" s="137"/>
      <c r="O2378" s="223"/>
    </row>
    <row r="2379" spans="1:16" x14ac:dyDescent="0.25">
      <c r="A2379" s="19" t="s">
        <v>370</v>
      </c>
      <c r="C2379" s="6">
        <v>23</v>
      </c>
      <c r="D2379" s="6">
        <v>23</v>
      </c>
      <c r="F2379" s="136">
        <v>678</v>
      </c>
      <c r="G2379" s="20"/>
      <c r="H2379" s="7">
        <f>ROUND($F2379*C2379,0)</f>
        <v>15594</v>
      </c>
      <c r="I2379" s="7">
        <f>ROUND($F2379*D2379,0)</f>
        <v>15594</v>
      </c>
      <c r="K2379" s="136"/>
      <c r="L2379" s="136">
        <f t="shared" ref="L2379:L2380" si="346">L2275</f>
        <v>696</v>
      </c>
      <c r="M2379" s="20"/>
      <c r="N2379" s="7">
        <f>ROUND($D2379*L2379,0)</f>
        <v>16008</v>
      </c>
      <c r="O2379" s="219"/>
      <c r="P2379" s="55"/>
    </row>
    <row r="2380" spans="1:16" x14ac:dyDescent="0.25">
      <c r="A2380" s="19" t="s">
        <v>371</v>
      </c>
      <c r="C2380" s="6">
        <v>66100</v>
      </c>
      <c r="D2380" s="6">
        <v>63083</v>
      </c>
      <c r="F2380" s="136">
        <v>2.63</v>
      </c>
      <c r="G2380" s="20"/>
      <c r="H2380" s="7">
        <f>ROUND($F2380*C2380,0)</f>
        <v>173843</v>
      </c>
      <c r="I2380" s="7">
        <f>ROUND($F2380*D2380,0)</f>
        <v>165908</v>
      </c>
      <c r="K2380" s="136"/>
      <c r="L2380" s="136">
        <f t="shared" si="346"/>
        <v>2.7</v>
      </c>
      <c r="M2380" s="20"/>
      <c r="N2380" s="7">
        <f>ROUND($D2380*L2380,0)</f>
        <v>170324</v>
      </c>
      <c r="O2380" s="219"/>
      <c r="P2380" s="55"/>
    </row>
    <row r="2381" spans="1:16" x14ac:dyDescent="0.25">
      <c r="A2381" s="19" t="s">
        <v>372</v>
      </c>
      <c r="F2381" s="137"/>
      <c r="G2381" s="24"/>
      <c r="K2381" s="137"/>
      <c r="L2381" s="137"/>
      <c r="M2381" s="24"/>
      <c r="O2381" s="223"/>
      <c r="P2381" s="57"/>
    </row>
    <row r="2382" spans="1:16" x14ac:dyDescent="0.25">
      <c r="A2382" s="19" t="s">
        <v>373</v>
      </c>
      <c r="F2382" s="136"/>
      <c r="G2382" s="138"/>
      <c r="K2382" s="136"/>
      <c r="L2382" s="136"/>
      <c r="M2382" s="138"/>
      <c r="O2382" s="219"/>
      <c r="P2382" s="220"/>
    </row>
    <row r="2383" spans="1:16" x14ac:dyDescent="0.25">
      <c r="A2383" s="19" t="s">
        <v>374</v>
      </c>
      <c r="C2383" s="6">
        <v>271132.84370467725</v>
      </c>
      <c r="D2383" s="6">
        <v>258756</v>
      </c>
      <c r="F2383" s="136"/>
      <c r="G2383" s="138"/>
      <c r="K2383" s="136"/>
      <c r="L2383" s="136">
        <f t="shared" ref="L2383:L2384" si="347">L2279</f>
        <v>0.78</v>
      </c>
      <c r="M2383" s="138"/>
      <c r="N2383" s="7">
        <f>ROUND($D2383*L2383,0)</f>
        <v>201830</v>
      </c>
      <c r="O2383" s="219"/>
      <c r="P2383" s="220"/>
    </row>
    <row r="2384" spans="1:16" x14ac:dyDescent="0.25">
      <c r="A2384" s="19" t="s">
        <v>375</v>
      </c>
      <c r="C2384" s="6">
        <v>112904.02296400884</v>
      </c>
      <c r="D2384" s="6">
        <v>107750</v>
      </c>
      <c r="F2384" s="136"/>
      <c r="G2384" s="138"/>
      <c r="K2384" s="136"/>
      <c r="L2384" s="136">
        <f t="shared" si="347"/>
        <v>0.69</v>
      </c>
      <c r="M2384" s="138"/>
      <c r="N2384" s="7">
        <f>ROUND($D2384*L2384,0)</f>
        <v>74348</v>
      </c>
      <c r="O2384" s="219"/>
      <c r="P2384" s="220"/>
    </row>
    <row r="2385" spans="1:17" x14ac:dyDescent="0.25">
      <c r="A2385" s="19" t="s">
        <v>376</v>
      </c>
      <c r="F2385" s="137"/>
      <c r="G2385" s="139"/>
      <c r="K2385" s="137"/>
      <c r="L2385" s="137"/>
      <c r="M2385" s="139"/>
      <c r="O2385" s="223"/>
      <c r="P2385" s="221"/>
    </row>
    <row r="2386" spans="1:17" x14ac:dyDescent="0.25">
      <c r="A2386" s="19" t="s">
        <v>374</v>
      </c>
      <c r="C2386" s="6">
        <v>0</v>
      </c>
      <c r="D2386" s="6">
        <v>0</v>
      </c>
      <c r="F2386" s="137"/>
      <c r="G2386" s="139"/>
      <c r="K2386" s="137"/>
      <c r="L2386" s="137">
        <f t="shared" ref="L2386:L2387" si="348">L2282</f>
        <v>0.39</v>
      </c>
      <c r="M2386" s="139"/>
      <c r="N2386" s="7">
        <f>ROUND($D2386*L2386,0)</f>
        <v>0</v>
      </c>
      <c r="O2386" s="223"/>
      <c r="P2386" s="221"/>
    </row>
    <row r="2387" spans="1:17" x14ac:dyDescent="0.25">
      <c r="A2387" s="19" t="s">
        <v>375</v>
      </c>
      <c r="C2387" s="6">
        <v>0</v>
      </c>
      <c r="D2387" s="6">
        <v>0</v>
      </c>
      <c r="F2387" s="137"/>
      <c r="G2387" s="139"/>
      <c r="K2387" s="137"/>
      <c r="L2387" s="137">
        <f t="shared" si="348"/>
        <v>0.34499999999999997</v>
      </c>
      <c r="M2387" s="139"/>
      <c r="N2387" s="7">
        <f>ROUND($D2387*L2387,0)</f>
        <v>0</v>
      </c>
      <c r="O2387" s="223"/>
      <c r="P2387" s="221"/>
    </row>
    <row r="2388" spans="1:17" x14ac:dyDescent="0.25">
      <c r="A2388" s="19" t="s">
        <v>377</v>
      </c>
      <c r="F2388" s="136"/>
      <c r="G2388" s="20"/>
      <c r="K2388" s="136"/>
      <c r="L2388" s="136"/>
      <c r="M2388" s="20"/>
      <c r="O2388" s="219"/>
      <c r="P2388" s="55"/>
    </row>
    <row r="2389" spans="1:17" x14ac:dyDescent="0.25">
      <c r="A2389" s="19" t="s">
        <v>374</v>
      </c>
      <c r="C2389" s="6">
        <v>7090.2753568586704</v>
      </c>
      <c r="D2389" s="6">
        <v>6767</v>
      </c>
      <c r="F2389" s="136"/>
      <c r="G2389" s="20"/>
      <c r="K2389" s="136"/>
      <c r="L2389" s="136">
        <f t="shared" ref="L2389:L2390" si="349">L2285</f>
        <v>33.21</v>
      </c>
      <c r="M2389" s="20"/>
      <c r="N2389" s="7">
        <f>ROUND($D2389*L2389,0)</f>
        <v>224732</v>
      </c>
      <c r="O2389" s="219"/>
      <c r="P2389" s="55"/>
    </row>
    <row r="2390" spans="1:17" x14ac:dyDescent="0.25">
      <c r="A2390" s="19" t="s">
        <v>375</v>
      </c>
      <c r="C2390" s="6">
        <v>1117.76039154251</v>
      </c>
      <c r="D2390" s="6">
        <v>1067</v>
      </c>
      <c r="F2390" s="136"/>
      <c r="G2390" s="20"/>
      <c r="K2390" s="136"/>
      <c r="L2390" s="136">
        <f t="shared" si="349"/>
        <v>29.39</v>
      </c>
      <c r="M2390" s="20"/>
      <c r="N2390" s="7">
        <f>ROUND($D2390*L2390,0)</f>
        <v>31359</v>
      </c>
      <c r="O2390" s="219"/>
      <c r="P2390" s="55"/>
    </row>
    <row r="2391" spans="1:17" x14ac:dyDescent="0.25">
      <c r="A2391" s="19" t="s">
        <v>373</v>
      </c>
      <c r="F2391" s="136"/>
      <c r="G2391" s="138"/>
      <c r="K2391" s="136"/>
      <c r="L2391" s="136"/>
      <c r="M2391" s="138"/>
      <c r="O2391" s="219"/>
      <c r="P2391" s="220"/>
    </row>
    <row r="2392" spans="1:17" x14ac:dyDescent="0.25">
      <c r="A2392" s="19" t="s">
        <v>378</v>
      </c>
      <c r="C2392" s="6">
        <v>334142</v>
      </c>
      <c r="D2392" s="6">
        <v>318889</v>
      </c>
      <c r="F2392" s="136">
        <v>0.76</v>
      </c>
      <c r="G2392" s="138"/>
      <c r="H2392" s="7">
        <f>ROUND($F2392*C2392,0)</f>
        <v>253948</v>
      </c>
      <c r="I2392" s="7">
        <f>ROUND($F2392*D2392,0)</f>
        <v>242356</v>
      </c>
      <c r="K2392" s="136"/>
      <c r="L2392" s="136"/>
      <c r="M2392" s="138"/>
      <c r="O2392" s="219"/>
      <c r="P2392" s="220"/>
    </row>
    <row r="2393" spans="1:17" x14ac:dyDescent="0.25">
      <c r="A2393" s="19" t="s">
        <v>379</v>
      </c>
      <c r="C2393" s="6">
        <v>99393</v>
      </c>
      <c r="D2393" s="6">
        <v>94856</v>
      </c>
      <c r="F2393" s="136">
        <v>0.51</v>
      </c>
      <c r="G2393" s="138"/>
      <c r="H2393" s="7">
        <f>ROUND($F2393*C2393,0)</f>
        <v>50690</v>
      </c>
      <c r="I2393" s="7">
        <f>ROUND($F2393*D2393,0)</f>
        <v>48377</v>
      </c>
      <c r="K2393" s="136"/>
      <c r="L2393" s="136"/>
      <c r="M2393" s="138"/>
      <c r="O2393" s="219"/>
      <c r="P2393" s="220"/>
    </row>
    <row r="2394" spans="1:17" x14ac:dyDescent="0.25">
      <c r="A2394" s="19" t="s">
        <v>376</v>
      </c>
      <c r="F2394" s="137"/>
      <c r="G2394" s="139"/>
      <c r="K2394" s="137"/>
      <c r="L2394" s="137"/>
      <c r="M2394" s="139"/>
      <c r="O2394" s="223"/>
      <c r="P2394" s="221"/>
    </row>
    <row r="2395" spans="1:17" x14ac:dyDescent="0.25">
      <c r="A2395" s="19" t="s">
        <v>378</v>
      </c>
      <c r="C2395" s="6">
        <v>0</v>
      </c>
      <c r="D2395" s="6">
        <v>0</v>
      </c>
      <c r="F2395" s="137">
        <v>0.38</v>
      </c>
      <c r="G2395" s="139"/>
      <c r="H2395" s="7">
        <f>ROUND($F2395*C2395,0)</f>
        <v>0</v>
      </c>
      <c r="I2395" s="7">
        <f>ROUND($F2395*D2395,0)</f>
        <v>0</v>
      </c>
      <c r="K2395" s="137"/>
      <c r="L2395" s="137"/>
      <c r="M2395" s="139"/>
      <c r="O2395" s="223"/>
      <c r="P2395" s="221"/>
    </row>
    <row r="2396" spans="1:17" x14ac:dyDescent="0.25">
      <c r="A2396" s="19" t="s">
        <v>379</v>
      </c>
      <c r="C2396" s="6">
        <v>0</v>
      </c>
      <c r="D2396" s="6">
        <v>0</v>
      </c>
      <c r="F2396" s="137">
        <v>0.255</v>
      </c>
      <c r="G2396" s="139"/>
      <c r="H2396" s="7">
        <f>ROUND($F2396*C2396,0)</f>
        <v>0</v>
      </c>
      <c r="I2396" s="7">
        <f>ROUND($F2396*D2396,0)</f>
        <v>0</v>
      </c>
      <c r="K2396" s="137"/>
      <c r="L2396" s="137"/>
      <c r="M2396" s="139"/>
      <c r="O2396" s="223"/>
      <c r="P2396" s="221"/>
    </row>
    <row r="2397" spans="1:17" x14ac:dyDescent="0.25">
      <c r="A2397" s="19" t="s">
        <v>377</v>
      </c>
      <c r="F2397" s="136"/>
      <c r="G2397" s="20"/>
      <c r="K2397" s="136"/>
      <c r="L2397" s="136"/>
      <c r="M2397" s="20"/>
      <c r="O2397" s="219"/>
      <c r="P2397" s="55"/>
    </row>
    <row r="2398" spans="1:17" x14ac:dyDescent="0.25">
      <c r="A2398" s="19" t="s">
        <v>378</v>
      </c>
      <c r="C2398" s="6">
        <v>8738</v>
      </c>
      <c r="D2398" s="6">
        <v>8339</v>
      </c>
      <c r="F2398" s="136">
        <v>32.35</v>
      </c>
      <c r="G2398" s="20"/>
      <c r="H2398" s="7">
        <f>ROUND($F2398*C2398,0)</f>
        <v>282674</v>
      </c>
      <c r="I2398" s="7">
        <f>ROUND($F2398*D2398,0)</f>
        <v>269767</v>
      </c>
      <c r="K2398" s="136"/>
      <c r="L2398" s="136"/>
      <c r="M2398" s="20"/>
      <c r="O2398" s="219"/>
      <c r="P2398" s="55"/>
    </row>
    <row r="2399" spans="1:17" x14ac:dyDescent="0.25">
      <c r="A2399" s="19" t="s">
        <v>379</v>
      </c>
      <c r="C2399" s="6">
        <v>984</v>
      </c>
      <c r="D2399" s="6">
        <v>939</v>
      </c>
      <c r="F2399" s="136">
        <v>23.36</v>
      </c>
      <c r="G2399" s="20"/>
      <c r="H2399" s="7">
        <f>ROUND($F2399*C2399,0)</f>
        <v>22986</v>
      </c>
      <c r="I2399" s="7">
        <f>ROUND($F2399*D2399,0)</f>
        <v>21935</v>
      </c>
      <c r="K2399" s="136"/>
      <c r="L2399" s="136"/>
      <c r="M2399" s="20"/>
      <c r="O2399" s="219"/>
      <c r="P2399" s="55"/>
    </row>
    <row r="2400" spans="1:17" x14ac:dyDescent="0.25">
      <c r="A2400" s="19" t="s">
        <v>328</v>
      </c>
      <c r="C2400" s="121"/>
      <c r="D2400" s="121"/>
      <c r="F2400" s="100"/>
      <c r="G2400" s="100"/>
      <c r="H2400" s="37">
        <f>SUM(H2335:H2399)</f>
        <v>1104480</v>
      </c>
      <c r="I2400" s="37">
        <f>SUM(I2335:I2399)</f>
        <v>1056038</v>
      </c>
      <c r="K2400" s="100"/>
      <c r="L2400" s="100"/>
      <c r="M2400" s="100"/>
      <c r="N2400" s="37">
        <f>SUM(N2335:N2399)</f>
        <v>1019595</v>
      </c>
      <c r="O2400" s="207"/>
      <c r="P2400" s="207"/>
      <c r="Q2400" s="64"/>
    </row>
    <row r="2401" spans="1:17" x14ac:dyDescent="0.25">
      <c r="A2401" s="134" t="s">
        <v>382</v>
      </c>
    </row>
    <row r="2402" spans="1:17" x14ac:dyDescent="0.25">
      <c r="A2402" s="15" t="s">
        <v>383</v>
      </c>
      <c r="F2402" s="24"/>
      <c r="G2402" s="24"/>
      <c r="K2402" s="24"/>
      <c r="L2402" s="24"/>
      <c r="M2402" s="24"/>
      <c r="O2402" s="57"/>
      <c r="P2402" s="57"/>
    </row>
    <row r="2403" spans="1:17" x14ac:dyDescent="0.25">
      <c r="A2403" s="19" t="s">
        <v>81</v>
      </c>
      <c r="C2403" s="6">
        <v>29129</v>
      </c>
      <c r="D2403" s="6">
        <v>27799</v>
      </c>
      <c r="F2403" s="24">
        <v>4.76</v>
      </c>
      <c r="G2403" s="24"/>
      <c r="H2403" s="7">
        <f t="shared" ref="H2403:I2412" si="350">ROUND($F2403*C2403,0)</f>
        <v>138654</v>
      </c>
      <c r="I2403" s="7">
        <f t="shared" si="350"/>
        <v>132323</v>
      </c>
      <c r="K2403" s="24"/>
      <c r="L2403" s="24">
        <f t="shared" ref="L2403:L2409" si="351">L2299</f>
        <v>4.8099999999999996</v>
      </c>
      <c r="M2403" s="24"/>
      <c r="N2403" s="7">
        <f>ROUND($D2403*L2403,0)</f>
        <v>133713</v>
      </c>
      <c r="O2403" s="57"/>
      <c r="P2403" s="57"/>
    </row>
    <row r="2404" spans="1:17" x14ac:dyDescent="0.25">
      <c r="A2404" s="19" t="s">
        <v>176</v>
      </c>
      <c r="C2404" s="6">
        <v>2828.2164038624519</v>
      </c>
      <c r="D2404" s="6">
        <v>2699</v>
      </c>
      <c r="F2404" s="24"/>
      <c r="G2404" s="24"/>
      <c r="K2404" s="24"/>
      <c r="L2404" s="24">
        <f t="shared" si="351"/>
        <v>15.73</v>
      </c>
      <c r="M2404" s="24"/>
      <c r="N2404" s="7">
        <f>ROUND($D2404*L2404,0)</f>
        <v>42455</v>
      </c>
      <c r="O2404" s="57"/>
      <c r="P2404" s="57"/>
    </row>
    <row r="2405" spans="1:17" x14ac:dyDescent="0.25">
      <c r="A2405" s="19" t="s">
        <v>177</v>
      </c>
      <c r="C2405" s="6">
        <v>28169.780665940372</v>
      </c>
      <c r="D2405" s="6">
        <v>26884</v>
      </c>
      <c r="F2405" s="24"/>
      <c r="G2405" s="24"/>
      <c r="K2405" s="24"/>
      <c r="L2405" s="24">
        <f t="shared" si="351"/>
        <v>13.92</v>
      </c>
      <c r="M2405" s="24"/>
      <c r="N2405" s="7">
        <f>ROUND($D2405*L2405,0)</f>
        <v>374225</v>
      </c>
      <c r="O2405" s="57"/>
      <c r="P2405" s="57"/>
    </row>
    <row r="2406" spans="1:17" x14ac:dyDescent="0.25">
      <c r="A2406" s="19" t="s">
        <v>17</v>
      </c>
      <c r="C2406" s="6">
        <v>943370.68349318916</v>
      </c>
      <c r="D2406" s="6">
        <v>905085</v>
      </c>
      <c r="F2406" s="100"/>
      <c r="G2406" s="26"/>
      <c r="K2406" s="100"/>
      <c r="L2406" s="100">
        <f t="shared" si="351"/>
        <v>5.8281999999999998</v>
      </c>
      <c r="M2406" s="26" t="s">
        <v>18</v>
      </c>
      <c r="N2406" s="7">
        <f>ROUND($D2406*L2406/100,0)</f>
        <v>52750</v>
      </c>
      <c r="O2406" s="207"/>
      <c r="P2406" s="59"/>
    </row>
    <row r="2407" spans="1:17" x14ac:dyDescent="0.25">
      <c r="A2407" s="19" t="s">
        <v>178</v>
      </c>
      <c r="C2407" s="6">
        <v>2666759.3334862269</v>
      </c>
      <c r="D2407" s="6">
        <v>2558532</v>
      </c>
      <c r="F2407" s="100"/>
      <c r="G2407" s="26"/>
      <c r="K2407" s="100"/>
      <c r="L2407" s="100">
        <f t="shared" si="351"/>
        <v>5.1577000000000002</v>
      </c>
      <c r="M2407" s="26" t="s">
        <v>18</v>
      </c>
      <c r="N2407" s="7">
        <f>ROUND($D2407*L2407/100,0)</f>
        <v>131961</v>
      </c>
      <c r="O2407" s="207"/>
      <c r="P2407" s="59"/>
    </row>
    <row r="2408" spans="1:17" x14ac:dyDescent="0.25">
      <c r="A2408" s="19" t="s">
        <v>19</v>
      </c>
      <c r="C2408" s="6">
        <v>4194488.0053539481</v>
      </c>
      <c r="D2408" s="6">
        <v>4024260</v>
      </c>
      <c r="F2408" s="100"/>
      <c r="G2408" s="26"/>
      <c r="K2408" s="100"/>
      <c r="L2408" s="100">
        <f t="shared" si="351"/>
        <v>2.9624000000000001</v>
      </c>
      <c r="M2408" s="26" t="s">
        <v>18</v>
      </c>
      <c r="N2408" s="7">
        <f>ROUND($D2408*L2408/100,0)</f>
        <v>119215</v>
      </c>
      <c r="O2408" s="207"/>
      <c r="P2408" s="59"/>
    </row>
    <row r="2409" spans="1:17" x14ac:dyDescent="0.25">
      <c r="A2409" s="19" t="s">
        <v>179</v>
      </c>
      <c r="C2409" s="6">
        <v>7840981.977666636</v>
      </c>
      <c r="D2409" s="6">
        <v>7522766</v>
      </c>
      <c r="F2409" s="100"/>
      <c r="G2409" s="26"/>
      <c r="K2409" s="100"/>
      <c r="L2409" s="100">
        <f t="shared" si="351"/>
        <v>2.6215999999999999</v>
      </c>
      <c r="M2409" s="26" t="s">
        <v>18</v>
      </c>
      <c r="N2409" s="7">
        <f>ROUND($D2409*L2409/100,0)</f>
        <v>197217</v>
      </c>
      <c r="O2409" s="207"/>
      <c r="P2409" s="59"/>
    </row>
    <row r="2410" spans="1:17" x14ac:dyDescent="0.25">
      <c r="A2410" s="19" t="s">
        <v>180</v>
      </c>
      <c r="C2410" s="6">
        <v>3500</v>
      </c>
      <c r="D2410" s="6">
        <v>3340</v>
      </c>
      <c r="F2410" s="24">
        <v>15.56</v>
      </c>
      <c r="G2410" s="24"/>
      <c r="H2410" s="7">
        <f t="shared" si="350"/>
        <v>54460</v>
      </c>
      <c r="I2410" s="7">
        <f t="shared" si="350"/>
        <v>51970</v>
      </c>
      <c r="K2410" s="24"/>
      <c r="L2410" s="24"/>
      <c r="M2410" s="24"/>
      <c r="O2410" s="57"/>
      <c r="P2410" s="57"/>
    </row>
    <row r="2411" spans="1:17" x14ac:dyDescent="0.25">
      <c r="A2411" s="19" t="s">
        <v>181</v>
      </c>
      <c r="C2411" s="6">
        <v>25538</v>
      </c>
      <c r="D2411" s="6">
        <v>24372</v>
      </c>
      <c r="F2411" s="24">
        <v>11.19</v>
      </c>
      <c r="G2411" s="24"/>
      <c r="H2411" s="7">
        <f t="shared" si="350"/>
        <v>285770</v>
      </c>
      <c r="I2411" s="7">
        <f t="shared" si="350"/>
        <v>272723</v>
      </c>
      <c r="K2411" s="24"/>
      <c r="L2411" s="24"/>
      <c r="M2411" s="24"/>
      <c r="O2411" s="57"/>
      <c r="P2411" s="57"/>
    </row>
    <row r="2412" spans="1:17" x14ac:dyDescent="0.25">
      <c r="A2412" s="19" t="s">
        <v>77</v>
      </c>
      <c r="C2412" s="6">
        <v>29038</v>
      </c>
      <c r="D2412" s="6">
        <v>27713</v>
      </c>
      <c r="F2412" s="24">
        <v>-1.1299999999999999</v>
      </c>
      <c r="G2412" s="24"/>
      <c r="H2412" s="7">
        <f t="shared" si="350"/>
        <v>-32813</v>
      </c>
      <c r="I2412" s="7">
        <f t="shared" si="350"/>
        <v>-31316</v>
      </c>
      <c r="K2412" s="24"/>
      <c r="L2412" s="24">
        <f>L2308</f>
        <v>-1.1299999999999999</v>
      </c>
      <c r="M2412" s="24"/>
      <c r="N2412" s="7">
        <f>ROUND($D2412*L2412,0)</f>
        <v>-31316</v>
      </c>
      <c r="O2412" s="57"/>
      <c r="P2412" s="57"/>
    </row>
    <row r="2413" spans="1:17" x14ac:dyDescent="0.25">
      <c r="A2413" s="19" t="s">
        <v>25</v>
      </c>
      <c r="C2413" s="6">
        <v>1183200</v>
      </c>
      <c r="D2413" s="6">
        <v>1135181.6666666567</v>
      </c>
      <c r="F2413" s="100">
        <v>5.0473999999999997</v>
      </c>
      <c r="G2413" s="26" t="s">
        <v>18</v>
      </c>
      <c r="H2413" s="7">
        <f t="shared" ref="H2413:I2415" si="352">ROUND($F2413*C2413/100,0)</f>
        <v>59721</v>
      </c>
      <c r="I2413" s="7">
        <f t="shared" si="352"/>
        <v>57297</v>
      </c>
      <c r="K2413" s="100"/>
      <c r="L2413" s="100"/>
      <c r="M2413" s="26"/>
      <c r="O2413" s="207"/>
      <c r="P2413" s="59"/>
    </row>
    <row r="2414" spans="1:17" x14ac:dyDescent="0.25">
      <c r="A2414" s="19" t="s">
        <v>124</v>
      </c>
      <c r="C2414" s="6">
        <v>5407200</v>
      </c>
      <c r="D2414" s="6">
        <v>5187756</v>
      </c>
      <c r="F2414" s="100">
        <v>3.9510999999999998</v>
      </c>
      <c r="G2414" s="26" t="s">
        <v>18</v>
      </c>
      <c r="H2414" s="7">
        <f t="shared" si="352"/>
        <v>213644</v>
      </c>
      <c r="I2414" s="7">
        <f t="shared" si="352"/>
        <v>204973</v>
      </c>
      <c r="K2414" s="100"/>
      <c r="L2414" s="100"/>
      <c r="M2414" s="26"/>
      <c r="O2414" s="207"/>
      <c r="P2414" s="59"/>
    </row>
    <row r="2415" spans="1:17" x14ac:dyDescent="0.25">
      <c r="A2415" s="19" t="s">
        <v>41</v>
      </c>
      <c r="C2415" s="130">
        <v>9055200</v>
      </c>
      <c r="D2415" s="130">
        <v>8687706</v>
      </c>
      <c r="F2415" s="142">
        <v>3.4001999999999999</v>
      </c>
      <c r="G2415" s="26" t="s">
        <v>18</v>
      </c>
      <c r="H2415" s="141">
        <f t="shared" si="352"/>
        <v>307895</v>
      </c>
      <c r="I2415" s="141">
        <f t="shared" si="352"/>
        <v>295399</v>
      </c>
      <c r="K2415" s="142"/>
      <c r="L2415" s="142"/>
      <c r="M2415" s="26"/>
      <c r="N2415" s="141"/>
      <c r="O2415" s="225"/>
      <c r="P2415" s="59"/>
      <c r="Q2415" s="224"/>
    </row>
    <row r="2416" spans="1:17" x14ac:dyDescent="0.25">
      <c r="A2416" s="19" t="s">
        <v>34</v>
      </c>
      <c r="F2416" s="23">
        <v>-3.1800000000000002E-2</v>
      </c>
      <c r="G2416" s="24"/>
      <c r="H2416" s="7">
        <f>SUM(H2410:H2411,H2413:H2415)*$F2416</f>
        <v>-29303.382000000001</v>
      </c>
      <c r="I2416" s="7">
        <f>SUM(I2410:I2411,I2413:I2415)*$F2416</f>
        <v>-28059.1116</v>
      </c>
      <c r="K2416" s="93" t="str">
        <f>$K$43</f>
        <v>TAA 1 (1/1/2021)</v>
      </c>
      <c r="L2416" s="23">
        <f t="shared" ref="L2416:L2417" si="353">L2312</f>
        <v>-2.5000000000000001E-2</v>
      </c>
      <c r="M2416" s="24"/>
      <c r="N2416" s="7">
        <f>L2416*SUM(N2404:N2409)</f>
        <v>-22945.575000000001</v>
      </c>
      <c r="O2416" s="65"/>
      <c r="P2416" s="57"/>
    </row>
    <row r="2417" spans="1:17" x14ac:dyDescent="0.25">
      <c r="A2417" s="19"/>
      <c r="F2417" s="23"/>
      <c r="G2417" s="24"/>
      <c r="K2417" s="93" t="str">
        <f>$K$44</f>
        <v>TAA 2 (1/1/2022)</v>
      </c>
      <c r="L2417" s="23">
        <f t="shared" si="353"/>
        <v>-1.2500000000000001E-2</v>
      </c>
      <c r="M2417" s="24"/>
      <c r="N2417" s="7">
        <f>L2417*SUM(N2404:N2409)</f>
        <v>-11472.7875</v>
      </c>
      <c r="O2417" s="65"/>
      <c r="P2417" s="57"/>
    </row>
    <row r="2418" spans="1:17" x14ac:dyDescent="0.25">
      <c r="A2418" s="15" t="s">
        <v>384</v>
      </c>
      <c r="F2418" s="24"/>
      <c r="G2418" s="24"/>
      <c r="K2418" s="24"/>
      <c r="L2418" s="24"/>
      <c r="M2418" s="24"/>
      <c r="O2418" s="57"/>
      <c r="P2418" s="57"/>
    </row>
    <row r="2419" spans="1:17" x14ac:dyDescent="0.25">
      <c r="A2419" s="19" t="s">
        <v>81</v>
      </c>
      <c r="C2419" s="6">
        <v>180394</v>
      </c>
      <c r="D2419" s="6">
        <v>172160</v>
      </c>
      <c r="F2419" s="24">
        <v>2.2200000000000002</v>
      </c>
      <c r="G2419" s="24"/>
      <c r="H2419" s="7">
        <f t="shared" ref="H2419:I2427" si="354">ROUND($F2419*C2419,0)</f>
        <v>400475</v>
      </c>
      <c r="I2419" s="7">
        <f t="shared" si="354"/>
        <v>382195</v>
      </c>
      <c r="K2419" s="24"/>
      <c r="L2419" s="24">
        <f t="shared" ref="L2419:L2425" si="355">L2315</f>
        <v>2.2799999999999998</v>
      </c>
      <c r="M2419" s="24"/>
      <c r="N2419" s="7">
        <f>ROUND($D2419*L2419,0)</f>
        <v>392525</v>
      </c>
      <c r="O2419" s="57"/>
      <c r="P2419" s="57"/>
    </row>
    <row r="2420" spans="1:17" x14ac:dyDescent="0.25">
      <c r="A2420" s="19" t="s">
        <v>176</v>
      </c>
      <c r="C2420" s="6">
        <v>67973.491261621748</v>
      </c>
      <c r="D2420" s="6">
        <v>64871</v>
      </c>
      <c r="F2420" s="24"/>
      <c r="G2420" s="24"/>
      <c r="K2420" s="24"/>
      <c r="L2420" s="24">
        <f t="shared" si="355"/>
        <v>14.33</v>
      </c>
      <c r="M2420" s="24"/>
      <c r="N2420" s="7">
        <f>ROUND($D2420*L2420,0)</f>
        <v>929601</v>
      </c>
      <c r="O2420" s="57"/>
      <c r="P2420" s="57"/>
    </row>
    <row r="2421" spans="1:17" x14ac:dyDescent="0.25">
      <c r="A2421" s="19" t="s">
        <v>177</v>
      </c>
      <c r="C2421" s="6">
        <v>106254.25738261671</v>
      </c>
      <c r="D2421" s="6">
        <v>101404</v>
      </c>
      <c r="F2421" s="24"/>
      <c r="G2421" s="24"/>
      <c r="K2421" s="24"/>
      <c r="L2421" s="24">
        <f t="shared" si="355"/>
        <v>12.68</v>
      </c>
      <c r="M2421" s="24"/>
      <c r="N2421" s="7">
        <f>ROUND($D2421*L2421,0)</f>
        <v>1285803</v>
      </c>
      <c r="O2421" s="57"/>
      <c r="P2421" s="57"/>
    </row>
    <row r="2422" spans="1:17" x14ac:dyDescent="0.25">
      <c r="A2422" s="19" t="s">
        <v>17</v>
      </c>
      <c r="C2422" s="6">
        <v>10440367.057631113</v>
      </c>
      <c r="D2422" s="6">
        <v>10016658</v>
      </c>
      <c r="F2422" s="99"/>
      <c r="G2422" s="26"/>
      <c r="K2422" s="99"/>
      <c r="L2422" s="99">
        <f t="shared" si="355"/>
        <v>5.1477000000000004</v>
      </c>
      <c r="M2422" s="26" t="s">
        <v>18</v>
      </c>
      <c r="N2422" s="7">
        <f>ROUND($D2422*L2422/100,0)</f>
        <v>515628</v>
      </c>
      <c r="O2422" s="206"/>
      <c r="P2422" s="59"/>
    </row>
    <row r="2423" spans="1:17" x14ac:dyDescent="0.25">
      <c r="A2423" s="19" t="s">
        <v>178</v>
      </c>
      <c r="C2423" s="6">
        <v>14024745.062600741</v>
      </c>
      <c r="D2423" s="6">
        <v>13455569</v>
      </c>
      <c r="F2423" s="99"/>
      <c r="G2423" s="26"/>
      <c r="K2423" s="99"/>
      <c r="L2423" s="99">
        <f t="shared" si="355"/>
        <v>4.5555000000000003</v>
      </c>
      <c r="M2423" s="26" t="s">
        <v>18</v>
      </c>
      <c r="N2423" s="7">
        <f>ROUND($D2423*L2423/100,0)</f>
        <v>612968</v>
      </c>
      <c r="O2423" s="206"/>
      <c r="P2423" s="59"/>
    </row>
    <row r="2424" spans="1:17" x14ac:dyDescent="0.25">
      <c r="A2424" s="19" t="s">
        <v>19</v>
      </c>
      <c r="C2424" s="6">
        <v>32378671.743687563</v>
      </c>
      <c r="D2424" s="6">
        <v>31064625</v>
      </c>
      <c r="F2424" s="99"/>
      <c r="G2424" s="26"/>
      <c r="K2424" s="99"/>
      <c r="L2424" s="99">
        <f t="shared" si="355"/>
        <v>2.6164999999999998</v>
      </c>
      <c r="M2424" s="26" t="s">
        <v>18</v>
      </c>
      <c r="N2424" s="7">
        <f>ROUND($D2424*L2424/100,0)</f>
        <v>812806</v>
      </c>
      <c r="O2424" s="206"/>
      <c r="P2424" s="59"/>
    </row>
    <row r="2425" spans="1:17" x14ac:dyDescent="0.25">
      <c r="A2425" s="19" t="s">
        <v>179</v>
      </c>
      <c r="C2425" s="6">
        <v>62210263.136080585</v>
      </c>
      <c r="D2425" s="6">
        <v>59685538.666666657</v>
      </c>
      <c r="F2425" s="143"/>
      <c r="G2425" s="26"/>
      <c r="H2425" s="141"/>
      <c r="I2425" s="141"/>
      <c r="K2425" s="143"/>
      <c r="L2425" s="143">
        <f t="shared" si="355"/>
        <v>2.3155000000000001</v>
      </c>
      <c r="M2425" s="26" t="s">
        <v>18</v>
      </c>
      <c r="N2425" s="7">
        <f>ROUND($D2425*L2425/100,0)</f>
        <v>1382019</v>
      </c>
      <c r="O2425" s="226"/>
      <c r="P2425" s="59"/>
    </row>
    <row r="2426" spans="1:17" x14ac:dyDescent="0.25">
      <c r="A2426" s="19" t="s">
        <v>180</v>
      </c>
      <c r="C2426" s="6">
        <v>83770</v>
      </c>
      <c r="D2426" s="6">
        <v>79946</v>
      </c>
      <c r="F2426" s="24">
        <v>13.96</v>
      </c>
      <c r="G2426" s="24"/>
      <c r="H2426" s="7">
        <f t="shared" si="354"/>
        <v>1169429</v>
      </c>
      <c r="I2426" s="7">
        <f t="shared" si="354"/>
        <v>1116046</v>
      </c>
      <c r="K2426" s="24"/>
      <c r="L2426" s="24"/>
      <c r="M2426" s="24"/>
      <c r="O2426" s="57"/>
      <c r="P2426" s="57"/>
    </row>
    <row r="2427" spans="1:17" x14ac:dyDescent="0.25">
      <c r="A2427" s="19" t="s">
        <v>181</v>
      </c>
      <c r="C2427" s="6">
        <v>93539</v>
      </c>
      <c r="D2427" s="6">
        <v>89269</v>
      </c>
      <c r="F2427" s="24">
        <v>9.4700000000000006</v>
      </c>
      <c r="G2427" s="24"/>
      <c r="H2427" s="7">
        <f t="shared" si="354"/>
        <v>885814</v>
      </c>
      <c r="I2427" s="7">
        <f t="shared" si="354"/>
        <v>845377</v>
      </c>
      <c r="K2427" s="24"/>
      <c r="L2427" s="24"/>
      <c r="M2427" s="24"/>
      <c r="O2427" s="57"/>
      <c r="P2427" s="57"/>
    </row>
    <row r="2428" spans="1:17" x14ac:dyDescent="0.25">
      <c r="A2428" s="19" t="s">
        <v>187</v>
      </c>
      <c r="C2428" s="6">
        <v>15095059</v>
      </c>
      <c r="D2428" s="6">
        <v>14482445</v>
      </c>
      <c r="F2428" s="99">
        <v>4.6531000000000002</v>
      </c>
      <c r="G2428" s="26" t="s">
        <v>18</v>
      </c>
      <c r="H2428" s="7">
        <f t="shared" ref="H2428:I2430" si="356">ROUND($F2428*C2428/100,0)</f>
        <v>702388</v>
      </c>
      <c r="I2428" s="7">
        <f t="shared" si="356"/>
        <v>673883</v>
      </c>
      <c r="K2428" s="99"/>
      <c r="L2428" s="99"/>
      <c r="M2428" s="26"/>
      <c r="O2428" s="206"/>
      <c r="P2428" s="59"/>
    </row>
    <row r="2429" spans="1:17" x14ac:dyDescent="0.25">
      <c r="A2429" s="19" t="s">
        <v>188</v>
      </c>
      <c r="C2429" s="6">
        <v>28070620</v>
      </c>
      <c r="D2429" s="6">
        <v>26931410</v>
      </c>
      <c r="F2429" s="99">
        <v>3.4988999999999999</v>
      </c>
      <c r="G2429" s="26" t="s">
        <v>18</v>
      </c>
      <c r="H2429" s="7">
        <f t="shared" si="356"/>
        <v>982163</v>
      </c>
      <c r="I2429" s="7">
        <f t="shared" si="356"/>
        <v>942303</v>
      </c>
      <c r="K2429" s="99"/>
      <c r="L2429" s="99"/>
      <c r="M2429" s="26"/>
      <c r="O2429" s="206"/>
      <c r="P2429" s="59"/>
    </row>
    <row r="2430" spans="1:17" x14ac:dyDescent="0.25">
      <c r="A2430" s="19" t="s">
        <v>41</v>
      </c>
      <c r="C2430" s="130">
        <v>75888368</v>
      </c>
      <c r="D2430" s="130">
        <v>72808535</v>
      </c>
      <c r="F2430" s="143">
        <v>2.9224999999999999</v>
      </c>
      <c r="G2430" s="26" t="s">
        <v>18</v>
      </c>
      <c r="H2430" s="141">
        <f t="shared" si="356"/>
        <v>2217838</v>
      </c>
      <c r="I2430" s="141">
        <f t="shared" si="356"/>
        <v>2127829</v>
      </c>
      <c r="K2430" s="143"/>
      <c r="L2430" s="143"/>
      <c r="M2430" s="26"/>
      <c r="N2430" s="141"/>
      <c r="O2430" s="226"/>
      <c r="P2430" s="59"/>
      <c r="Q2430" s="224"/>
    </row>
    <row r="2431" spans="1:17" x14ac:dyDescent="0.25">
      <c r="A2431" s="19" t="s">
        <v>34</v>
      </c>
      <c r="F2431" s="144">
        <v>-3.0700000000000002E-2</v>
      </c>
      <c r="G2431" s="24"/>
      <c r="H2431" s="145">
        <f>SUM(H2426:H2430)*$F2431</f>
        <v>-182899.30240000002</v>
      </c>
      <c r="I2431" s="145">
        <f>SUM(I2426:I2430)*$F2431</f>
        <v>-175156.9466</v>
      </c>
      <c r="K2431" s="93" t="str">
        <f>$K$43</f>
        <v>TAA 1 (1/1/2021)</v>
      </c>
      <c r="L2431" s="23">
        <f t="shared" ref="L2431:L2432" si="357">L2327</f>
        <v>-2.4299999999999999E-2</v>
      </c>
      <c r="M2431" s="24"/>
      <c r="N2431" s="7">
        <f>L2431*SUM(N2420:N2425)</f>
        <v>-134593.44749999998</v>
      </c>
      <c r="O2431" s="65"/>
      <c r="P2431" s="57"/>
    </row>
    <row r="2432" spans="1:17" x14ac:dyDescent="0.25">
      <c r="A2432" s="19"/>
      <c r="F2432" s="23"/>
      <c r="G2432" s="24"/>
      <c r="K2432" s="93" t="str">
        <f>$K$44</f>
        <v>TAA 2 (1/1/2022)</v>
      </c>
      <c r="L2432" s="23">
        <f t="shared" si="357"/>
        <v>-1.21E-2</v>
      </c>
      <c r="M2432" s="24"/>
      <c r="N2432" s="7">
        <f>L2432*SUM(N2420:N2425)</f>
        <v>-67019.782500000001</v>
      </c>
      <c r="O2432" s="65"/>
      <c r="P2432" s="57"/>
    </row>
    <row r="2433" spans="1:17" x14ac:dyDescent="0.25">
      <c r="A2433" s="19" t="s">
        <v>328</v>
      </c>
      <c r="F2433" s="99"/>
      <c r="G2433" s="26"/>
      <c r="H2433" s="7">
        <f>SUM(H2403:H2431)</f>
        <v>7173235.3155999994</v>
      </c>
      <c r="I2433" s="7">
        <f>SUM(I2403:I2431)</f>
        <v>6867785.9417999992</v>
      </c>
      <c r="K2433" s="99"/>
      <c r="L2433" s="99"/>
      <c r="M2433" s="26"/>
      <c r="N2433" s="7">
        <f>SUM(N2403:N2415,N2419:N2430)</f>
        <v>6951570</v>
      </c>
      <c r="O2433" s="206"/>
      <c r="P2433" s="59"/>
    </row>
    <row r="2434" spans="1:17" x14ac:dyDescent="0.25">
      <c r="A2434" s="5" t="s">
        <v>164</v>
      </c>
      <c r="C2434" s="121">
        <v>714620</v>
      </c>
      <c r="D2434" s="121">
        <v>0</v>
      </c>
      <c r="F2434" s="100"/>
      <c r="G2434" s="100"/>
      <c r="H2434" s="37">
        <v>48878</v>
      </c>
      <c r="I2434" s="37">
        <v>0</v>
      </c>
      <c r="K2434" s="100"/>
      <c r="L2434" s="100"/>
      <c r="M2434" s="100"/>
      <c r="N2434" s="37"/>
      <c r="O2434" s="207"/>
      <c r="P2434" s="207"/>
      <c r="Q2434" s="64"/>
    </row>
    <row r="2435" spans="1:17" ht="16.5" thickBot="1" x14ac:dyDescent="0.3">
      <c r="A2435" s="19" t="s">
        <v>385</v>
      </c>
      <c r="C2435" s="101">
        <v>135414267</v>
      </c>
      <c r="D2435" s="101">
        <v>129233033.66666666</v>
      </c>
      <c r="F2435" s="41"/>
      <c r="H2435" s="95">
        <f>H2400+H2433+H2434</f>
        <v>8326593.3155999994</v>
      </c>
      <c r="I2435" s="95">
        <f>I2400+I2433+I2434</f>
        <v>7923823.9417999992</v>
      </c>
      <c r="K2435" s="41"/>
      <c r="L2435" s="41"/>
      <c r="N2435" s="95">
        <f>N2400+N2433</f>
        <v>7971165</v>
      </c>
      <c r="O2435" s="68"/>
      <c r="Q2435" s="208"/>
    </row>
    <row r="2436" spans="1:17" ht="16.5" thickTop="1" x14ac:dyDescent="0.25"/>
    <row r="2437" spans="1:17" x14ac:dyDescent="0.25">
      <c r="A2437" s="15" t="s">
        <v>387</v>
      </c>
      <c r="F2437" s="100"/>
      <c r="G2437" s="100"/>
      <c r="K2437" s="100"/>
      <c r="L2437" s="100"/>
      <c r="M2437" s="100"/>
      <c r="O2437" s="207"/>
      <c r="P2437" s="207"/>
    </row>
    <row r="2438" spans="1:17" x14ac:dyDescent="0.25">
      <c r="A2438" s="134" t="s">
        <v>369</v>
      </c>
    </row>
    <row r="2439" spans="1:17" x14ac:dyDescent="0.25">
      <c r="A2439" s="19" t="s">
        <v>370</v>
      </c>
      <c r="F2439" s="136">
        <v>133</v>
      </c>
      <c r="G2439" s="20"/>
      <c r="H2439" s="7">
        <f>ROUND($F2439*C2439,0)</f>
        <v>0</v>
      </c>
      <c r="I2439" s="7">
        <f>ROUND($F2439*D2439,0)</f>
        <v>0</v>
      </c>
      <c r="K2439" s="136"/>
      <c r="L2439" s="136">
        <f>L2231</f>
        <v>137</v>
      </c>
      <c r="M2439" s="20"/>
      <c r="N2439" s="7">
        <f>ROUND($D2439*L2439,0)</f>
        <v>0</v>
      </c>
      <c r="O2439" s="219"/>
      <c r="P2439" s="55"/>
    </row>
    <row r="2440" spans="1:17" x14ac:dyDescent="0.25">
      <c r="A2440" s="19" t="s">
        <v>371</v>
      </c>
      <c r="F2440" s="136">
        <v>5.6</v>
      </c>
      <c r="G2440" s="20"/>
      <c r="H2440" s="7">
        <f>ROUND($F2440*C2440,0)</f>
        <v>0</v>
      </c>
      <c r="I2440" s="7">
        <f>ROUND($F2440*D2440,0)</f>
        <v>0</v>
      </c>
      <c r="K2440" s="136"/>
      <c r="L2440" s="136">
        <f>L2232</f>
        <v>5.75</v>
      </c>
      <c r="M2440" s="20"/>
      <c r="N2440" s="7">
        <f>ROUND($D2440*L2440,0)</f>
        <v>0</v>
      </c>
      <c r="O2440" s="219"/>
      <c r="P2440" s="55"/>
    </row>
    <row r="2441" spans="1:17" x14ac:dyDescent="0.25">
      <c r="A2441" s="19" t="s">
        <v>372</v>
      </c>
      <c r="F2441" s="137"/>
      <c r="G2441" s="24"/>
      <c r="K2441" s="137"/>
      <c r="L2441" s="137"/>
      <c r="M2441" s="24"/>
      <c r="O2441" s="223"/>
      <c r="P2441" s="57"/>
    </row>
    <row r="2442" spans="1:17" x14ac:dyDescent="0.25">
      <c r="A2442" s="19" t="s">
        <v>373</v>
      </c>
      <c r="F2442" s="136"/>
      <c r="G2442" s="138"/>
      <c r="K2442" s="136"/>
      <c r="L2442" s="136"/>
      <c r="M2442" s="138"/>
      <c r="O2442" s="219"/>
      <c r="P2442" s="220"/>
    </row>
    <row r="2443" spans="1:17" x14ac:dyDescent="0.25">
      <c r="A2443" s="19" t="s">
        <v>374</v>
      </c>
      <c r="F2443" s="136"/>
      <c r="G2443" s="138"/>
      <c r="K2443" s="136"/>
      <c r="L2443" s="136">
        <f t="shared" ref="L2443:L2444" si="358">L2235</f>
        <v>0.9</v>
      </c>
      <c r="M2443" s="138"/>
      <c r="N2443" s="7">
        <f>ROUND($D2443*L2443,0)</f>
        <v>0</v>
      </c>
      <c r="O2443" s="219"/>
      <c r="P2443" s="220"/>
    </row>
    <row r="2444" spans="1:17" x14ac:dyDescent="0.25">
      <c r="A2444" s="19" t="s">
        <v>375</v>
      </c>
      <c r="F2444" s="136"/>
      <c r="G2444" s="138"/>
      <c r="K2444" s="136"/>
      <c r="L2444" s="136">
        <f t="shared" si="358"/>
        <v>0.8</v>
      </c>
      <c r="M2444" s="138"/>
      <c r="N2444" s="7">
        <f>ROUND($D2444*L2444,0)</f>
        <v>0</v>
      </c>
      <c r="O2444" s="219"/>
      <c r="P2444" s="220"/>
    </row>
    <row r="2445" spans="1:17" x14ac:dyDescent="0.25">
      <c r="A2445" s="19" t="s">
        <v>376</v>
      </c>
      <c r="F2445" s="137"/>
      <c r="G2445" s="139"/>
      <c r="K2445" s="137"/>
      <c r="L2445" s="137"/>
      <c r="M2445" s="139"/>
      <c r="O2445" s="223"/>
      <c r="P2445" s="221"/>
    </row>
    <row r="2446" spans="1:17" x14ac:dyDescent="0.25">
      <c r="A2446" s="19" t="s">
        <v>374</v>
      </c>
      <c r="F2446" s="137"/>
      <c r="G2446" s="139"/>
      <c r="K2446" s="137"/>
      <c r="L2446" s="137">
        <f t="shared" ref="L2446:L2447" si="359">L2238</f>
        <v>0.45</v>
      </c>
      <c r="M2446" s="139"/>
      <c r="N2446" s="7">
        <f>ROUND($D2446*L2446,0)</f>
        <v>0</v>
      </c>
      <c r="O2446" s="223"/>
      <c r="P2446" s="221"/>
    </row>
    <row r="2447" spans="1:17" x14ac:dyDescent="0.25">
      <c r="A2447" s="19" t="s">
        <v>375</v>
      </c>
      <c r="F2447" s="137"/>
      <c r="G2447" s="139"/>
      <c r="K2447" s="137"/>
      <c r="L2447" s="137">
        <f t="shared" si="359"/>
        <v>0.4</v>
      </c>
      <c r="M2447" s="139"/>
      <c r="N2447" s="7">
        <f>ROUND($D2447*L2447,0)</f>
        <v>0</v>
      </c>
      <c r="O2447" s="223"/>
      <c r="P2447" s="221"/>
    </row>
    <row r="2448" spans="1:17" x14ac:dyDescent="0.25">
      <c r="A2448" s="19" t="s">
        <v>377</v>
      </c>
      <c r="F2448" s="136"/>
      <c r="G2448" s="20"/>
      <c r="K2448" s="136"/>
      <c r="L2448" s="136"/>
      <c r="M2448" s="20"/>
      <c r="O2448" s="219"/>
      <c r="P2448" s="55"/>
    </row>
    <row r="2449" spans="1:16" x14ac:dyDescent="0.25">
      <c r="A2449" s="19" t="s">
        <v>374</v>
      </c>
      <c r="F2449" s="136"/>
      <c r="G2449" s="20"/>
      <c r="K2449" s="136"/>
      <c r="L2449" s="136">
        <f t="shared" ref="L2449:L2450" si="360">L2241</f>
        <v>41.89</v>
      </c>
      <c r="M2449" s="20"/>
      <c r="N2449" s="7">
        <f>ROUND($D2449*L2449,0)</f>
        <v>0</v>
      </c>
      <c r="O2449" s="219"/>
      <c r="P2449" s="55"/>
    </row>
    <row r="2450" spans="1:16" x14ac:dyDescent="0.25">
      <c r="A2450" s="19" t="s">
        <v>375</v>
      </c>
      <c r="F2450" s="136"/>
      <c r="G2450" s="20"/>
      <c r="K2450" s="136"/>
      <c r="L2450" s="136">
        <f t="shared" si="360"/>
        <v>37.07</v>
      </c>
      <c r="M2450" s="20"/>
      <c r="N2450" s="7">
        <f>ROUND($D2450*L2450,0)</f>
        <v>0</v>
      </c>
      <c r="O2450" s="219"/>
      <c r="P2450" s="55"/>
    </row>
    <row r="2451" spans="1:16" x14ac:dyDescent="0.25">
      <c r="A2451" s="19" t="s">
        <v>373</v>
      </c>
      <c r="F2451" s="136"/>
      <c r="G2451" s="138"/>
      <c r="K2451" s="136"/>
      <c r="L2451" s="136"/>
      <c r="M2451" s="138"/>
      <c r="O2451" s="219"/>
      <c r="P2451" s="220"/>
    </row>
    <row r="2452" spans="1:16" x14ac:dyDescent="0.25">
      <c r="A2452" s="19" t="s">
        <v>378</v>
      </c>
      <c r="F2452" s="136">
        <v>0.88</v>
      </c>
      <c r="G2452" s="138"/>
      <c r="H2452" s="7">
        <f>ROUND($F2452*C2452,0)</f>
        <v>0</v>
      </c>
      <c r="I2452" s="7">
        <f>ROUND($F2452*D2452,0)</f>
        <v>0</v>
      </c>
      <c r="K2452" s="136"/>
      <c r="L2452" s="136"/>
      <c r="M2452" s="138"/>
      <c r="O2452" s="219"/>
      <c r="P2452" s="220"/>
    </row>
    <row r="2453" spans="1:16" x14ac:dyDescent="0.25">
      <c r="A2453" s="19" t="s">
        <v>379</v>
      </c>
      <c r="F2453" s="136">
        <v>0.62</v>
      </c>
      <c r="G2453" s="138"/>
      <c r="H2453" s="7">
        <f>ROUND($F2453*C2453,0)</f>
        <v>0</v>
      </c>
      <c r="I2453" s="7">
        <f>ROUND($F2453*D2453,0)</f>
        <v>0</v>
      </c>
      <c r="K2453" s="136"/>
      <c r="L2453" s="136"/>
      <c r="M2453" s="138"/>
      <c r="O2453" s="219"/>
      <c r="P2453" s="220"/>
    </row>
    <row r="2454" spans="1:16" x14ac:dyDescent="0.25">
      <c r="A2454" s="19" t="s">
        <v>376</v>
      </c>
      <c r="F2454" s="137"/>
      <c r="G2454" s="139"/>
      <c r="K2454" s="137"/>
      <c r="L2454" s="137"/>
      <c r="M2454" s="139"/>
      <c r="O2454" s="223"/>
      <c r="P2454" s="221"/>
    </row>
    <row r="2455" spans="1:16" x14ac:dyDescent="0.25">
      <c r="A2455" s="19" t="s">
        <v>378</v>
      </c>
      <c r="F2455" s="137">
        <v>0.44</v>
      </c>
      <c r="G2455" s="139"/>
      <c r="H2455" s="7">
        <f>ROUND($F2455*C2455,0)</f>
        <v>0</v>
      </c>
      <c r="I2455" s="7">
        <f>ROUND($F2455*D2455,0)</f>
        <v>0</v>
      </c>
      <c r="K2455" s="137"/>
      <c r="L2455" s="137"/>
      <c r="M2455" s="139"/>
      <c r="O2455" s="223"/>
      <c r="P2455" s="221"/>
    </row>
    <row r="2456" spans="1:16" x14ac:dyDescent="0.25">
      <c r="A2456" s="19" t="s">
        <v>379</v>
      </c>
      <c r="F2456" s="137">
        <v>0.31</v>
      </c>
      <c r="G2456" s="139"/>
      <c r="H2456" s="7">
        <f>ROUND($F2456*C2456,0)</f>
        <v>0</v>
      </c>
      <c r="I2456" s="7">
        <f>ROUND($F2456*D2456,0)</f>
        <v>0</v>
      </c>
      <c r="K2456" s="137"/>
      <c r="L2456" s="137"/>
      <c r="M2456" s="139"/>
      <c r="O2456" s="223"/>
      <c r="P2456" s="221"/>
    </row>
    <row r="2457" spans="1:16" x14ac:dyDescent="0.25">
      <c r="A2457" s="19" t="s">
        <v>377</v>
      </c>
      <c r="F2457" s="136"/>
      <c r="G2457" s="20"/>
      <c r="K2457" s="136"/>
      <c r="L2457" s="136"/>
      <c r="M2457" s="20"/>
      <c r="O2457" s="219"/>
      <c r="P2457" s="55"/>
    </row>
    <row r="2458" spans="1:16" x14ac:dyDescent="0.25">
      <c r="A2458" s="19" t="s">
        <v>378</v>
      </c>
      <c r="F2458" s="136">
        <v>40.81</v>
      </c>
      <c r="G2458" s="20"/>
      <c r="H2458" s="7">
        <f>ROUND($F2458*C2458,0)</f>
        <v>0</v>
      </c>
      <c r="I2458" s="7">
        <f>ROUND($F2458*D2458,0)</f>
        <v>0</v>
      </c>
      <c r="K2458" s="136"/>
      <c r="L2458" s="136"/>
      <c r="M2458" s="20"/>
      <c r="O2458" s="219"/>
      <c r="P2458" s="55"/>
    </row>
    <row r="2459" spans="1:16" x14ac:dyDescent="0.25">
      <c r="A2459" s="19" t="s">
        <v>379</v>
      </c>
      <c r="F2459" s="136">
        <v>32.04</v>
      </c>
      <c r="G2459" s="20"/>
      <c r="H2459" s="7">
        <f>ROUND($F2459*C2459,0)</f>
        <v>0</v>
      </c>
      <c r="I2459" s="7">
        <f>ROUND($F2459*D2459,0)</f>
        <v>0</v>
      </c>
      <c r="K2459" s="136"/>
      <c r="L2459" s="136"/>
      <c r="M2459" s="20"/>
      <c r="O2459" s="219"/>
      <c r="P2459" s="55"/>
    </row>
    <row r="2460" spans="1:16" x14ac:dyDescent="0.25">
      <c r="A2460" s="134" t="s">
        <v>380</v>
      </c>
      <c r="F2460" s="137"/>
      <c r="K2460" s="137"/>
      <c r="L2460" s="137"/>
      <c r="O2460" s="223"/>
    </row>
    <row r="2461" spans="1:16" x14ac:dyDescent="0.25">
      <c r="A2461" s="19" t="s">
        <v>370</v>
      </c>
      <c r="F2461" s="136">
        <v>605</v>
      </c>
      <c r="G2461" s="20"/>
      <c r="H2461" s="7">
        <f>ROUND($F2461*C2461,0)</f>
        <v>0</v>
      </c>
      <c r="I2461" s="7">
        <f>ROUND($F2461*D2461,0)</f>
        <v>0</v>
      </c>
      <c r="K2461" s="136"/>
      <c r="L2461" s="136">
        <f t="shared" ref="L2461:L2462" si="361">L2253</f>
        <v>621</v>
      </c>
      <c r="M2461" s="20"/>
      <c r="N2461" s="7">
        <f>ROUND($D2461*L2461,0)</f>
        <v>0</v>
      </c>
      <c r="O2461" s="219"/>
      <c r="P2461" s="55"/>
    </row>
    <row r="2462" spans="1:16" x14ac:dyDescent="0.25">
      <c r="A2462" s="19" t="s">
        <v>371</v>
      </c>
      <c r="F2462" s="136">
        <v>4.46</v>
      </c>
      <c r="G2462" s="20"/>
      <c r="H2462" s="7">
        <f>ROUND($F2462*C2462,0)</f>
        <v>0</v>
      </c>
      <c r="I2462" s="7">
        <f>ROUND($F2462*D2462,0)</f>
        <v>0</v>
      </c>
      <c r="K2462" s="136"/>
      <c r="L2462" s="136">
        <f t="shared" si="361"/>
        <v>4.58</v>
      </c>
      <c r="M2462" s="20"/>
      <c r="N2462" s="7">
        <f>ROUND($D2462*L2462,0)</f>
        <v>0</v>
      </c>
      <c r="O2462" s="219"/>
      <c r="P2462" s="55"/>
    </row>
    <row r="2463" spans="1:16" x14ac:dyDescent="0.25">
      <c r="A2463" s="19" t="s">
        <v>372</v>
      </c>
      <c r="F2463" s="136"/>
      <c r="G2463" s="20"/>
      <c r="K2463" s="136"/>
      <c r="L2463" s="136"/>
      <c r="M2463" s="20"/>
      <c r="O2463" s="219"/>
      <c r="P2463" s="55"/>
    </row>
    <row r="2464" spans="1:16" x14ac:dyDescent="0.25">
      <c r="A2464" s="19" t="s">
        <v>373</v>
      </c>
      <c r="F2464" s="136"/>
      <c r="G2464" s="138"/>
      <c r="K2464" s="136"/>
      <c r="L2464" s="136"/>
      <c r="M2464" s="138"/>
      <c r="O2464" s="219"/>
      <c r="P2464" s="220"/>
    </row>
    <row r="2465" spans="1:16" x14ac:dyDescent="0.25">
      <c r="A2465" s="19" t="s">
        <v>374</v>
      </c>
      <c r="F2465" s="136"/>
      <c r="G2465" s="138"/>
      <c r="K2465" s="136"/>
      <c r="L2465" s="136">
        <f t="shared" ref="L2465:L2466" si="362">L2257</f>
        <v>0.88</v>
      </c>
      <c r="M2465" s="138"/>
      <c r="N2465" s="7">
        <f>ROUND($D2465*L2465,0)</f>
        <v>0</v>
      </c>
      <c r="O2465" s="219"/>
      <c r="P2465" s="220"/>
    </row>
    <row r="2466" spans="1:16" x14ac:dyDescent="0.25">
      <c r="A2466" s="19" t="s">
        <v>375</v>
      </c>
      <c r="F2466" s="136"/>
      <c r="G2466" s="138"/>
      <c r="K2466" s="136"/>
      <c r="L2466" s="136">
        <f t="shared" si="362"/>
        <v>0.78</v>
      </c>
      <c r="M2466" s="138"/>
      <c r="N2466" s="7">
        <f>ROUND($D2466*L2466,0)</f>
        <v>0</v>
      </c>
      <c r="O2466" s="219"/>
      <c r="P2466" s="220"/>
    </row>
    <row r="2467" spans="1:16" x14ac:dyDescent="0.25">
      <c r="A2467" s="19" t="s">
        <v>376</v>
      </c>
      <c r="F2467" s="137"/>
      <c r="G2467" s="139"/>
      <c r="K2467" s="137"/>
      <c r="L2467" s="137"/>
      <c r="M2467" s="139"/>
      <c r="O2467" s="223"/>
      <c r="P2467" s="221"/>
    </row>
    <row r="2468" spans="1:16" x14ac:dyDescent="0.25">
      <c r="A2468" s="19" t="s">
        <v>374</v>
      </c>
      <c r="F2468" s="137"/>
      <c r="G2468" s="139"/>
      <c r="K2468" s="137"/>
      <c r="L2468" s="137">
        <f t="shared" ref="L2468:L2469" si="363">L2260</f>
        <v>0.44</v>
      </c>
      <c r="M2468" s="139"/>
      <c r="N2468" s="7">
        <f>ROUND($D2468*L2468,0)</f>
        <v>0</v>
      </c>
      <c r="O2468" s="223"/>
      <c r="P2468" s="221"/>
    </row>
    <row r="2469" spans="1:16" x14ac:dyDescent="0.25">
      <c r="A2469" s="19" t="s">
        <v>375</v>
      </c>
      <c r="F2469" s="137"/>
      <c r="G2469" s="139"/>
      <c r="K2469" s="137"/>
      <c r="L2469" s="137">
        <f t="shared" si="363"/>
        <v>0.39</v>
      </c>
      <c r="M2469" s="139"/>
      <c r="N2469" s="7">
        <f>ROUND($D2469*L2469,0)</f>
        <v>0</v>
      </c>
      <c r="O2469" s="223"/>
      <c r="P2469" s="221"/>
    </row>
    <row r="2470" spans="1:16" x14ac:dyDescent="0.25">
      <c r="A2470" s="19" t="s">
        <v>377</v>
      </c>
      <c r="F2470" s="136"/>
      <c r="G2470" s="20"/>
      <c r="K2470" s="136"/>
      <c r="L2470" s="136"/>
      <c r="M2470" s="20"/>
      <c r="O2470" s="219"/>
      <c r="P2470" s="55"/>
    </row>
    <row r="2471" spans="1:16" x14ac:dyDescent="0.25">
      <c r="A2471" s="19" t="s">
        <v>374</v>
      </c>
      <c r="F2471" s="136"/>
      <c r="G2471" s="20"/>
      <c r="K2471" s="136"/>
      <c r="L2471" s="136">
        <f t="shared" ref="L2471:L2472" si="364">L2263</f>
        <v>39.56</v>
      </c>
      <c r="M2471" s="20"/>
      <c r="N2471" s="7">
        <f>ROUND($D2471*L2471,0)</f>
        <v>0</v>
      </c>
      <c r="O2471" s="219"/>
      <c r="P2471" s="55"/>
    </row>
    <row r="2472" spans="1:16" x14ac:dyDescent="0.25">
      <c r="A2472" s="19" t="s">
        <v>375</v>
      </c>
      <c r="F2472" s="136"/>
      <c r="G2472" s="20"/>
      <c r="K2472" s="136"/>
      <c r="L2472" s="136">
        <f t="shared" si="364"/>
        <v>35.01</v>
      </c>
      <c r="M2472" s="20"/>
      <c r="N2472" s="7">
        <f>ROUND($D2472*L2472,0)</f>
        <v>0</v>
      </c>
      <c r="O2472" s="219"/>
      <c r="P2472" s="55"/>
    </row>
    <row r="2473" spans="1:16" x14ac:dyDescent="0.25">
      <c r="A2473" s="19" t="s">
        <v>373</v>
      </c>
      <c r="F2473" s="136"/>
      <c r="G2473" s="138"/>
      <c r="K2473" s="136"/>
      <c r="L2473" s="136"/>
      <c r="M2473" s="138"/>
      <c r="O2473" s="219"/>
      <c r="P2473" s="220"/>
    </row>
    <row r="2474" spans="1:16" x14ac:dyDescent="0.25">
      <c r="A2474" s="19" t="s">
        <v>378</v>
      </c>
      <c r="F2474" s="136">
        <v>0.86</v>
      </c>
      <c r="G2474" s="138"/>
      <c r="H2474" s="7">
        <f>ROUND($F2474*C2474,0)</f>
        <v>0</v>
      </c>
      <c r="I2474" s="7">
        <f>ROUND($F2474*D2474,0)</f>
        <v>0</v>
      </c>
      <c r="K2474" s="136"/>
      <c r="L2474" s="136"/>
      <c r="M2474" s="138"/>
      <c r="O2474" s="219"/>
      <c r="P2474" s="220"/>
    </row>
    <row r="2475" spans="1:16" x14ac:dyDescent="0.25">
      <c r="A2475" s="19" t="s">
        <v>379</v>
      </c>
      <c r="F2475" s="136">
        <v>0.6</v>
      </c>
      <c r="G2475" s="138"/>
      <c r="H2475" s="7">
        <f>ROUND($F2475*C2475,0)</f>
        <v>0</v>
      </c>
      <c r="I2475" s="7">
        <f>ROUND($F2475*D2475,0)</f>
        <v>0</v>
      </c>
      <c r="K2475" s="136"/>
      <c r="L2475" s="136"/>
      <c r="M2475" s="138"/>
      <c r="O2475" s="219"/>
      <c r="P2475" s="220"/>
    </row>
    <row r="2476" spans="1:16" x14ac:dyDescent="0.25">
      <c r="A2476" s="19" t="s">
        <v>376</v>
      </c>
      <c r="F2476" s="137"/>
      <c r="G2476" s="139"/>
      <c r="K2476" s="137"/>
      <c r="L2476" s="137"/>
      <c r="M2476" s="139"/>
      <c r="O2476" s="223"/>
      <c r="P2476" s="221"/>
    </row>
    <row r="2477" spans="1:16" x14ac:dyDescent="0.25">
      <c r="A2477" s="19" t="s">
        <v>378</v>
      </c>
      <c r="F2477" s="137">
        <v>0.43</v>
      </c>
      <c r="G2477" s="139"/>
      <c r="H2477" s="7">
        <f>ROUND($F2477*C2477,0)</f>
        <v>0</v>
      </c>
      <c r="I2477" s="7">
        <f>ROUND($F2477*D2477,0)</f>
        <v>0</v>
      </c>
      <c r="K2477" s="137"/>
      <c r="L2477" s="137"/>
      <c r="M2477" s="139"/>
      <c r="O2477" s="223"/>
      <c r="P2477" s="221"/>
    </row>
    <row r="2478" spans="1:16" x14ac:dyDescent="0.25">
      <c r="A2478" s="19" t="s">
        <v>379</v>
      </c>
      <c r="F2478" s="137">
        <v>0.3</v>
      </c>
      <c r="G2478" s="139"/>
      <c r="H2478" s="7">
        <f>ROUND($F2478*C2478,0)</f>
        <v>0</v>
      </c>
      <c r="I2478" s="7">
        <f>ROUND($F2478*D2478,0)</f>
        <v>0</v>
      </c>
      <c r="K2478" s="137"/>
      <c r="L2478" s="137"/>
      <c r="M2478" s="139"/>
      <c r="O2478" s="223"/>
      <c r="P2478" s="221"/>
    </row>
    <row r="2479" spans="1:16" x14ac:dyDescent="0.25">
      <c r="A2479" s="19" t="s">
        <v>377</v>
      </c>
      <c r="F2479" s="136"/>
      <c r="G2479" s="20"/>
      <c r="K2479" s="136"/>
      <c r="L2479" s="136"/>
      <c r="M2479" s="20"/>
      <c r="O2479" s="219"/>
      <c r="P2479" s="55"/>
    </row>
    <row r="2480" spans="1:16" x14ac:dyDescent="0.25">
      <c r="A2480" s="19" t="s">
        <v>378</v>
      </c>
      <c r="F2480" s="136">
        <v>38.54</v>
      </c>
      <c r="G2480" s="20"/>
      <c r="H2480" s="7">
        <f>ROUND($F2480*C2480,0)</f>
        <v>0</v>
      </c>
      <c r="I2480" s="7">
        <f>ROUND($F2480*D2480,0)</f>
        <v>0</v>
      </c>
      <c r="K2480" s="136"/>
      <c r="L2480" s="136"/>
      <c r="M2480" s="20"/>
      <c r="O2480" s="219"/>
      <c r="P2480" s="55"/>
    </row>
    <row r="2481" spans="1:16" x14ac:dyDescent="0.25">
      <c r="A2481" s="19" t="s">
        <v>379</v>
      </c>
      <c r="F2481" s="136">
        <v>29.77</v>
      </c>
      <c r="G2481" s="20"/>
      <c r="H2481" s="7">
        <f>ROUND($F2481*C2481,0)</f>
        <v>0</v>
      </c>
      <c r="I2481" s="7">
        <f>ROUND($F2481*D2481,0)</f>
        <v>0</v>
      </c>
      <c r="K2481" s="136"/>
      <c r="L2481" s="136"/>
      <c r="M2481" s="20"/>
      <c r="O2481" s="219"/>
      <c r="P2481" s="55"/>
    </row>
    <row r="2482" spans="1:16" x14ac:dyDescent="0.25">
      <c r="A2482" s="134" t="s">
        <v>381</v>
      </c>
      <c r="F2482" s="137"/>
      <c r="K2482" s="137"/>
      <c r="L2482" s="137"/>
      <c r="O2482" s="223"/>
    </row>
    <row r="2483" spans="1:16" x14ac:dyDescent="0.25">
      <c r="A2483" s="19" t="s">
        <v>370</v>
      </c>
      <c r="C2483" s="6">
        <v>36</v>
      </c>
      <c r="D2483" s="6">
        <v>36</v>
      </c>
      <c r="F2483" s="136">
        <v>678</v>
      </c>
      <c r="G2483" s="20"/>
      <c r="H2483" s="7">
        <f>ROUND($F2483*C2483,0)</f>
        <v>24408</v>
      </c>
      <c r="I2483" s="7">
        <f>ROUND($F2483*D2483,0)</f>
        <v>24408</v>
      </c>
      <c r="K2483" s="136"/>
      <c r="L2483" s="136">
        <f t="shared" ref="L2483:L2484" si="365">L2275</f>
        <v>696</v>
      </c>
      <c r="M2483" s="20"/>
      <c r="N2483" s="7">
        <f>ROUND($D2483*L2483,0)</f>
        <v>25056</v>
      </c>
      <c r="O2483" s="219"/>
      <c r="P2483" s="55"/>
    </row>
    <row r="2484" spans="1:16" x14ac:dyDescent="0.25">
      <c r="A2484" s="19" t="s">
        <v>371</v>
      </c>
      <c r="C2484" s="6">
        <v>189039</v>
      </c>
      <c r="D2484" s="6">
        <v>228822</v>
      </c>
      <c r="F2484" s="136">
        <v>2.63</v>
      </c>
      <c r="G2484" s="20"/>
      <c r="H2484" s="7">
        <f>ROUND($F2484*C2484,0)</f>
        <v>497173</v>
      </c>
      <c r="I2484" s="7">
        <f>ROUND($F2484*D2484,0)</f>
        <v>601802</v>
      </c>
      <c r="K2484" s="136"/>
      <c r="L2484" s="136">
        <f t="shared" si="365"/>
        <v>2.7</v>
      </c>
      <c r="M2484" s="20"/>
      <c r="N2484" s="7">
        <f>ROUND($D2484*L2484,0)</f>
        <v>617819</v>
      </c>
      <c r="O2484" s="219"/>
      <c r="P2484" s="55"/>
    </row>
    <row r="2485" spans="1:16" x14ac:dyDescent="0.25">
      <c r="A2485" s="19" t="s">
        <v>372</v>
      </c>
      <c r="F2485" s="137"/>
      <c r="G2485" s="24"/>
      <c r="K2485" s="137"/>
      <c r="L2485" s="137"/>
      <c r="M2485" s="24"/>
      <c r="O2485" s="223"/>
      <c r="P2485" s="57"/>
    </row>
    <row r="2486" spans="1:16" x14ac:dyDescent="0.25">
      <c r="A2486" s="19" t="s">
        <v>373</v>
      </c>
      <c r="F2486" s="136"/>
      <c r="G2486" s="138"/>
      <c r="K2486" s="136"/>
      <c r="L2486" s="136"/>
      <c r="M2486" s="138"/>
      <c r="O2486" s="219"/>
      <c r="P2486" s="220"/>
    </row>
    <row r="2487" spans="1:16" x14ac:dyDescent="0.25">
      <c r="A2487" s="19" t="s">
        <v>374</v>
      </c>
      <c r="C2487" s="6">
        <v>329715.6555539706</v>
      </c>
      <c r="D2487" s="6">
        <v>399104</v>
      </c>
      <c r="F2487" s="136"/>
      <c r="G2487" s="138"/>
      <c r="K2487" s="136"/>
      <c r="L2487" s="136">
        <f t="shared" ref="L2487:L2488" si="366">L2279</f>
        <v>0.78</v>
      </c>
      <c r="M2487" s="138"/>
      <c r="N2487" s="7">
        <f>ROUND($D2487*L2487,0)</f>
        <v>311301</v>
      </c>
      <c r="O2487" s="219"/>
      <c r="P2487" s="220"/>
    </row>
    <row r="2488" spans="1:16" x14ac:dyDescent="0.25">
      <c r="A2488" s="19" t="s">
        <v>375</v>
      </c>
      <c r="C2488" s="6">
        <v>164694.72370750239</v>
      </c>
      <c r="D2488" s="6">
        <v>199354</v>
      </c>
      <c r="F2488" s="136"/>
      <c r="G2488" s="138"/>
      <c r="K2488" s="136"/>
      <c r="L2488" s="136">
        <f t="shared" si="366"/>
        <v>0.69</v>
      </c>
      <c r="M2488" s="138"/>
      <c r="N2488" s="7">
        <f>ROUND($D2488*L2488,0)</f>
        <v>137554</v>
      </c>
      <c r="O2488" s="219"/>
      <c r="P2488" s="220"/>
    </row>
    <row r="2489" spans="1:16" x14ac:dyDescent="0.25">
      <c r="A2489" s="19" t="s">
        <v>376</v>
      </c>
      <c r="F2489" s="137"/>
      <c r="G2489" s="139"/>
      <c r="K2489" s="137"/>
      <c r="L2489" s="137"/>
      <c r="M2489" s="139"/>
      <c r="O2489" s="223"/>
      <c r="P2489" s="221"/>
    </row>
    <row r="2490" spans="1:16" x14ac:dyDescent="0.25">
      <c r="A2490" s="19" t="s">
        <v>374</v>
      </c>
      <c r="C2490" s="6">
        <v>0</v>
      </c>
      <c r="D2490" s="6">
        <v>0</v>
      </c>
      <c r="F2490" s="137"/>
      <c r="G2490" s="139"/>
      <c r="K2490" s="137"/>
      <c r="L2490" s="137">
        <f t="shared" ref="L2490:L2491" si="367">L2282</f>
        <v>0.39</v>
      </c>
      <c r="M2490" s="139"/>
      <c r="N2490" s="7">
        <f>ROUND($D2490*L2490,0)</f>
        <v>0</v>
      </c>
      <c r="O2490" s="223"/>
      <c r="P2490" s="221"/>
    </row>
    <row r="2491" spans="1:16" x14ac:dyDescent="0.25">
      <c r="A2491" s="19" t="s">
        <v>375</v>
      </c>
      <c r="C2491" s="6">
        <v>124384.92161982199</v>
      </c>
      <c r="D2491" s="6">
        <v>150561</v>
      </c>
      <c r="F2491" s="137"/>
      <c r="G2491" s="139"/>
      <c r="K2491" s="137"/>
      <c r="L2491" s="137">
        <f t="shared" si="367"/>
        <v>0.34499999999999997</v>
      </c>
      <c r="M2491" s="139"/>
      <c r="N2491" s="7">
        <f>ROUND($D2491*L2491,0)</f>
        <v>51944</v>
      </c>
      <c r="O2491" s="223"/>
      <c r="P2491" s="221"/>
    </row>
    <row r="2492" spans="1:16" x14ac:dyDescent="0.25">
      <c r="A2492" s="19" t="s">
        <v>377</v>
      </c>
      <c r="F2492" s="136"/>
      <c r="G2492" s="20"/>
      <c r="K2492" s="136"/>
      <c r="L2492" s="136"/>
      <c r="M2492" s="20"/>
      <c r="O2492" s="219"/>
      <c r="P2492" s="55"/>
    </row>
    <row r="2493" spans="1:16" x14ac:dyDescent="0.25">
      <c r="A2493" s="19" t="s">
        <v>374</v>
      </c>
      <c r="C2493" s="6">
        <v>0</v>
      </c>
      <c r="D2493" s="6">
        <v>0</v>
      </c>
      <c r="F2493" s="136"/>
      <c r="G2493" s="20"/>
      <c r="K2493" s="136"/>
      <c r="L2493" s="136">
        <f t="shared" ref="L2493:L2494" si="368">L2285</f>
        <v>33.21</v>
      </c>
      <c r="M2493" s="20"/>
      <c r="N2493" s="7">
        <f>ROUND($D2493*L2493,0)</f>
        <v>0</v>
      </c>
      <c r="O2493" s="219"/>
      <c r="P2493" s="55"/>
    </row>
    <row r="2494" spans="1:16" x14ac:dyDescent="0.25">
      <c r="A2494" s="19" t="s">
        <v>375</v>
      </c>
      <c r="C2494" s="6">
        <v>0</v>
      </c>
      <c r="D2494" s="6">
        <v>0</v>
      </c>
      <c r="F2494" s="136"/>
      <c r="G2494" s="20"/>
      <c r="K2494" s="136"/>
      <c r="L2494" s="136">
        <f t="shared" si="368"/>
        <v>29.39</v>
      </c>
      <c r="M2494" s="20"/>
      <c r="N2494" s="7">
        <f>ROUND($D2494*L2494,0)</f>
        <v>0</v>
      </c>
      <c r="O2494" s="219"/>
      <c r="P2494" s="55"/>
    </row>
    <row r="2495" spans="1:16" x14ac:dyDescent="0.25">
      <c r="A2495" s="19" t="s">
        <v>373</v>
      </c>
      <c r="F2495" s="136"/>
      <c r="G2495" s="138"/>
      <c r="K2495" s="136"/>
      <c r="L2495" s="136"/>
      <c r="M2495" s="138"/>
      <c r="O2495" s="219"/>
      <c r="P2495" s="220"/>
    </row>
    <row r="2496" spans="1:16" x14ac:dyDescent="0.25">
      <c r="A2496" s="19" t="s">
        <v>378</v>
      </c>
      <c r="C2496" s="6">
        <v>406339</v>
      </c>
      <c r="D2496" s="6">
        <v>491852</v>
      </c>
      <c r="F2496" s="136">
        <v>0.76</v>
      </c>
      <c r="G2496" s="138"/>
      <c r="H2496" s="7">
        <f>ROUND($F2496*C2496,0)</f>
        <v>308818</v>
      </c>
      <c r="I2496" s="7">
        <f>ROUND($F2496*D2496,0)</f>
        <v>373808</v>
      </c>
      <c r="K2496" s="136"/>
      <c r="L2496" s="136"/>
      <c r="M2496" s="138"/>
      <c r="O2496" s="219"/>
      <c r="P2496" s="220"/>
    </row>
    <row r="2497" spans="1:17" x14ac:dyDescent="0.25">
      <c r="A2497" s="19" t="s">
        <v>379</v>
      </c>
      <c r="C2497" s="6">
        <v>144986</v>
      </c>
      <c r="D2497" s="6">
        <v>175498</v>
      </c>
      <c r="F2497" s="136">
        <v>0.51</v>
      </c>
      <c r="G2497" s="138"/>
      <c r="H2497" s="7">
        <f>ROUND($F2497*C2497,0)</f>
        <v>73943</v>
      </c>
      <c r="I2497" s="7">
        <f>ROUND($F2497*D2497,0)</f>
        <v>89504</v>
      </c>
      <c r="K2497" s="136"/>
      <c r="L2497" s="136"/>
      <c r="M2497" s="138"/>
      <c r="O2497" s="219"/>
      <c r="P2497" s="220"/>
    </row>
    <row r="2498" spans="1:17" x14ac:dyDescent="0.25">
      <c r="A2498" s="19" t="s">
        <v>376</v>
      </c>
      <c r="F2498" s="137"/>
      <c r="G2498" s="139"/>
      <c r="K2498" s="137"/>
      <c r="L2498" s="137"/>
      <c r="M2498" s="139"/>
      <c r="O2498" s="223"/>
      <c r="P2498" s="221"/>
    </row>
    <row r="2499" spans="1:17" x14ac:dyDescent="0.25">
      <c r="A2499" s="19" t="s">
        <v>378</v>
      </c>
      <c r="C2499" s="6">
        <v>0</v>
      </c>
      <c r="D2499" s="6">
        <v>0</v>
      </c>
      <c r="F2499" s="137">
        <v>0.38</v>
      </c>
      <c r="G2499" s="139"/>
      <c r="H2499" s="7">
        <f>ROUND($F2499*C2499,0)</f>
        <v>0</v>
      </c>
      <c r="I2499" s="7">
        <f>ROUND($F2499*D2499,0)</f>
        <v>0</v>
      </c>
      <c r="K2499" s="137"/>
      <c r="L2499" s="137"/>
      <c r="M2499" s="139"/>
      <c r="O2499" s="223"/>
      <c r="P2499" s="221"/>
    </row>
    <row r="2500" spans="1:17" x14ac:dyDescent="0.25">
      <c r="A2500" s="19" t="s">
        <v>379</v>
      </c>
      <c r="C2500" s="6">
        <v>109500</v>
      </c>
      <c r="D2500" s="6">
        <v>132544</v>
      </c>
      <c r="F2500" s="137">
        <v>0.255</v>
      </c>
      <c r="G2500" s="139"/>
      <c r="H2500" s="7">
        <f>ROUND($F2500*C2500,0)</f>
        <v>27923</v>
      </c>
      <c r="I2500" s="7">
        <f>ROUND($F2500*D2500,0)</f>
        <v>33799</v>
      </c>
      <c r="K2500" s="137"/>
      <c r="L2500" s="137"/>
      <c r="M2500" s="139"/>
      <c r="O2500" s="223"/>
      <c r="P2500" s="221"/>
    </row>
    <row r="2501" spans="1:17" x14ac:dyDescent="0.25">
      <c r="A2501" s="19" t="s">
        <v>377</v>
      </c>
      <c r="F2501" s="136"/>
      <c r="G2501" s="20"/>
      <c r="K2501" s="136"/>
      <c r="L2501" s="136"/>
      <c r="M2501" s="20"/>
      <c r="O2501" s="219"/>
      <c r="P2501" s="55"/>
    </row>
    <row r="2502" spans="1:17" x14ac:dyDescent="0.25">
      <c r="A2502" s="19" t="s">
        <v>378</v>
      </c>
      <c r="C2502" s="6">
        <v>0</v>
      </c>
      <c r="D2502" s="6">
        <v>0</v>
      </c>
      <c r="F2502" s="136">
        <v>32.35</v>
      </c>
      <c r="G2502" s="20"/>
      <c r="H2502" s="7">
        <f>ROUND($F2502*C2502,0)</f>
        <v>0</v>
      </c>
      <c r="I2502" s="7">
        <f>ROUND($F2502*D2502,0)</f>
        <v>0</v>
      </c>
      <c r="K2502" s="136"/>
      <c r="L2502" s="136"/>
      <c r="M2502" s="20"/>
      <c r="O2502" s="219"/>
      <c r="P2502" s="55"/>
    </row>
    <row r="2503" spans="1:17" x14ac:dyDescent="0.25">
      <c r="A2503" s="19" t="s">
        <v>379</v>
      </c>
      <c r="C2503" s="6">
        <v>0</v>
      </c>
      <c r="D2503" s="6">
        <v>0</v>
      </c>
      <c r="F2503" s="136">
        <v>23.36</v>
      </c>
      <c r="G2503" s="20"/>
      <c r="H2503" s="7">
        <f>ROUND($F2503*C2503,0)</f>
        <v>0</v>
      </c>
      <c r="I2503" s="7">
        <f>ROUND($F2503*D2503,0)</f>
        <v>0</v>
      </c>
      <c r="K2503" s="136"/>
      <c r="L2503" s="136"/>
      <c r="M2503" s="20"/>
      <c r="O2503" s="219"/>
      <c r="P2503" s="55"/>
    </row>
    <row r="2504" spans="1:17" x14ac:dyDescent="0.25">
      <c r="A2504" s="19" t="s">
        <v>328</v>
      </c>
      <c r="C2504" s="121"/>
      <c r="D2504" s="121"/>
      <c r="F2504" s="100"/>
      <c r="G2504" s="100"/>
      <c r="H2504" s="37">
        <f>SUM(H2439:H2503)</f>
        <v>932265</v>
      </c>
      <c r="I2504" s="37">
        <f>SUM(I2439:I2503)</f>
        <v>1123321</v>
      </c>
      <c r="K2504" s="100"/>
      <c r="L2504" s="100"/>
      <c r="M2504" s="100"/>
      <c r="N2504" s="37">
        <f>SUM(N2439:N2503)</f>
        <v>1143674</v>
      </c>
      <c r="O2504" s="207"/>
      <c r="P2504" s="207"/>
      <c r="Q2504" s="64"/>
    </row>
    <row r="2505" spans="1:17" x14ac:dyDescent="0.25">
      <c r="A2505" s="134" t="s">
        <v>382</v>
      </c>
    </row>
    <row r="2506" spans="1:17" x14ac:dyDescent="0.25">
      <c r="A2506" s="15" t="s">
        <v>383</v>
      </c>
      <c r="F2506" s="24"/>
      <c r="G2506" s="24"/>
      <c r="K2506" s="24"/>
      <c r="L2506" s="24"/>
      <c r="M2506" s="24"/>
      <c r="O2506" s="57"/>
      <c r="P2506" s="57"/>
    </row>
    <row r="2507" spans="1:17" x14ac:dyDescent="0.25">
      <c r="A2507" s="19" t="s">
        <v>81</v>
      </c>
      <c r="F2507" s="24">
        <v>4.76</v>
      </c>
      <c r="G2507" s="24"/>
      <c r="H2507" s="7">
        <f t="shared" ref="H2507:I2516" si="369">ROUND($F2507*C2507,0)</f>
        <v>0</v>
      </c>
      <c r="I2507" s="7">
        <f t="shared" si="369"/>
        <v>0</v>
      </c>
      <c r="K2507" s="24"/>
      <c r="L2507" s="24">
        <f t="shared" ref="L2507:L2513" si="370">L2299</f>
        <v>4.8099999999999996</v>
      </c>
      <c r="M2507" s="24"/>
      <c r="N2507" s="7">
        <f>ROUND($D2507*L2507,0)</f>
        <v>0</v>
      </c>
      <c r="O2507" s="57"/>
      <c r="P2507" s="57"/>
    </row>
    <row r="2508" spans="1:17" x14ac:dyDescent="0.25">
      <c r="A2508" s="19" t="s">
        <v>176</v>
      </c>
      <c r="F2508" s="24"/>
      <c r="G2508" s="24"/>
      <c r="K2508" s="24"/>
      <c r="L2508" s="24">
        <f t="shared" si="370"/>
        <v>15.73</v>
      </c>
      <c r="M2508" s="24"/>
      <c r="N2508" s="7">
        <f>ROUND($D2508*L2508,0)</f>
        <v>0</v>
      </c>
      <c r="O2508" s="57"/>
      <c r="P2508" s="57"/>
    </row>
    <row r="2509" spans="1:17" x14ac:dyDescent="0.25">
      <c r="A2509" s="19" t="s">
        <v>177</v>
      </c>
      <c r="F2509" s="24"/>
      <c r="G2509" s="24"/>
      <c r="K2509" s="24"/>
      <c r="L2509" s="24">
        <f t="shared" si="370"/>
        <v>13.92</v>
      </c>
      <c r="M2509" s="24"/>
      <c r="N2509" s="7">
        <f>ROUND($D2509*L2509,0)</f>
        <v>0</v>
      </c>
      <c r="O2509" s="57"/>
      <c r="P2509" s="57"/>
    </row>
    <row r="2510" spans="1:17" x14ac:dyDescent="0.25">
      <c r="A2510" s="19" t="s">
        <v>17</v>
      </c>
      <c r="F2510" s="100"/>
      <c r="G2510" s="26"/>
      <c r="K2510" s="100"/>
      <c r="L2510" s="100">
        <f t="shared" si="370"/>
        <v>5.8281999999999998</v>
      </c>
      <c r="M2510" s="26" t="s">
        <v>18</v>
      </c>
      <c r="N2510" s="7">
        <f>ROUND($D2510*L2510/100,0)</f>
        <v>0</v>
      </c>
      <c r="O2510" s="207"/>
      <c r="P2510" s="59"/>
    </row>
    <row r="2511" spans="1:17" x14ac:dyDescent="0.25">
      <c r="A2511" s="19" t="s">
        <v>178</v>
      </c>
      <c r="F2511" s="100"/>
      <c r="G2511" s="26"/>
      <c r="K2511" s="100"/>
      <c r="L2511" s="100">
        <f t="shared" si="370"/>
        <v>5.1577000000000002</v>
      </c>
      <c r="M2511" s="26" t="s">
        <v>18</v>
      </c>
      <c r="N2511" s="7">
        <f>ROUND($D2511*L2511/100,0)</f>
        <v>0</v>
      </c>
      <c r="O2511" s="207"/>
      <c r="P2511" s="59"/>
    </row>
    <row r="2512" spans="1:17" x14ac:dyDescent="0.25">
      <c r="A2512" s="19" t="s">
        <v>19</v>
      </c>
      <c r="F2512" s="100"/>
      <c r="G2512" s="26"/>
      <c r="K2512" s="100"/>
      <c r="L2512" s="100">
        <f t="shared" si="370"/>
        <v>2.9624000000000001</v>
      </c>
      <c r="M2512" s="26" t="s">
        <v>18</v>
      </c>
      <c r="N2512" s="7">
        <f>ROUND($D2512*L2512/100,0)</f>
        <v>0</v>
      </c>
      <c r="O2512" s="207"/>
      <c r="P2512" s="59"/>
    </row>
    <row r="2513" spans="1:17" x14ac:dyDescent="0.25">
      <c r="A2513" s="19" t="s">
        <v>179</v>
      </c>
      <c r="F2513" s="100"/>
      <c r="G2513" s="26"/>
      <c r="H2513" s="141"/>
      <c r="I2513" s="141"/>
      <c r="K2513" s="100"/>
      <c r="L2513" s="100">
        <f t="shared" si="370"/>
        <v>2.6215999999999999</v>
      </c>
      <c r="M2513" s="26" t="s">
        <v>18</v>
      </c>
      <c r="N2513" s="7">
        <f>ROUND($D2513*L2513/100,0)</f>
        <v>0</v>
      </c>
      <c r="O2513" s="207"/>
      <c r="P2513" s="59"/>
    </row>
    <row r="2514" spans="1:17" x14ac:dyDescent="0.25">
      <c r="A2514" s="19" t="s">
        <v>180</v>
      </c>
      <c r="F2514" s="24">
        <v>15.56</v>
      </c>
      <c r="G2514" s="24"/>
      <c r="H2514" s="7">
        <f t="shared" si="369"/>
        <v>0</v>
      </c>
      <c r="I2514" s="7">
        <f t="shared" si="369"/>
        <v>0</v>
      </c>
      <c r="K2514" s="24"/>
      <c r="L2514" s="24"/>
      <c r="M2514" s="24"/>
      <c r="O2514" s="57"/>
      <c r="P2514" s="57"/>
    </row>
    <row r="2515" spans="1:17" x14ac:dyDescent="0.25">
      <c r="A2515" s="19" t="s">
        <v>181</v>
      </c>
      <c r="F2515" s="24">
        <v>11.19</v>
      </c>
      <c r="G2515" s="24"/>
      <c r="H2515" s="7">
        <f t="shared" si="369"/>
        <v>0</v>
      </c>
      <c r="I2515" s="7">
        <f t="shared" si="369"/>
        <v>0</v>
      </c>
      <c r="K2515" s="24"/>
      <c r="L2515" s="24"/>
      <c r="M2515" s="24"/>
      <c r="O2515" s="57"/>
      <c r="P2515" s="57"/>
    </row>
    <row r="2516" spans="1:17" x14ac:dyDescent="0.25">
      <c r="A2516" s="19" t="s">
        <v>77</v>
      </c>
      <c r="F2516" s="24">
        <v>-1.1299999999999999</v>
      </c>
      <c r="G2516" s="24"/>
      <c r="H2516" s="7">
        <f t="shared" si="369"/>
        <v>0</v>
      </c>
      <c r="I2516" s="7">
        <f t="shared" si="369"/>
        <v>0</v>
      </c>
      <c r="K2516" s="24"/>
      <c r="L2516" s="24">
        <f>L2308</f>
        <v>-1.1299999999999999</v>
      </c>
      <c r="M2516" s="24"/>
      <c r="N2516" s="7">
        <f>ROUND($D2516*L2516,0)</f>
        <v>0</v>
      </c>
      <c r="O2516" s="57"/>
      <c r="P2516" s="57"/>
    </row>
    <row r="2517" spans="1:17" x14ac:dyDescent="0.25">
      <c r="A2517" s="19" t="s">
        <v>25</v>
      </c>
      <c r="F2517" s="100">
        <v>5.0473999999999997</v>
      </c>
      <c r="G2517" s="26" t="s">
        <v>18</v>
      </c>
      <c r="H2517" s="7">
        <f t="shared" ref="H2517:I2519" si="371">ROUND($F2517*C2517/100,0)</f>
        <v>0</v>
      </c>
      <c r="I2517" s="7">
        <f t="shared" si="371"/>
        <v>0</v>
      </c>
      <c r="K2517" s="100"/>
      <c r="L2517" s="100"/>
      <c r="M2517" s="26"/>
      <c r="O2517" s="207"/>
      <c r="P2517" s="59"/>
    </row>
    <row r="2518" spans="1:17" x14ac:dyDescent="0.25">
      <c r="A2518" s="19" t="s">
        <v>124</v>
      </c>
      <c r="F2518" s="100">
        <v>3.9510999999999998</v>
      </c>
      <c r="G2518" s="26" t="s">
        <v>18</v>
      </c>
      <c r="H2518" s="7">
        <f t="shared" si="371"/>
        <v>0</v>
      </c>
      <c r="I2518" s="7">
        <f t="shared" si="371"/>
        <v>0</v>
      </c>
      <c r="K2518" s="100"/>
      <c r="L2518" s="100"/>
      <c r="M2518" s="26"/>
      <c r="O2518" s="207"/>
      <c r="P2518" s="59"/>
    </row>
    <row r="2519" spans="1:17" x14ac:dyDescent="0.25">
      <c r="A2519" s="19" t="s">
        <v>41</v>
      </c>
      <c r="C2519" s="130"/>
      <c r="D2519" s="130"/>
      <c r="F2519" s="100">
        <v>3.4001999999999999</v>
      </c>
      <c r="G2519" s="26" t="s">
        <v>18</v>
      </c>
      <c r="H2519" s="141">
        <f t="shared" si="371"/>
        <v>0</v>
      </c>
      <c r="I2519" s="141">
        <f t="shared" si="371"/>
        <v>0</v>
      </c>
      <c r="K2519" s="100"/>
      <c r="L2519" s="100"/>
      <c r="M2519" s="26"/>
      <c r="N2519" s="141"/>
      <c r="O2519" s="207"/>
      <c r="P2519" s="59"/>
      <c r="Q2519" s="224"/>
    </row>
    <row r="2520" spans="1:17" x14ac:dyDescent="0.25">
      <c r="A2520" s="19" t="s">
        <v>34</v>
      </c>
      <c r="F2520" s="23">
        <v>-3.1800000000000002E-2</v>
      </c>
      <c r="G2520" s="24"/>
      <c r="H2520" s="7">
        <f>SUM(H2514:H2515,H2517:H2519)*$F2520</f>
        <v>0</v>
      </c>
      <c r="I2520" s="7">
        <f>SUM(I2514:I2515,I2517:I2519)*$F2520</f>
        <v>0</v>
      </c>
      <c r="K2520" s="93" t="str">
        <f>$K$43</f>
        <v>TAA 1 (1/1/2021)</v>
      </c>
      <c r="L2520" s="23">
        <f t="shared" ref="L2520:L2521" si="372">L2312</f>
        <v>-2.5000000000000001E-2</v>
      </c>
      <c r="M2520" s="24"/>
      <c r="N2520" s="7">
        <f>L2520*SUM(N2508:N2513)</f>
        <v>0</v>
      </c>
      <c r="O2520" s="65"/>
      <c r="P2520" s="57"/>
    </row>
    <row r="2521" spans="1:17" x14ac:dyDescent="0.25">
      <c r="A2521" s="19"/>
      <c r="F2521" s="23"/>
      <c r="G2521" s="24"/>
      <c r="K2521" s="93" t="str">
        <f>$K$44</f>
        <v>TAA 2 (1/1/2022)</v>
      </c>
      <c r="L2521" s="23">
        <f t="shared" si="372"/>
        <v>-1.2500000000000001E-2</v>
      </c>
      <c r="M2521" s="24"/>
      <c r="N2521" s="7">
        <f>L2521*SUM(N2508:N2513)</f>
        <v>0</v>
      </c>
      <c r="O2521" s="65"/>
      <c r="P2521" s="57"/>
    </row>
    <row r="2522" spans="1:17" x14ac:dyDescent="0.25">
      <c r="A2522" s="15" t="s">
        <v>384</v>
      </c>
      <c r="F2522" s="100"/>
      <c r="G2522" s="26"/>
      <c r="K2522" s="100"/>
      <c r="L2522" s="100"/>
      <c r="M2522" s="26"/>
      <c r="O2522" s="207"/>
      <c r="P2522" s="59"/>
    </row>
    <row r="2523" spans="1:17" x14ac:dyDescent="0.25">
      <c r="A2523" s="19" t="s">
        <v>81</v>
      </c>
      <c r="C2523" s="6">
        <v>91799</v>
      </c>
      <c r="D2523" s="6">
        <v>111118</v>
      </c>
      <c r="F2523" s="24">
        <v>2.2200000000000002</v>
      </c>
      <c r="G2523" s="24"/>
      <c r="H2523" s="7">
        <f t="shared" ref="H2523:I2531" si="373">ROUND($F2523*C2523,0)</f>
        <v>203794</v>
      </c>
      <c r="I2523" s="7">
        <f t="shared" si="373"/>
        <v>246682</v>
      </c>
      <c r="K2523" s="24"/>
      <c r="L2523" s="24">
        <f t="shared" ref="L2523:L2529" si="374">L2315</f>
        <v>2.2799999999999998</v>
      </c>
      <c r="M2523" s="24"/>
      <c r="N2523" s="7">
        <f>ROUND($D2523*L2523,0)</f>
        <v>253349</v>
      </c>
      <c r="O2523" s="57"/>
      <c r="P2523" s="57"/>
    </row>
    <row r="2524" spans="1:17" x14ac:dyDescent="0.25">
      <c r="A2524" s="19" t="s">
        <v>176</v>
      </c>
      <c r="C2524" s="6">
        <v>26466.412372929644</v>
      </c>
      <c r="D2524" s="6">
        <v>32036</v>
      </c>
      <c r="F2524" s="24"/>
      <c r="G2524" s="24"/>
      <c r="K2524" s="24"/>
      <c r="L2524" s="24">
        <f t="shared" si="374"/>
        <v>14.33</v>
      </c>
      <c r="M2524" s="24"/>
      <c r="N2524" s="7">
        <f>ROUND($D2524*L2524,0)</f>
        <v>459076</v>
      </c>
      <c r="O2524" s="57"/>
      <c r="P2524" s="57"/>
    </row>
    <row r="2525" spans="1:17" x14ac:dyDescent="0.25">
      <c r="A2525" s="19" t="s">
        <v>177</v>
      </c>
      <c r="C2525" s="6">
        <v>65712.72448205555</v>
      </c>
      <c r="D2525" s="6">
        <v>79542</v>
      </c>
      <c r="F2525" s="24"/>
      <c r="G2525" s="24"/>
      <c r="K2525" s="24"/>
      <c r="L2525" s="24">
        <f t="shared" si="374"/>
        <v>12.68</v>
      </c>
      <c r="M2525" s="24"/>
      <c r="N2525" s="7">
        <f>ROUND($D2525*L2525,0)</f>
        <v>1008593</v>
      </c>
      <c r="O2525" s="57"/>
      <c r="P2525" s="57"/>
    </row>
    <row r="2526" spans="1:17" x14ac:dyDescent="0.25">
      <c r="A2526" s="19" t="s">
        <v>17</v>
      </c>
      <c r="C2526" s="6">
        <v>3857203.6053539133</v>
      </c>
      <c r="D2526" s="6">
        <v>4593259</v>
      </c>
      <c r="F2526" s="99"/>
      <c r="G2526" s="26"/>
      <c r="K2526" s="99"/>
      <c r="L2526" s="99">
        <f t="shared" si="374"/>
        <v>5.1477000000000004</v>
      </c>
      <c r="M2526" s="26" t="s">
        <v>18</v>
      </c>
      <c r="N2526" s="7">
        <f>ROUND($D2526*L2526/100,0)</f>
        <v>236447</v>
      </c>
      <c r="O2526" s="206"/>
      <c r="P2526" s="59"/>
    </row>
    <row r="2527" spans="1:17" x14ac:dyDescent="0.25">
      <c r="A2527" s="19" t="s">
        <v>178</v>
      </c>
      <c r="C2527" s="6">
        <v>6953710.2220234424</v>
      </c>
      <c r="D2527" s="6">
        <v>8280661</v>
      </c>
      <c r="F2527" s="99"/>
      <c r="G2527" s="26"/>
      <c r="K2527" s="99"/>
      <c r="L2527" s="99">
        <f t="shared" si="374"/>
        <v>4.5555000000000003</v>
      </c>
      <c r="M2527" s="26" t="s">
        <v>18</v>
      </c>
      <c r="N2527" s="7">
        <f>ROUND($D2527*L2527/100,0)</f>
        <v>377226</v>
      </c>
      <c r="O2527" s="206"/>
      <c r="P2527" s="59"/>
    </row>
    <row r="2528" spans="1:17" x14ac:dyDescent="0.25">
      <c r="A2528" s="19" t="s">
        <v>19</v>
      </c>
      <c r="C2528" s="6">
        <v>13709027.765005577</v>
      </c>
      <c r="D2528" s="6">
        <v>16325070</v>
      </c>
      <c r="F2528" s="99"/>
      <c r="G2528" s="26"/>
      <c r="K2528" s="99"/>
      <c r="L2528" s="99">
        <f t="shared" si="374"/>
        <v>2.6164999999999998</v>
      </c>
      <c r="M2528" s="26" t="s">
        <v>18</v>
      </c>
      <c r="N2528" s="7">
        <f>ROUND($D2528*L2528/100,0)</f>
        <v>427145</v>
      </c>
      <c r="O2528" s="206"/>
      <c r="P2528" s="59"/>
    </row>
    <row r="2529" spans="1:17" x14ac:dyDescent="0.25">
      <c r="A2529" s="19" t="s">
        <v>179</v>
      </c>
      <c r="C2529" s="6">
        <v>25887167.407617066</v>
      </c>
      <c r="D2529" s="6">
        <v>30827119</v>
      </c>
      <c r="F2529" s="143"/>
      <c r="G2529" s="26"/>
      <c r="H2529" s="141"/>
      <c r="I2529" s="141"/>
      <c r="K2529" s="143"/>
      <c r="L2529" s="143">
        <f t="shared" si="374"/>
        <v>2.3155000000000001</v>
      </c>
      <c r="M2529" s="26" t="s">
        <v>18</v>
      </c>
      <c r="N2529" s="7">
        <f>ROUND($D2529*L2529/100,0)</f>
        <v>713802</v>
      </c>
      <c r="O2529" s="226"/>
      <c r="P2529" s="59"/>
    </row>
    <row r="2530" spans="1:17" x14ac:dyDescent="0.25">
      <c r="A2530" s="19" t="s">
        <v>180</v>
      </c>
      <c r="C2530" s="6">
        <v>32617</v>
      </c>
      <c r="D2530" s="6">
        <v>39481</v>
      </c>
      <c r="F2530" s="24">
        <v>13.96</v>
      </c>
      <c r="G2530" s="24"/>
      <c r="H2530" s="7">
        <f t="shared" si="373"/>
        <v>455333</v>
      </c>
      <c r="I2530" s="7">
        <f t="shared" si="373"/>
        <v>551155</v>
      </c>
      <c r="K2530" s="24"/>
      <c r="L2530" s="24"/>
      <c r="M2530" s="24"/>
      <c r="O2530" s="57"/>
      <c r="P2530" s="57"/>
    </row>
    <row r="2531" spans="1:17" x14ac:dyDescent="0.25">
      <c r="A2531" s="19" t="s">
        <v>181</v>
      </c>
      <c r="C2531" s="6">
        <v>57849</v>
      </c>
      <c r="D2531" s="6">
        <v>70023</v>
      </c>
      <c r="F2531" s="24">
        <v>9.4700000000000006</v>
      </c>
      <c r="G2531" s="24"/>
      <c r="H2531" s="7">
        <f t="shared" si="373"/>
        <v>547830</v>
      </c>
      <c r="I2531" s="7">
        <f t="shared" si="373"/>
        <v>663118</v>
      </c>
      <c r="K2531" s="24"/>
      <c r="L2531" s="24"/>
      <c r="M2531" s="24"/>
      <c r="O2531" s="57"/>
      <c r="P2531" s="57"/>
    </row>
    <row r="2532" spans="1:17" x14ac:dyDescent="0.25">
      <c r="A2532" s="19" t="s">
        <v>187</v>
      </c>
      <c r="C2532" s="6">
        <v>5576884</v>
      </c>
      <c r="D2532" s="6">
        <v>6641100</v>
      </c>
      <c r="F2532" s="99">
        <v>4.6531000000000002</v>
      </c>
      <c r="G2532" s="26" t="s">
        <v>18</v>
      </c>
      <c r="H2532" s="7">
        <f t="shared" ref="H2532:I2534" si="375">ROUND($F2532*C2532/100,0)</f>
        <v>259498</v>
      </c>
      <c r="I2532" s="7">
        <f t="shared" si="375"/>
        <v>309017</v>
      </c>
      <c r="K2532" s="99"/>
      <c r="L2532" s="99"/>
      <c r="M2532" s="26"/>
      <c r="O2532" s="206"/>
      <c r="P2532" s="59"/>
    </row>
    <row r="2533" spans="1:17" x14ac:dyDescent="0.25">
      <c r="A2533" s="19" t="s">
        <v>188</v>
      </c>
      <c r="C2533" s="6">
        <v>13917897</v>
      </c>
      <c r="D2533" s="6">
        <v>16573797</v>
      </c>
      <c r="F2533" s="99">
        <v>3.4988999999999999</v>
      </c>
      <c r="G2533" s="26" t="s">
        <v>18</v>
      </c>
      <c r="H2533" s="7">
        <f t="shared" si="375"/>
        <v>486973</v>
      </c>
      <c r="I2533" s="7">
        <f t="shared" si="375"/>
        <v>579901</v>
      </c>
      <c r="K2533" s="99"/>
      <c r="L2533" s="99"/>
      <c r="M2533" s="26"/>
      <c r="O2533" s="206"/>
      <c r="P2533" s="59"/>
    </row>
    <row r="2534" spans="1:17" x14ac:dyDescent="0.25">
      <c r="A2534" s="19" t="s">
        <v>41</v>
      </c>
      <c r="C2534" s="130">
        <v>30912328</v>
      </c>
      <c r="D2534" s="130">
        <v>36811212</v>
      </c>
      <c r="F2534" s="143">
        <v>2.9224999999999999</v>
      </c>
      <c r="G2534" s="26" t="s">
        <v>18</v>
      </c>
      <c r="H2534" s="141">
        <f t="shared" si="375"/>
        <v>903413</v>
      </c>
      <c r="I2534" s="141">
        <f t="shared" si="375"/>
        <v>1075808</v>
      </c>
      <c r="K2534" s="143"/>
      <c r="L2534" s="143"/>
      <c r="M2534" s="26"/>
      <c r="N2534" s="141"/>
      <c r="O2534" s="226"/>
      <c r="P2534" s="59"/>
      <c r="Q2534" s="224"/>
    </row>
    <row r="2535" spans="1:17" x14ac:dyDescent="0.25">
      <c r="A2535" s="19" t="s">
        <v>34</v>
      </c>
      <c r="F2535" s="144">
        <v>-3.0700000000000002E-2</v>
      </c>
      <c r="G2535" s="24"/>
      <c r="H2535" s="145">
        <f>SUM(H2530:H2534)*$F2535</f>
        <v>-81448.5429</v>
      </c>
      <c r="I2535" s="145">
        <f>SUM(I2530:I2534)*$F2535</f>
        <v>-97595.2693</v>
      </c>
      <c r="K2535" s="93" t="str">
        <f>$K$43</f>
        <v>TAA 1 (1/1/2021)</v>
      </c>
      <c r="L2535" s="23">
        <f t="shared" ref="L2535:L2536" si="376">L2327</f>
        <v>-2.4299999999999999E-2</v>
      </c>
      <c r="M2535" s="24"/>
      <c r="N2535" s="7">
        <f>L2535*SUM(N2524:N2529)</f>
        <v>-78301.622699999993</v>
      </c>
      <c r="O2535" s="65"/>
      <c r="P2535" s="57"/>
    </row>
    <row r="2536" spans="1:17" x14ac:dyDescent="0.25">
      <c r="A2536" s="19"/>
      <c r="F2536" s="23"/>
      <c r="G2536" s="24"/>
      <c r="K2536" s="93" t="str">
        <f>$K$44</f>
        <v>TAA 2 (1/1/2022)</v>
      </c>
      <c r="L2536" s="23">
        <f t="shared" si="376"/>
        <v>-1.21E-2</v>
      </c>
      <c r="M2536" s="24"/>
      <c r="N2536" s="7">
        <f>L2536*SUM(N2524:N2529)</f>
        <v>-38989.696899999995</v>
      </c>
      <c r="O2536" s="65"/>
      <c r="P2536" s="57"/>
    </row>
    <row r="2537" spans="1:17" x14ac:dyDescent="0.25">
      <c r="A2537" s="19" t="s">
        <v>328</v>
      </c>
      <c r="F2537" s="99"/>
      <c r="G2537" s="26"/>
      <c r="H2537" s="7">
        <f>SUM(H2507:H2535)</f>
        <v>2775392.4571000002</v>
      </c>
      <c r="I2537" s="7">
        <f>SUM(I2507:I2535)</f>
        <v>3328085.7307000002</v>
      </c>
      <c r="K2537" s="99"/>
      <c r="L2537" s="99"/>
      <c r="M2537" s="26"/>
      <c r="N2537" s="7">
        <f>SUM(N2507:N2519,N2523:N2534)</f>
        <v>3475638</v>
      </c>
      <c r="O2537" s="206"/>
      <c r="P2537" s="59"/>
    </row>
    <row r="2538" spans="1:17" x14ac:dyDescent="0.25">
      <c r="A2538" s="5" t="s">
        <v>164</v>
      </c>
      <c r="C2538" s="121">
        <v>-817118</v>
      </c>
      <c r="D2538" s="121">
        <v>0</v>
      </c>
      <c r="F2538" s="100"/>
      <c r="G2538" s="100"/>
      <c r="H2538" s="37">
        <v>-56334</v>
      </c>
      <c r="I2538" s="37">
        <v>0</v>
      </c>
      <c r="K2538" s="100"/>
      <c r="L2538" s="100"/>
      <c r="M2538" s="100"/>
      <c r="N2538" s="37"/>
      <c r="O2538" s="207"/>
      <c r="P2538" s="207"/>
      <c r="Q2538" s="64"/>
    </row>
    <row r="2539" spans="1:17" ht="16.5" thickBot="1" x14ac:dyDescent="0.3">
      <c r="A2539" s="19" t="s">
        <v>385</v>
      </c>
      <c r="C2539" s="101">
        <v>49589991</v>
      </c>
      <c r="D2539" s="101">
        <v>60026109</v>
      </c>
      <c r="F2539" s="41"/>
      <c r="H2539" s="95">
        <f>H2504+H2537+H2538</f>
        <v>3651323.4571000002</v>
      </c>
      <c r="I2539" s="95">
        <f>I2504+I2537+I2538</f>
        <v>4451406.7307000002</v>
      </c>
      <c r="K2539" s="41"/>
      <c r="L2539" s="41"/>
      <c r="N2539" s="95">
        <f>N2504+N2537</f>
        <v>4619312</v>
      </c>
      <c r="O2539" s="68"/>
      <c r="Q2539" s="208"/>
    </row>
    <row r="2540" spans="1:17" s="16" customFormat="1" ht="16.5" thickTop="1" x14ac:dyDescent="0.25">
      <c r="A2540" s="19"/>
      <c r="C2540" s="34"/>
      <c r="D2540" s="34"/>
      <c r="E2540" s="34"/>
      <c r="F2540" s="34"/>
      <c r="G2540" s="104"/>
      <c r="H2540" s="18"/>
      <c r="I2540" s="18"/>
      <c r="N2540" s="18"/>
      <c r="O2540" s="69"/>
      <c r="P2540" s="69"/>
      <c r="Q2540" s="70"/>
    </row>
    <row r="2541" spans="1:17" s="16" customFormat="1" ht="18.75" x14ac:dyDescent="0.3">
      <c r="A2541" s="147" t="s">
        <v>388</v>
      </c>
      <c r="C2541" s="34"/>
      <c r="D2541" s="34"/>
      <c r="E2541" s="34"/>
      <c r="F2541" s="34"/>
      <c r="G2541" s="104"/>
      <c r="H2541" s="18"/>
      <c r="I2541" s="18"/>
      <c r="N2541" s="18"/>
      <c r="O2541" s="69"/>
      <c r="P2541" s="69"/>
      <c r="Q2541" s="70"/>
    </row>
    <row r="2542" spans="1:17" s="16" customFormat="1" x14ac:dyDescent="0.25">
      <c r="A2542" s="32" t="s">
        <v>389</v>
      </c>
      <c r="C2542" s="34"/>
      <c r="D2542" s="34"/>
      <c r="E2542" s="34"/>
      <c r="F2542" s="34"/>
      <c r="H2542" s="18"/>
      <c r="I2542" s="18"/>
      <c r="N2542" s="18"/>
      <c r="O2542" s="69"/>
      <c r="P2542" s="69"/>
      <c r="Q2542" s="70"/>
    </row>
    <row r="2543" spans="1:17" s="16" customFormat="1" x14ac:dyDescent="0.25">
      <c r="A2543" s="32" t="s">
        <v>390</v>
      </c>
      <c r="B2543" s="32"/>
      <c r="C2543" s="34"/>
      <c r="D2543" s="34"/>
      <c r="E2543" s="34"/>
      <c r="F2543" s="148">
        <v>54</v>
      </c>
      <c r="G2543" s="21"/>
      <c r="H2543" s="91"/>
      <c r="I2543" s="18">
        <f>ROUND($F2543*D2543,0)</f>
        <v>0</v>
      </c>
      <c r="J2543" s="18"/>
      <c r="K2543" s="136"/>
      <c r="L2543" s="148">
        <v>55</v>
      </c>
      <c r="M2543" s="18"/>
      <c r="N2543" s="18">
        <f>ROUND($D2543*L2543,0)</f>
        <v>0</v>
      </c>
      <c r="O2543" s="227"/>
      <c r="P2543" s="70"/>
      <c r="Q2543" s="70"/>
    </row>
    <row r="2544" spans="1:17" s="16" customFormat="1" x14ac:dyDescent="0.25">
      <c r="A2544" s="32" t="s">
        <v>391</v>
      </c>
      <c r="B2544" s="32"/>
      <c r="C2544" s="34"/>
      <c r="D2544" s="34"/>
      <c r="E2544" s="34"/>
      <c r="F2544" s="148">
        <v>70</v>
      </c>
      <c r="G2544" s="21"/>
      <c r="H2544" s="91"/>
      <c r="I2544" s="18">
        <f>ROUND($F2544*D2544,0)</f>
        <v>0</v>
      </c>
      <c r="J2544" s="18"/>
      <c r="K2544" s="136"/>
      <c r="L2544" s="148">
        <v>72</v>
      </c>
      <c r="M2544" s="18"/>
      <c r="N2544" s="18">
        <f>ROUND($D2544*L2544,0)</f>
        <v>0</v>
      </c>
      <c r="O2544" s="227"/>
      <c r="P2544" s="70"/>
      <c r="Q2544" s="70"/>
    </row>
    <row r="2545" spans="1:17" s="16" customFormat="1" x14ac:dyDescent="0.25">
      <c r="A2545" s="32" t="s">
        <v>392</v>
      </c>
      <c r="B2545" s="32"/>
      <c r="C2545" s="34">
        <v>36.133359073359102</v>
      </c>
      <c r="D2545" s="34">
        <v>36</v>
      </c>
      <c r="E2545" s="34"/>
      <c r="F2545" s="149">
        <v>259</v>
      </c>
      <c r="G2545" s="103"/>
      <c r="H2545" s="18">
        <f>ROUND($F2545*C2545,0)</f>
        <v>9359</v>
      </c>
      <c r="I2545" s="18">
        <f>ROUND($F2545*D2545,0)</f>
        <v>9324</v>
      </c>
      <c r="J2545" s="18"/>
      <c r="K2545" s="136"/>
      <c r="L2545" s="148">
        <v>266</v>
      </c>
      <c r="M2545" s="18"/>
      <c r="N2545" s="18">
        <f>ROUND($D2545*L2545,0)</f>
        <v>9576</v>
      </c>
      <c r="O2545" s="227"/>
      <c r="P2545" s="70"/>
      <c r="Q2545" s="70"/>
    </row>
    <row r="2546" spans="1:17" s="16" customFormat="1" x14ac:dyDescent="0.25">
      <c r="A2546" s="32" t="s">
        <v>393</v>
      </c>
      <c r="B2546" s="32"/>
      <c r="C2546" s="34"/>
      <c r="D2546" s="34"/>
      <c r="E2546" s="34"/>
      <c r="F2546" s="148"/>
      <c r="G2546" s="150"/>
      <c r="H2546" s="91"/>
      <c r="I2546" s="18"/>
      <c r="J2546" s="18"/>
      <c r="K2546" s="148"/>
      <c r="L2546" s="148"/>
      <c r="M2546" s="18"/>
      <c r="N2546" s="18"/>
      <c r="O2546" s="227"/>
      <c r="P2546" s="70"/>
      <c r="Q2546" s="70"/>
    </row>
    <row r="2547" spans="1:17" s="16" customFormat="1" x14ac:dyDescent="0.25">
      <c r="A2547" s="32" t="s">
        <v>394</v>
      </c>
      <c r="B2547" s="32"/>
      <c r="C2547" s="34">
        <v>2</v>
      </c>
      <c r="D2547" s="34">
        <v>12.83952950842653</v>
      </c>
      <c r="E2547" s="34"/>
      <c r="F2547" s="148">
        <v>110</v>
      </c>
      <c r="G2547" s="150"/>
      <c r="H2547" s="18">
        <f t="shared" ref="H2547:H2548" si="377">ROUND($F2547*C2547,0)</f>
        <v>220</v>
      </c>
      <c r="I2547" s="18">
        <f>ROUND($F2547*D2547,0)</f>
        <v>1412</v>
      </c>
      <c r="J2547" s="18"/>
      <c r="K2547" s="136"/>
      <c r="L2547" s="148">
        <v>113</v>
      </c>
      <c r="M2547" s="18"/>
      <c r="N2547" s="18">
        <f>ROUND($D2547*L2547,0)</f>
        <v>1451</v>
      </c>
      <c r="O2547" s="227"/>
      <c r="P2547" s="70"/>
      <c r="Q2547" s="70"/>
    </row>
    <row r="2548" spans="1:17" s="146" customFormat="1" x14ac:dyDescent="0.25">
      <c r="A2548" s="32" t="s">
        <v>395</v>
      </c>
      <c r="B2548" s="32"/>
      <c r="C2548" s="34">
        <v>6</v>
      </c>
      <c r="D2548" s="34">
        <v>38.518588525279576</v>
      </c>
      <c r="E2548" s="34"/>
      <c r="F2548" s="148">
        <v>150</v>
      </c>
      <c r="G2548" s="150"/>
      <c r="H2548" s="18">
        <f t="shared" si="377"/>
        <v>900</v>
      </c>
      <c r="I2548" s="18">
        <f>ROUND($F2548*D2548,0)</f>
        <v>5778</v>
      </c>
      <c r="J2548" s="18"/>
      <c r="K2548" s="136"/>
      <c r="L2548" s="148">
        <v>154</v>
      </c>
      <c r="M2548" s="18"/>
      <c r="N2548" s="18">
        <f>ROUND($D2548*L2548,0)</f>
        <v>5932</v>
      </c>
      <c r="O2548" s="227"/>
      <c r="P2548" s="70"/>
      <c r="Q2548" s="70"/>
    </row>
    <row r="2549" spans="1:17" s="146" customFormat="1" x14ac:dyDescent="0.25">
      <c r="A2549" s="32" t="s">
        <v>396</v>
      </c>
      <c r="B2549" s="32"/>
      <c r="C2549" s="34"/>
      <c r="D2549" s="34"/>
      <c r="E2549" s="34"/>
      <c r="F2549" s="149"/>
      <c r="G2549" s="151"/>
      <c r="H2549" s="18"/>
      <c r="I2549" s="18"/>
      <c r="J2549" s="18"/>
      <c r="K2549" s="149"/>
      <c r="L2549" s="149"/>
      <c r="M2549" s="18"/>
      <c r="N2549" s="18"/>
      <c r="O2549" s="228"/>
      <c r="P2549" s="70"/>
      <c r="Q2549" s="70"/>
    </row>
    <row r="2550" spans="1:17" s="146" customFormat="1" x14ac:dyDescent="0.25">
      <c r="A2550" s="32" t="s">
        <v>397</v>
      </c>
      <c r="B2550" s="32"/>
      <c r="C2550" s="34"/>
      <c r="D2550" s="34"/>
      <c r="E2550" s="34"/>
      <c r="F2550" s="148">
        <v>7.62</v>
      </c>
      <c r="G2550" s="150"/>
      <c r="H2550" s="91"/>
      <c r="I2550" s="18">
        <f>ROUND($F2550*D2550,0)</f>
        <v>0</v>
      </c>
      <c r="J2550" s="18"/>
      <c r="K2550" s="136"/>
      <c r="L2550" s="227">
        <v>7.52</v>
      </c>
      <c r="M2550" s="18"/>
      <c r="N2550" s="18">
        <f>ROUND($D2550*L2550,0)</f>
        <v>0</v>
      </c>
      <c r="O2550" s="227"/>
      <c r="P2550" s="70"/>
      <c r="Q2550" s="70"/>
    </row>
    <row r="2551" spans="1:17" s="146" customFormat="1" x14ac:dyDescent="0.25">
      <c r="A2551" s="32" t="s">
        <v>398</v>
      </c>
      <c r="B2551" s="32"/>
      <c r="C2551" s="34"/>
      <c r="D2551" s="34"/>
      <c r="E2551" s="34"/>
      <c r="F2551" s="148">
        <v>6.67</v>
      </c>
      <c r="G2551" s="150"/>
      <c r="H2551" s="91"/>
      <c r="I2551" s="18">
        <f>ROUND($F2551*D2551,0)</f>
        <v>0</v>
      </c>
      <c r="J2551" s="18"/>
      <c r="K2551" s="136"/>
      <c r="L2551" s="227">
        <v>6.56</v>
      </c>
      <c r="M2551" s="18"/>
      <c r="N2551" s="18">
        <f>ROUND($D2551*L2551,0)</f>
        <v>0</v>
      </c>
      <c r="O2551" s="227"/>
      <c r="P2551" s="70"/>
      <c r="Q2551" s="70"/>
    </row>
    <row r="2552" spans="1:17" s="146" customFormat="1" x14ac:dyDescent="0.25">
      <c r="A2552" s="32" t="s">
        <v>399</v>
      </c>
      <c r="B2552" s="32"/>
      <c r="C2552" s="34"/>
      <c r="D2552" s="34"/>
      <c r="E2552" s="34"/>
      <c r="F2552" s="148">
        <v>7.9</v>
      </c>
      <c r="G2552" s="21"/>
      <c r="H2552" s="91"/>
      <c r="I2552" s="18">
        <f>ROUND($F2552*D2552,0)</f>
        <v>0</v>
      </c>
      <c r="J2552" s="18"/>
      <c r="K2552" s="136"/>
      <c r="L2552" s="227">
        <v>8.3699999999999992</v>
      </c>
      <c r="M2552" s="18"/>
      <c r="N2552" s="18">
        <f>ROUND($D2552*L2552,0)</f>
        <v>0</v>
      </c>
      <c r="O2552" s="227"/>
      <c r="P2552" s="70"/>
      <c r="Q2552" s="70"/>
    </row>
    <row r="2553" spans="1:17" s="146" customFormat="1" x14ac:dyDescent="0.25">
      <c r="A2553" s="32" t="s">
        <v>400</v>
      </c>
      <c r="B2553" s="32"/>
      <c r="C2553" s="34"/>
      <c r="D2553" s="34"/>
      <c r="E2553" s="34"/>
      <c r="F2553" s="148">
        <v>6.75</v>
      </c>
      <c r="G2553" s="150"/>
      <c r="H2553" s="91"/>
      <c r="I2553" s="18">
        <f>ROUND($F2553*D2553,0)</f>
        <v>0</v>
      </c>
      <c r="J2553" s="18"/>
      <c r="K2553" s="136"/>
      <c r="L2553" s="227">
        <v>7.24</v>
      </c>
      <c r="M2553" s="18"/>
      <c r="N2553" s="18">
        <f>ROUND($D2553*L2553,0)</f>
        <v>0</v>
      </c>
      <c r="O2553" s="227"/>
      <c r="P2553" s="70"/>
      <c r="Q2553" s="70"/>
    </row>
    <row r="2554" spans="1:17" s="146" customFormat="1" x14ac:dyDescent="0.25">
      <c r="A2554" s="32" t="s">
        <v>392</v>
      </c>
      <c r="B2554" s="32"/>
      <c r="C2554" s="34">
        <v>38848</v>
      </c>
      <c r="D2554" s="34">
        <v>245395.50772980196</v>
      </c>
      <c r="E2554" s="34"/>
      <c r="F2554" s="148">
        <v>3.85</v>
      </c>
      <c r="G2554" s="150"/>
      <c r="H2554" s="18">
        <f>ROUND($F2554*C2554,0)</f>
        <v>149565</v>
      </c>
      <c r="I2554" s="18">
        <f>ROUND($F2554*D2554,0)</f>
        <v>944773</v>
      </c>
      <c r="J2554" s="18"/>
      <c r="K2554" s="136"/>
      <c r="L2554" s="227">
        <v>4.3499999999999996</v>
      </c>
      <c r="M2554" s="18"/>
      <c r="N2554" s="18">
        <f>ROUND($D2554*L2554,0)</f>
        <v>1067470</v>
      </c>
      <c r="O2554" s="227"/>
      <c r="P2554" s="70"/>
      <c r="Q2554" s="70"/>
    </row>
    <row r="2555" spans="1:17" s="146" customFormat="1" x14ac:dyDescent="0.25">
      <c r="A2555" s="32" t="s">
        <v>401</v>
      </c>
      <c r="B2555" s="16"/>
      <c r="C2555" s="34"/>
      <c r="D2555" s="34"/>
      <c r="E2555" s="34"/>
      <c r="F2555" s="149"/>
      <c r="G2555" s="16"/>
      <c r="H2555" s="18"/>
      <c r="I2555" s="18"/>
      <c r="J2555" s="16"/>
      <c r="K2555" s="149"/>
      <c r="L2555" s="228"/>
      <c r="M2555" s="16"/>
      <c r="N2555" s="18"/>
      <c r="O2555" s="228"/>
      <c r="P2555" s="69"/>
      <c r="Q2555" s="70"/>
    </row>
    <row r="2556" spans="1:17" s="146" customFormat="1" x14ac:dyDescent="0.25">
      <c r="A2556" s="32" t="s">
        <v>402</v>
      </c>
      <c r="B2556" s="16"/>
      <c r="C2556" s="34"/>
      <c r="D2556" s="34"/>
      <c r="E2556" s="34"/>
      <c r="F2556" s="148"/>
      <c r="G2556" s="21"/>
      <c r="H2556" s="91"/>
      <c r="I2556" s="18"/>
      <c r="J2556" s="18"/>
      <c r="K2556" s="148"/>
      <c r="L2556" s="227"/>
      <c r="M2556" s="18"/>
      <c r="N2556" s="18"/>
      <c r="O2556" s="227"/>
      <c r="P2556" s="70"/>
      <c r="Q2556" s="70"/>
    </row>
    <row r="2557" spans="1:17" s="146" customFormat="1" x14ac:dyDescent="0.25">
      <c r="A2557" s="32" t="s">
        <v>403</v>
      </c>
      <c r="B2557" s="16"/>
      <c r="C2557" s="34"/>
      <c r="D2557" s="34"/>
      <c r="E2557" s="34"/>
      <c r="F2557" s="148"/>
      <c r="G2557" s="21"/>
      <c r="H2557" s="91"/>
      <c r="I2557" s="18"/>
      <c r="J2557" s="18"/>
      <c r="K2557" s="136"/>
      <c r="L2557" s="227">
        <v>0.56999999999999995</v>
      </c>
      <c r="M2557" s="18"/>
      <c r="N2557" s="18">
        <f>ROUND($D2557*L2557,0)</f>
        <v>0</v>
      </c>
      <c r="O2557" s="227"/>
      <c r="P2557" s="70"/>
      <c r="Q2557" s="70"/>
    </row>
    <row r="2558" spans="1:17" s="146" customFormat="1" x14ac:dyDescent="0.25">
      <c r="A2558" s="32" t="s">
        <v>404</v>
      </c>
      <c r="B2558" s="16"/>
      <c r="C2558" s="34"/>
      <c r="D2558" s="34"/>
      <c r="E2558" s="34"/>
      <c r="F2558" s="148"/>
      <c r="G2558" s="21"/>
      <c r="H2558" s="91"/>
      <c r="I2558" s="18"/>
      <c r="J2558" s="18"/>
      <c r="K2558" s="136"/>
      <c r="L2558" s="227">
        <v>0.48</v>
      </c>
      <c r="M2558" s="18"/>
      <c r="N2558" s="18">
        <f>ROUND($D2558*L2558,0)</f>
        <v>0</v>
      </c>
      <c r="O2558" s="227"/>
      <c r="P2558" s="70"/>
      <c r="Q2558" s="70"/>
    </row>
    <row r="2559" spans="1:17" s="146" customFormat="1" x14ac:dyDescent="0.25">
      <c r="A2559" s="32" t="s">
        <v>405</v>
      </c>
      <c r="B2559" s="16"/>
      <c r="C2559" s="34"/>
      <c r="D2559" s="34"/>
      <c r="E2559" s="34"/>
      <c r="F2559" s="148"/>
      <c r="G2559" s="150"/>
      <c r="H2559" s="91"/>
      <c r="I2559" s="18"/>
      <c r="J2559" s="18"/>
      <c r="K2559" s="148"/>
      <c r="L2559" s="227"/>
      <c r="M2559" s="18"/>
      <c r="N2559" s="18"/>
      <c r="O2559" s="227"/>
      <c r="P2559" s="70"/>
      <c r="Q2559" s="70"/>
    </row>
    <row r="2560" spans="1:17" s="146" customFormat="1" x14ac:dyDescent="0.25">
      <c r="A2560" s="32" t="s">
        <v>403</v>
      </c>
      <c r="B2560" s="16"/>
      <c r="C2560" s="34"/>
      <c r="D2560" s="34"/>
      <c r="E2560" s="34"/>
      <c r="F2560" s="148"/>
      <c r="G2560" s="150"/>
      <c r="H2560" s="91"/>
      <c r="I2560" s="18"/>
      <c r="J2560" s="18"/>
      <c r="K2560" s="136"/>
      <c r="L2560" s="227">
        <v>0.56999999999999995</v>
      </c>
      <c r="M2560" s="18"/>
      <c r="N2560" s="18">
        <f>ROUND($D2560*L2560,0)</f>
        <v>0</v>
      </c>
      <c r="O2560" s="227"/>
      <c r="P2560" s="70"/>
      <c r="Q2560" s="70"/>
    </row>
    <row r="2561" spans="1:17" s="146" customFormat="1" x14ac:dyDescent="0.25">
      <c r="A2561" s="32" t="s">
        <v>404</v>
      </c>
      <c r="B2561" s="16"/>
      <c r="C2561" s="34"/>
      <c r="D2561" s="34"/>
      <c r="E2561" s="34"/>
      <c r="F2561" s="148"/>
      <c r="G2561" s="150"/>
      <c r="H2561" s="91"/>
      <c r="I2561" s="18"/>
      <c r="J2561" s="18"/>
      <c r="K2561" s="136"/>
      <c r="L2561" s="227">
        <v>0.47</v>
      </c>
      <c r="M2561" s="18"/>
      <c r="N2561" s="18">
        <f>ROUND($D2561*L2561,0)</f>
        <v>0</v>
      </c>
      <c r="O2561" s="227"/>
      <c r="P2561" s="70"/>
      <c r="Q2561" s="70"/>
    </row>
    <row r="2562" spans="1:17" s="146" customFormat="1" x14ac:dyDescent="0.25">
      <c r="A2562" s="32" t="s">
        <v>406</v>
      </c>
      <c r="B2562" s="16"/>
      <c r="C2562" s="34"/>
      <c r="D2562" s="34"/>
      <c r="E2562" s="34"/>
      <c r="F2562" s="149"/>
      <c r="G2562" s="151"/>
      <c r="H2562" s="18"/>
      <c r="I2562" s="18"/>
      <c r="J2562" s="18"/>
      <c r="K2562" s="149"/>
      <c r="L2562" s="228"/>
      <c r="M2562" s="18"/>
      <c r="N2562" s="18"/>
      <c r="O2562" s="228"/>
      <c r="P2562" s="70"/>
      <c r="Q2562" s="70"/>
    </row>
    <row r="2563" spans="1:17" s="146" customFormat="1" x14ac:dyDescent="0.25">
      <c r="A2563" s="32" t="s">
        <v>403</v>
      </c>
      <c r="B2563" s="16"/>
      <c r="C2563" s="34"/>
      <c r="D2563" s="34"/>
      <c r="E2563" s="34"/>
      <c r="F2563" s="148"/>
      <c r="G2563" s="150"/>
      <c r="H2563" s="91"/>
      <c r="I2563" s="18"/>
      <c r="J2563" s="18"/>
      <c r="K2563" s="136"/>
      <c r="L2563" s="227">
        <v>0.72</v>
      </c>
      <c r="M2563" s="18"/>
      <c r="N2563" s="18">
        <f>ROUND($D2563*L2563,0)</f>
        <v>0</v>
      </c>
      <c r="O2563" s="227"/>
      <c r="P2563" s="70"/>
      <c r="Q2563" s="70"/>
    </row>
    <row r="2564" spans="1:17" s="146" customFormat="1" x14ac:dyDescent="0.25">
      <c r="A2564" s="32" t="s">
        <v>404</v>
      </c>
      <c r="B2564" s="16"/>
      <c r="C2564" s="34"/>
      <c r="D2564" s="34"/>
      <c r="E2564" s="34"/>
      <c r="F2564" s="148"/>
      <c r="G2564" s="150"/>
      <c r="H2564" s="91"/>
      <c r="I2564" s="18"/>
      <c r="J2564" s="18"/>
      <c r="K2564" s="136"/>
      <c r="L2564" s="227">
        <v>0.61</v>
      </c>
      <c r="M2564" s="18"/>
      <c r="N2564" s="18">
        <f>ROUND($D2564*L2564,0)</f>
        <v>0</v>
      </c>
      <c r="O2564" s="227"/>
      <c r="P2564" s="70"/>
      <c r="Q2564" s="70"/>
    </row>
    <row r="2565" spans="1:17" s="146" customFormat="1" x14ac:dyDescent="0.25">
      <c r="A2565" s="32" t="s">
        <v>407</v>
      </c>
      <c r="B2565" s="16"/>
      <c r="C2565" s="34"/>
      <c r="D2565" s="34"/>
      <c r="E2565" s="34"/>
      <c r="F2565" s="148"/>
      <c r="G2565" s="21"/>
      <c r="H2565" s="91"/>
      <c r="I2565" s="18"/>
      <c r="J2565" s="18"/>
      <c r="K2565" s="148"/>
      <c r="L2565" s="227"/>
      <c r="M2565" s="18"/>
      <c r="N2565" s="18"/>
      <c r="O2565" s="227"/>
      <c r="P2565" s="70"/>
      <c r="Q2565" s="70"/>
    </row>
    <row r="2566" spans="1:17" s="146" customFormat="1" x14ac:dyDescent="0.25">
      <c r="A2566" s="32" t="s">
        <v>403</v>
      </c>
      <c r="B2566" s="16"/>
      <c r="C2566" s="34"/>
      <c r="D2566" s="34"/>
      <c r="E2566" s="34"/>
      <c r="F2566" s="148"/>
      <c r="G2566" s="150"/>
      <c r="H2566" s="91"/>
      <c r="I2566" s="18"/>
      <c r="J2566" s="18"/>
      <c r="K2566" s="136"/>
      <c r="L2566" s="227">
        <v>0.71</v>
      </c>
      <c r="M2566" s="18"/>
      <c r="N2566" s="18">
        <f>ROUND($D2566*L2566,0)</f>
        <v>0</v>
      </c>
      <c r="O2566" s="227"/>
      <c r="P2566" s="70"/>
      <c r="Q2566" s="70"/>
    </row>
    <row r="2567" spans="1:17" s="146" customFormat="1" x14ac:dyDescent="0.25">
      <c r="A2567" s="32" t="s">
        <v>404</v>
      </c>
      <c r="B2567" s="16"/>
      <c r="C2567" s="34"/>
      <c r="D2567" s="34"/>
      <c r="E2567" s="34"/>
      <c r="F2567" s="148"/>
      <c r="G2567" s="150"/>
      <c r="H2567" s="91"/>
      <c r="I2567" s="18"/>
      <c r="J2567" s="18"/>
      <c r="K2567" s="136"/>
      <c r="L2567" s="227">
        <v>0.59</v>
      </c>
      <c r="M2567" s="18"/>
      <c r="N2567" s="18">
        <f>ROUND($D2567*L2567,0)</f>
        <v>0</v>
      </c>
      <c r="O2567" s="227"/>
      <c r="P2567" s="70"/>
      <c r="Q2567" s="70"/>
    </row>
    <row r="2568" spans="1:17" s="146" customFormat="1" x14ac:dyDescent="0.25">
      <c r="A2568" s="32" t="s">
        <v>408</v>
      </c>
      <c r="B2568" s="16"/>
      <c r="C2568" s="34"/>
      <c r="D2568" s="34"/>
      <c r="E2568" s="34"/>
      <c r="F2568" s="149"/>
      <c r="G2568" s="16"/>
      <c r="H2568" s="18"/>
      <c r="I2568" s="18"/>
      <c r="J2568" s="16"/>
      <c r="K2568" s="149"/>
      <c r="L2568" s="228"/>
      <c r="M2568" s="16"/>
      <c r="N2568" s="18"/>
      <c r="O2568" s="228"/>
      <c r="P2568" s="69"/>
      <c r="Q2568" s="70"/>
    </row>
    <row r="2569" spans="1:17" s="146" customFormat="1" x14ac:dyDescent="0.25">
      <c r="A2569" s="32" t="s">
        <v>403</v>
      </c>
      <c r="B2569" s="16"/>
      <c r="C2569" s="34">
        <v>0</v>
      </c>
      <c r="D2569" s="34">
        <v>526626.49852888589</v>
      </c>
      <c r="E2569" s="34"/>
      <c r="F2569" s="148"/>
      <c r="G2569" s="21"/>
      <c r="H2569" s="18"/>
      <c r="I2569" s="18"/>
      <c r="J2569" s="18"/>
      <c r="K2569" s="136"/>
      <c r="L2569" s="227">
        <v>0.71</v>
      </c>
      <c r="M2569" s="18"/>
      <c r="N2569" s="18">
        <f>ROUND($D2569*L2569,0)</f>
        <v>373905</v>
      </c>
      <c r="O2569" s="227"/>
      <c r="P2569" s="70"/>
      <c r="Q2569" s="70"/>
    </row>
    <row r="2570" spans="1:17" s="146" customFormat="1" x14ac:dyDescent="0.25">
      <c r="A2570" s="32" t="s">
        <v>404</v>
      </c>
      <c r="B2570" s="16"/>
      <c r="C2570" s="34">
        <v>249715</v>
      </c>
      <c r="D2570" s="34">
        <v>913270.88847378257</v>
      </c>
      <c r="E2570" s="34"/>
      <c r="F2570" s="148"/>
      <c r="G2570" s="21"/>
      <c r="H2570" s="18"/>
      <c r="I2570" s="18"/>
      <c r="J2570" s="18"/>
      <c r="K2570" s="136"/>
      <c r="L2570" s="227">
        <v>0.61</v>
      </c>
      <c r="M2570" s="18"/>
      <c r="N2570" s="18">
        <f>ROUND($D2570*L2570,0)</f>
        <v>557095</v>
      </c>
      <c r="O2570" s="227"/>
      <c r="P2570" s="70"/>
      <c r="Q2570" s="70"/>
    </row>
    <row r="2571" spans="1:17" s="146" customFormat="1" x14ac:dyDescent="0.25">
      <c r="A2571" s="32" t="s">
        <v>402</v>
      </c>
      <c r="B2571" s="16"/>
      <c r="C2571" s="34"/>
      <c r="D2571" s="34"/>
      <c r="E2571" s="34"/>
      <c r="F2571" s="148"/>
      <c r="G2571" s="21"/>
      <c r="H2571" s="91"/>
      <c r="I2571" s="18"/>
      <c r="J2571" s="18"/>
      <c r="K2571" s="18"/>
      <c r="L2571" s="70"/>
      <c r="M2571" s="18"/>
      <c r="N2571" s="18"/>
      <c r="O2571" s="70"/>
      <c r="P2571" s="70"/>
      <c r="Q2571" s="70"/>
    </row>
    <row r="2572" spans="1:17" s="146" customFormat="1" x14ac:dyDescent="0.25">
      <c r="A2572" s="32" t="s">
        <v>409</v>
      </c>
      <c r="B2572" s="16"/>
      <c r="C2572" s="34"/>
      <c r="D2572" s="34"/>
      <c r="E2572" s="34"/>
      <c r="F2572" s="148">
        <v>0.64</v>
      </c>
      <c r="G2572" s="21"/>
      <c r="H2572" s="91"/>
      <c r="I2572" s="18">
        <f>ROUND($F2572*D2572,0)</f>
        <v>0</v>
      </c>
      <c r="J2572" s="18"/>
      <c r="K2572" s="18"/>
      <c r="L2572" s="18"/>
      <c r="M2572" s="18"/>
      <c r="N2572" s="18"/>
      <c r="O2572" s="70"/>
      <c r="P2572" s="70"/>
      <c r="Q2572" s="70"/>
    </row>
    <row r="2573" spans="1:17" s="146" customFormat="1" x14ac:dyDescent="0.25">
      <c r="A2573" s="32" t="s">
        <v>410</v>
      </c>
      <c r="B2573" s="16"/>
      <c r="C2573" s="34"/>
      <c r="D2573" s="34"/>
      <c r="E2573" s="34"/>
      <c r="F2573" s="148">
        <v>0.42</v>
      </c>
      <c r="G2573" s="21"/>
      <c r="H2573" s="91"/>
      <c r="I2573" s="18">
        <f>ROUND($F2573*D2573,0)</f>
        <v>0</v>
      </c>
      <c r="J2573" s="18"/>
      <c r="K2573" s="18"/>
      <c r="L2573" s="18"/>
      <c r="M2573" s="18"/>
      <c r="N2573" s="18"/>
      <c r="O2573" s="70"/>
      <c r="P2573" s="70"/>
      <c r="Q2573" s="70"/>
    </row>
    <row r="2574" spans="1:17" s="146" customFormat="1" x14ac:dyDescent="0.25">
      <c r="A2574" s="32" t="s">
        <v>405</v>
      </c>
      <c r="B2574" s="16"/>
      <c r="C2574" s="34"/>
      <c r="D2574" s="34"/>
      <c r="E2574" s="34"/>
      <c r="F2574" s="148"/>
      <c r="G2574" s="150"/>
      <c r="H2574" s="91"/>
      <c r="I2574" s="18"/>
      <c r="J2574" s="18"/>
      <c r="K2574" s="18"/>
      <c r="L2574" s="18"/>
      <c r="M2574" s="18"/>
      <c r="N2574" s="18"/>
      <c r="O2574" s="70"/>
      <c r="P2574" s="70"/>
      <c r="Q2574" s="70"/>
    </row>
    <row r="2575" spans="1:17" s="146" customFormat="1" x14ac:dyDescent="0.25">
      <c r="A2575" s="32" t="s">
        <v>409</v>
      </c>
      <c r="B2575" s="16"/>
      <c r="C2575" s="34"/>
      <c r="D2575" s="34"/>
      <c r="E2575" s="34"/>
      <c r="F2575" s="148">
        <v>0.63</v>
      </c>
      <c r="G2575" s="150"/>
      <c r="H2575" s="91"/>
      <c r="I2575" s="18">
        <f>ROUND($F2575*D2575,0)</f>
        <v>0</v>
      </c>
      <c r="J2575" s="18"/>
      <c r="K2575" s="18"/>
      <c r="L2575" s="18"/>
      <c r="M2575" s="18"/>
      <c r="N2575" s="18"/>
      <c r="O2575" s="70"/>
      <c r="P2575" s="70"/>
      <c r="Q2575" s="70"/>
    </row>
    <row r="2576" spans="1:17" s="146" customFormat="1" x14ac:dyDescent="0.25">
      <c r="A2576" s="32" t="s">
        <v>410</v>
      </c>
      <c r="B2576" s="16"/>
      <c r="C2576" s="34"/>
      <c r="D2576" s="34"/>
      <c r="E2576" s="34"/>
      <c r="F2576" s="148">
        <v>0.41</v>
      </c>
      <c r="G2576" s="150"/>
      <c r="H2576" s="91"/>
      <c r="I2576" s="18">
        <f>ROUND($F2576*D2576,0)</f>
        <v>0</v>
      </c>
      <c r="J2576" s="18"/>
      <c r="K2576" s="18"/>
      <c r="L2576" s="18"/>
      <c r="M2576" s="18"/>
      <c r="N2576" s="18"/>
      <c r="O2576" s="70"/>
      <c r="P2576" s="70"/>
      <c r="Q2576" s="70"/>
    </row>
    <row r="2577" spans="1:17" s="146" customFormat="1" x14ac:dyDescent="0.25">
      <c r="A2577" s="32" t="s">
        <v>406</v>
      </c>
      <c r="B2577" s="16"/>
      <c r="C2577" s="34"/>
      <c r="D2577" s="34"/>
      <c r="E2577" s="34"/>
      <c r="F2577" s="149"/>
      <c r="G2577" s="151"/>
      <c r="H2577" s="18"/>
      <c r="I2577" s="18"/>
      <c r="J2577" s="18"/>
      <c r="K2577" s="18"/>
      <c r="L2577" s="18"/>
      <c r="M2577" s="18"/>
      <c r="N2577" s="18"/>
      <c r="O2577" s="70"/>
      <c r="P2577" s="70"/>
      <c r="Q2577" s="70"/>
    </row>
    <row r="2578" spans="1:17" s="146" customFormat="1" x14ac:dyDescent="0.25">
      <c r="A2578" s="32" t="s">
        <v>409</v>
      </c>
      <c r="B2578" s="16"/>
      <c r="C2578" s="34"/>
      <c r="D2578" s="34"/>
      <c r="E2578" s="34"/>
      <c r="F2578" s="148">
        <v>0.72</v>
      </c>
      <c r="G2578" s="150"/>
      <c r="H2578" s="91"/>
      <c r="I2578" s="18">
        <f>ROUND($F2578*D2578,0)</f>
        <v>0</v>
      </c>
      <c r="J2578" s="18"/>
      <c r="K2578" s="18"/>
      <c r="L2578" s="18"/>
      <c r="M2578" s="18"/>
      <c r="N2578" s="18"/>
      <c r="O2578" s="70"/>
      <c r="P2578" s="70"/>
      <c r="Q2578" s="70"/>
    </row>
    <row r="2579" spans="1:17" s="146" customFormat="1" x14ac:dyDescent="0.25">
      <c r="A2579" s="32" t="s">
        <v>410</v>
      </c>
      <c r="B2579" s="16"/>
      <c r="C2579" s="34"/>
      <c r="D2579" s="34"/>
      <c r="E2579" s="34"/>
      <c r="F2579" s="148">
        <v>0.46</v>
      </c>
      <c r="G2579" s="150"/>
      <c r="H2579" s="91"/>
      <c r="I2579" s="18">
        <f>ROUND($F2579*D2579,0)</f>
        <v>0</v>
      </c>
      <c r="J2579" s="18"/>
      <c r="K2579" s="18"/>
      <c r="L2579" s="18"/>
      <c r="M2579" s="18"/>
      <c r="N2579" s="18"/>
      <c r="O2579" s="70"/>
      <c r="P2579" s="70"/>
      <c r="Q2579" s="70"/>
    </row>
    <row r="2580" spans="1:17" s="146" customFormat="1" x14ac:dyDescent="0.25">
      <c r="A2580" s="32" t="s">
        <v>407</v>
      </c>
      <c r="B2580" s="16"/>
      <c r="C2580" s="34"/>
      <c r="D2580" s="34"/>
      <c r="E2580" s="34"/>
      <c r="F2580" s="148"/>
      <c r="G2580" s="21"/>
      <c r="H2580" s="91"/>
      <c r="I2580" s="18"/>
      <c r="J2580" s="18"/>
      <c r="K2580" s="18"/>
      <c r="L2580" s="18"/>
      <c r="M2580" s="18"/>
      <c r="N2580" s="18"/>
      <c r="O2580" s="70"/>
      <c r="P2580" s="70"/>
      <c r="Q2580" s="70"/>
    </row>
    <row r="2581" spans="1:17" s="146" customFormat="1" x14ac:dyDescent="0.25">
      <c r="A2581" s="32" t="s">
        <v>409</v>
      </c>
      <c r="B2581" s="16"/>
      <c r="C2581" s="34"/>
      <c r="D2581" s="34"/>
      <c r="E2581" s="34"/>
      <c r="F2581" s="148">
        <v>0.7</v>
      </c>
      <c r="G2581" s="150"/>
      <c r="H2581" s="91"/>
      <c r="I2581" s="18">
        <f>ROUND($F2581*D2581,0)</f>
        <v>0</v>
      </c>
      <c r="J2581" s="18"/>
      <c r="K2581" s="18"/>
      <c r="L2581" s="18"/>
      <c r="M2581" s="18"/>
      <c r="N2581" s="18"/>
      <c r="O2581" s="70"/>
      <c r="P2581" s="70"/>
      <c r="Q2581" s="70"/>
    </row>
    <row r="2582" spans="1:17" s="146" customFormat="1" x14ac:dyDescent="0.25">
      <c r="A2582" s="32" t="s">
        <v>410</v>
      </c>
      <c r="B2582" s="16"/>
      <c r="C2582" s="34"/>
      <c r="D2582" s="34"/>
      <c r="E2582" s="34"/>
      <c r="F2582" s="148">
        <v>0.45</v>
      </c>
      <c r="G2582" s="150"/>
      <c r="H2582" s="91"/>
      <c r="I2582" s="18">
        <f>ROUND($F2582*D2582,0)</f>
        <v>0</v>
      </c>
      <c r="J2582" s="18"/>
      <c r="K2582" s="18"/>
      <c r="L2582" s="18"/>
      <c r="M2582" s="18"/>
      <c r="N2582" s="18"/>
      <c r="O2582" s="70"/>
      <c r="P2582" s="70"/>
      <c r="Q2582" s="70"/>
    </row>
    <row r="2583" spans="1:17" s="146" customFormat="1" x14ac:dyDescent="0.25">
      <c r="A2583" s="32" t="s">
        <v>408</v>
      </c>
      <c r="B2583" s="16"/>
      <c r="C2583" s="34"/>
      <c r="D2583" s="34"/>
      <c r="E2583" s="34"/>
      <c r="F2583" s="149"/>
      <c r="G2583" s="16"/>
      <c r="H2583" s="18"/>
      <c r="I2583" s="18"/>
      <c r="J2583" s="16"/>
      <c r="K2583" s="16"/>
      <c r="L2583" s="16"/>
      <c r="M2583" s="16"/>
      <c r="N2583" s="18"/>
      <c r="O2583" s="69"/>
      <c r="P2583" s="69"/>
      <c r="Q2583" s="70"/>
    </row>
    <row r="2584" spans="1:17" s="146" customFormat="1" x14ac:dyDescent="0.25">
      <c r="A2584" s="32" t="s">
        <v>409</v>
      </c>
      <c r="B2584" s="16"/>
      <c r="C2584" s="34">
        <v>0</v>
      </c>
      <c r="D2584" s="34">
        <v>649010.38571006362</v>
      </c>
      <c r="E2584" s="34"/>
      <c r="F2584" s="148">
        <v>0.66</v>
      </c>
      <c r="G2584" s="21"/>
      <c r="H2584" s="18">
        <f t="shared" ref="H2584:H2585" si="378">ROUND($F2584*C2584,0)</f>
        <v>0</v>
      </c>
      <c r="I2584" s="18">
        <f>ROUND($F2584*D2584,0)</f>
        <v>428347</v>
      </c>
      <c r="J2584" s="18"/>
      <c r="K2584" s="18"/>
      <c r="L2584" s="18"/>
      <c r="M2584" s="18"/>
      <c r="N2584" s="18"/>
      <c r="O2584" s="70"/>
      <c r="P2584" s="70"/>
      <c r="Q2584" s="70"/>
    </row>
    <row r="2585" spans="1:17" s="146" customFormat="1" x14ac:dyDescent="0.25">
      <c r="A2585" s="32" t="s">
        <v>411</v>
      </c>
      <c r="B2585" s="16"/>
      <c r="C2585" s="34">
        <v>249715</v>
      </c>
      <c r="D2585" s="34">
        <v>803981.39087577863</v>
      </c>
      <c r="E2585" s="34"/>
      <c r="F2585" s="148">
        <v>0.41</v>
      </c>
      <c r="G2585" s="21"/>
      <c r="H2585" s="18">
        <f t="shared" si="378"/>
        <v>102383</v>
      </c>
      <c r="I2585" s="18">
        <f>ROUND($F2585*D2585,0)</f>
        <v>329632</v>
      </c>
      <c r="J2585" s="18"/>
      <c r="K2585" s="18"/>
      <c r="L2585" s="18"/>
      <c r="M2585" s="18"/>
      <c r="N2585" s="18"/>
      <c r="O2585" s="70"/>
      <c r="P2585" s="70"/>
      <c r="Q2585" s="70"/>
    </row>
    <row r="2586" spans="1:17" s="146" customFormat="1" x14ac:dyDescent="0.25">
      <c r="A2586" s="32" t="s">
        <v>412</v>
      </c>
      <c r="B2586" s="16"/>
      <c r="C2586" s="34">
        <v>24611000</v>
      </c>
      <c r="D2586" s="34">
        <v>172556856.82849827</v>
      </c>
      <c r="E2586" s="34"/>
      <c r="F2586" s="152">
        <v>5.7290000000000001</v>
      </c>
      <c r="G2586" s="153" t="s">
        <v>18</v>
      </c>
      <c r="H2586" s="18">
        <f t="shared" ref="H2586:I2586" si="379">ROUND($F2586*C2586/100,0)</f>
        <v>1409964</v>
      </c>
      <c r="I2586" s="18">
        <f t="shared" si="379"/>
        <v>9885782</v>
      </c>
      <c r="J2586" s="18"/>
      <c r="K2586" s="152"/>
      <c r="L2586" s="152">
        <f>F2586</f>
        <v>5.7290000000000001</v>
      </c>
      <c r="M2586" s="153" t="s">
        <v>18</v>
      </c>
      <c r="N2586" s="18">
        <f>ROUND($D2586*L2586/100,0)</f>
        <v>9885782</v>
      </c>
      <c r="O2586" s="229"/>
      <c r="P2586" s="230"/>
      <c r="Q2586" s="70"/>
    </row>
    <row r="2587" spans="1:17" s="16" customFormat="1" x14ac:dyDescent="0.25">
      <c r="A2587" s="32" t="s">
        <v>328</v>
      </c>
      <c r="C2587" s="90"/>
      <c r="D2587" s="154">
        <v>172556856.82849827</v>
      </c>
      <c r="E2587" s="90"/>
      <c r="F2587" s="104"/>
      <c r="G2587" s="104"/>
      <c r="H2587" s="96">
        <f>SUM(H2543:H2586)</f>
        <v>1672391</v>
      </c>
      <c r="I2587" s="96">
        <f>SUM(I2543:I2586)</f>
        <v>11605048</v>
      </c>
      <c r="J2587" s="18"/>
      <c r="K2587" s="18"/>
      <c r="L2587" s="18"/>
      <c r="M2587" s="18"/>
      <c r="N2587" s="96">
        <f>SUM(N2543:N2586)</f>
        <v>11901211</v>
      </c>
      <c r="O2587" s="70"/>
      <c r="P2587" s="70"/>
      <c r="Q2587" s="231"/>
    </row>
    <row r="2588" spans="1:17" s="16" customFormat="1" x14ac:dyDescent="0.25">
      <c r="A2588" s="155" t="s">
        <v>382</v>
      </c>
      <c r="C2588" s="34"/>
      <c r="D2588" s="34"/>
      <c r="H2588" s="18"/>
      <c r="I2588" s="18"/>
      <c r="N2588" s="18"/>
      <c r="O2588" s="69"/>
      <c r="P2588" s="69"/>
      <c r="Q2588" s="70"/>
    </row>
    <row r="2589" spans="1:17" s="16" customFormat="1" x14ac:dyDescent="0.25">
      <c r="A2589" s="42" t="s">
        <v>384</v>
      </c>
      <c r="C2589" s="34"/>
      <c r="D2589" s="34"/>
      <c r="E2589" s="34"/>
      <c r="F2589" s="103"/>
      <c r="G2589" s="103"/>
      <c r="H2589" s="18"/>
      <c r="I2589" s="18"/>
      <c r="J2589" s="18"/>
      <c r="K2589" s="18"/>
      <c r="L2589" s="18"/>
      <c r="M2589" s="18"/>
      <c r="N2589" s="18"/>
      <c r="O2589" s="70"/>
      <c r="P2589" s="70"/>
      <c r="Q2589" s="70"/>
    </row>
    <row r="2590" spans="1:17" s="16" customFormat="1" x14ac:dyDescent="0.25">
      <c r="A2590" s="32" t="s">
        <v>81</v>
      </c>
      <c r="C2590" s="34">
        <v>271679.46396396402</v>
      </c>
      <c r="D2590" s="34">
        <v>41882.545256487327</v>
      </c>
      <c r="E2590" s="34"/>
      <c r="F2590" s="103">
        <v>2.2200000000000002</v>
      </c>
      <c r="G2590" s="103"/>
      <c r="H2590" s="18">
        <f t="shared" ref="H2590:I2598" si="380">ROUND($F2590*C2590,0)</f>
        <v>603128</v>
      </c>
      <c r="I2590" s="18">
        <f t="shared" si="380"/>
        <v>92979</v>
      </c>
      <c r="J2590" s="18"/>
      <c r="K2590" s="103"/>
      <c r="L2590" s="103">
        <f t="shared" ref="L2590:L2596" si="381">L1480</f>
        <v>2.2799999999999998</v>
      </c>
      <c r="M2590" s="103"/>
      <c r="N2590" s="156">
        <f>ROUND($D2590*L2590,0)</f>
        <v>95492</v>
      </c>
      <c r="O2590" s="232"/>
      <c r="P2590" s="232"/>
      <c r="Q2590" s="233"/>
    </row>
    <row r="2591" spans="1:17" s="16" customFormat="1" x14ac:dyDescent="0.25">
      <c r="A2591" s="19" t="s">
        <v>176</v>
      </c>
      <c r="C2591" s="6">
        <v>113286.1768593625</v>
      </c>
      <c r="D2591" s="6">
        <v>15180.02958676651</v>
      </c>
      <c r="E2591" s="34"/>
      <c r="F2591" s="103"/>
      <c r="G2591" s="103"/>
      <c r="H2591" s="18"/>
      <c r="I2591" s="18"/>
      <c r="J2591" s="18"/>
      <c r="K2591" s="103"/>
      <c r="L2591" s="103">
        <f t="shared" si="381"/>
        <v>14.33</v>
      </c>
      <c r="M2591" s="103"/>
      <c r="N2591" s="7">
        <f>ROUND($D2591*L2591,0)</f>
        <v>217530</v>
      </c>
      <c r="O2591" s="232"/>
      <c r="P2591" s="232"/>
      <c r="Q2591" s="54"/>
    </row>
    <row r="2592" spans="1:17" s="16" customFormat="1" x14ac:dyDescent="0.25">
      <c r="A2592" s="19" t="s">
        <v>177</v>
      </c>
      <c r="C2592" s="6">
        <v>147021.2356670486</v>
      </c>
      <c r="D2592" s="6">
        <v>26325.06937362958</v>
      </c>
      <c r="E2592" s="34"/>
      <c r="F2592" s="103"/>
      <c r="G2592" s="103"/>
      <c r="H2592" s="18"/>
      <c r="I2592" s="18"/>
      <c r="J2592" s="18"/>
      <c r="K2592" s="103"/>
      <c r="L2592" s="103">
        <f t="shared" si="381"/>
        <v>12.68</v>
      </c>
      <c r="M2592" s="103"/>
      <c r="N2592" s="7">
        <f>ROUND($D2592*L2592,0)</f>
        <v>333802</v>
      </c>
      <c r="O2592" s="232"/>
      <c r="P2592" s="232"/>
      <c r="Q2592" s="54"/>
    </row>
    <row r="2593" spans="1:17" s="16" customFormat="1" x14ac:dyDescent="0.25">
      <c r="A2593" s="19" t="s">
        <v>17</v>
      </c>
      <c r="C2593" s="6">
        <v>13810694.572759079</v>
      </c>
      <c r="D2593" s="6">
        <v>4703542.3042796534</v>
      </c>
      <c r="E2593" s="34"/>
      <c r="F2593" s="152"/>
      <c r="G2593" s="153"/>
      <c r="H2593" s="18"/>
      <c r="I2593" s="18"/>
      <c r="J2593" s="18"/>
      <c r="K2593" s="152"/>
      <c r="L2593" s="152">
        <f t="shared" si="381"/>
        <v>5.1477000000000004</v>
      </c>
      <c r="M2593" s="153" t="s">
        <v>18</v>
      </c>
      <c r="N2593" s="7">
        <f>ROUND($D2593*L2593/100,0)</f>
        <v>242124</v>
      </c>
      <c r="O2593" s="229"/>
      <c r="P2593" s="230"/>
      <c r="Q2593" s="54"/>
    </row>
    <row r="2594" spans="1:17" s="16" customFormat="1" x14ac:dyDescent="0.25">
      <c r="A2594" s="19" t="s">
        <v>178</v>
      </c>
      <c r="C2594" s="6">
        <v>19233159.527981713</v>
      </c>
      <c r="D2594" s="6">
        <v>4209024.1937161162</v>
      </c>
      <c r="E2594" s="34"/>
      <c r="F2594" s="152"/>
      <c r="G2594" s="153"/>
      <c r="H2594" s="18"/>
      <c r="I2594" s="18"/>
      <c r="J2594" s="18"/>
      <c r="K2594" s="152"/>
      <c r="L2594" s="152">
        <f t="shared" si="381"/>
        <v>4.5555000000000003</v>
      </c>
      <c r="M2594" s="153" t="s">
        <v>18</v>
      </c>
      <c r="N2594" s="7">
        <f>ROUND($D2594*L2594/100,0)</f>
        <v>191742</v>
      </c>
      <c r="O2594" s="229"/>
      <c r="P2594" s="230"/>
      <c r="Q2594" s="54"/>
    </row>
    <row r="2595" spans="1:17" s="16" customFormat="1" x14ac:dyDescent="0.25">
      <c r="A2595" s="19" t="s">
        <v>19</v>
      </c>
      <c r="C2595" s="6">
        <v>42155021.54351145</v>
      </c>
      <c r="D2595" s="6">
        <v>6552516.860153473</v>
      </c>
      <c r="E2595" s="34"/>
      <c r="F2595" s="152"/>
      <c r="G2595" s="153"/>
      <c r="H2595" s="18"/>
      <c r="I2595" s="18"/>
      <c r="J2595" s="18"/>
      <c r="K2595" s="152"/>
      <c r="L2595" s="152">
        <f t="shared" si="381"/>
        <v>2.6164999999999998</v>
      </c>
      <c r="M2595" s="153" t="s">
        <v>18</v>
      </c>
      <c r="N2595" s="7">
        <f>ROUND($D2595*L2595/100,0)</f>
        <v>171447</v>
      </c>
      <c r="O2595" s="229"/>
      <c r="P2595" s="230"/>
      <c r="Q2595" s="54"/>
    </row>
    <row r="2596" spans="1:17" s="16" customFormat="1" x14ac:dyDescent="0.25">
      <c r="A2596" s="19" t="s">
        <v>179</v>
      </c>
      <c r="C2596" s="6">
        <v>79802106.355747759</v>
      </c>
      <c r="D2596" s="6">
        <v>8628049.8133524694</v>
      </c>
      <c r="E2596" s="34"/>
      <c r="F2596" s="157"/>
      <c r="G2596" s="153"/>
      <c r="H2596" s="158"/>
      <c r="I2596" s="158"/>
      <c r="J2596" s="18"/>
      <c r="K2596" s="157"/>
      <c r="L2596" s="157">
        <f t="shared" si="381"/>
        <v>2.3155000000000001</v>
      </c>
      <c r="M2596" s="153" t="s">
        <v>18</v>
      </c>
      <c r="N2596" s="7">
        <f>ROUND($D2596*L2596/100,0)</f>
        <v>199782</v>
      </c>
      <c r="O2596" s="234"/>
      <c r="P2596" s="230"/>
      <c r="Q2596" s="54"/>
    </row>
    <row r="2597" spans="1:17" s="16" customFormat="1" x14ac:dyDescent="0.25">
      <c r="A2597" s="32" t="s">
        <v>180</v>
      </c>
      <c r="C2597" s="34">
        <v>139613</v>
      </c>
      <c r="D2597" s="34">
        <v>18707.749960776273</v>
      </c>
      <c r="E2597" s="34"/>
      <c r="F2597" s="103">
        <v>13.96</v>
      </c>
      <c r="G2597" s="103"/>
      <c r="H2597" s="18">
        <f t="shared" si="380"/>
        <v>1948997</v>
      </c>
      <c r="I2597" s="18">
        <f t="shared" si="380"/>
        <v>261160</v>
      </c>
      <c r="J2597" s="18"/>
      <c r="K2597" s="18"/>
      <c r="L2597" s="18"/>
      <c r="M2597" s="87"/>
      <c r="N2597" s="18"/>
      <c r="O2597" s="70"/>
      <c r="P2597" s="235"/>
      <c r="Q2597" s="70"/>
    </row>
    <row r="2598" spans="1:17" s="16" customFormat="1" x14ac:dyDescent="0.25">
      <c r="A2598" s="32" t="s">
        <v>181</v>
      </c>
      <c r="C2598" s="34">
        <v>129427.46673706399</v>
      </c>
      <c r="D2598" s="34">
        <v>23174.795295711054</v>
      </c>
      <c r="E2598" s="34"/>
      <c r="F2598" s="103">
        <v>9.4700000000000006</v>
      </c>
      <c r="G2598" s="103"/>
      <c r="H2598" s="18">
        <f t="shared" si="380"/>
        <v>1225678</v>
      </c>
      <c r="I2598" s="18">
        <f t="shared" si="380"/>
        <v>219465</v>
      </c>
      <c r="J2598" s="18"/>
      <c r="K2598" s="18"/>
      <c r="L2598" s="18"/>
      <c r="M2598" s="87"/>
      <c r="N2598" s="18"/>
      <c r="O2598" s="70"/>
      <c r="P2598" s="235"/>
      <c r="Q2598" s="70"/>
    </row>
    <row r="2599" spans="1:17" s="16" customFormat="1" x14ac:dyDescent="0.25">
      <c r="A2599" s="32" t="s">
        <v>187</v>
      </c>
      <c r="C2599" s="34">
        <v>19968000</v>
      </c>
      <c r="D2599" s="34">
        <v>6800550.9959730338</v>
      </c>
      <c r="E2599" s="34"/>
      <c r="F2599" s="152">
        <v>4.6531000000000002</v>
      </c>
      <c r="G2599" s="153" t="s">
        <v>18</v>
      </c>
      <c r="H2599" s="18">
        <f t="shared" ref="H2599:I2601" si="382">ROUND($F2599*C2599/100,0)</f>
        <v>929131</v>
      </c>
      <c r="I2599" s="18">
        <f t="shared" si="382"/>
        <v>316436</v>
      </c>
      <c r="J2599" s="18"/>
      <c r="K2599" s="18"/>
      <c r="L2599" s="18"/>
      <c r="M2599" s="87"/>
      <c r="N2599" s="18"/>
      <c r="O2599" s="70"/>
      <c r="P2599" s="235"/>
      <c r="Q2599" s="70"/>
    </row>
    <row r="2600" spans="1:17" s="16" customFormat="1" x14ac:dyDescent="0.25">
      <c r="A2600" s="32" t="s">
        <v>188</v>
      </c>
      <c r="C2600" s="34">
        <v>38495296</v>
      </c>
      <c r="D2600" s="34">
        <v>8424389.7614707742</v>
      </c>
      <c r="E2600" s="34"/>
      <c r="F2600" s="152">
        <v>3.4988999999999999</v>
      </c>
      <c r="G2600" s="153" t="s">
        <v>18</v>
      </c>
      <c r="H2600" s="18">
        <f t="shared" si="382"/>
        <v>1346912</v>
      </c>
      <c r="I2600" s="18">
        <f t="shared" si="382"/>
        <v>294761</v>
      </c>
      <c r="J2600" s="18"/>
      <c r="K2600" s="18"/>
      <c r="L2600" s="18"/>
      <c r="M2600" s="87"/>
      <c r="N2600" s="18"/>
      <c r="O2600" s="70"/>
      <c r="P2600" s="235"/>
      <c r="Q2600" s="70"/>
    </row>
    <row r="2601" spans="1:17" s="16" customFormat="1" x14ac:dyDescent="0.25">
      <c r="A2601" s="32" t="s">
        <v>41</v>
      </c>
      <c r="C2601" s="159">
        <v>96537686</v>
      </c>
      <c r="D2601" s="159">
        <v>8868192.4140579049</v>
      </c>
      <c r="E2601" s="34"/>
      <c r="F2601" s="157">
        <v>2.9224999999999999</v>
      </c>
      <c r="G2601" s="153" t="s">
        <v>18</v>
      </c>
      <c r="H2601" s="158">
        <f t="shared" si="382"/>
        <v>2821314</v>
      </c>
      <c r="I2601" s="158">
        <f t="shared" si="382"/>
        <v>259173</v>
      </c>
      <c r="J2601" s="18"/>
      <c r="K2601" s="18"/>
      <c r="L2601" s="18"/>
      <c r="M2601" s="87"/>
      <c r="N2601" s="18"/>
      <c r="O2601" s="70"/>
      <c r="P2601" s="235"/>
      <c r="Q2601" s="70"/>
    </row>
    <row r="2602" spans="1:17" x14ac:dyDescent="0.25">
      <c r="A2602" s="19" t="s">
        <v>34</v>
      </c>
      <c r="F2602" s="144">
        <v>-3.0700000000000002E-2</v>
      </c>
      <c r="G2602" s="24"/>
      <c r="H2602" s="145">
        <f>SUM(H2597:H2601)*$F2602</f>
        <v>-253951.3824</v>
      </c>
      <c r="I2602" s="145">
        <f>SUM(I2597:I2601)*$F2602</f>
        <v>-41475.546500000004</v>
      </c>
      <c r="K2602" s="93" t="str">
        <f>$K$43</f>
        <v>TAA 1 (1/1/2021)</v>
      </c>
      <c r="L2602" s="23">
        <f>L1493</f>
        <v>-2.4299999999999999E-2</v>
      </c>
      <c r="M2602" s="24"/>
      <c r="N2602" s="7">
        <f>L2602*SUM(N2591:N2596)</f>
        <v>-32961.176099999997</v>
      </c>
      <c r="O2602" s="65"/>
      <c r="P2602" s="57"/>
    </row>
    <row r="2603" spans="1:17" x14ac:dyDescent="0.25">
      <c r="A2603" s="19"/>
      <c r="F2603" s="23"/>
      <c r="G2603" s="24"/>
      <c r="K2603" s="93" t="str">
        <f>$K$44</f>
        <v>TAA 2 (1/1/2022)</v>
      </c>
      <c r="L2603" s="23">
        <f>L1494</f>
        <v>-1.21E-2</v>
      </c>
      <c r="M2603" s="24"/>
      <c r="N2603" s="7">
        <f>L2603*SUM(N2591:N2596)</f>
        <v>-16412.7667</v>
      </c>
      <c r="O2603" s="65"/>
      <c r="P2603" s="57"/>
    </row>
    <row r="2604" spans="1:17" s="16" customFormat="1" x14ac:dyDescent="0.25">
      <c r="A2604" s="32" t="s">
        <v>328</v>
      </c>
      <c r="C2604" s="34"/>
      <c r="D2604" s="34"/>
      <c r="E2604" s="34"/>
      <c r="F2604" s="152"/>
      <c r="G2604" s="153"/>
      <c r="H2604" s="18">
        <f>SUM(H2590:H2602)</f>
        <v>8621208.6175999995</v>
      </c>
      <c r="I2604" s="18">
        <f>SUM(I2590:I2602)</f>
        <v>1402498.4535000001</v>
      </c>
      <c r="J2604" s="18"/>
      <c r="K2604" s="18"/>
      <c r="L2604" s="18"/>
      <c r="M2604" s="18"/>
      <c r="N2604" s="18">
        <f>SUM(N2590:N2596)</f>
        <v>1451919</v>
      </c>
      <c r="O2604" s="70"/>
      <c r="P2604" s="70"/>
      <c r="Q2604" s="70"/>
    </row>
    <row r="2605" spans="1:17" x14ac:dyDescent="0.25">
      <c r="A2605" s="5" t="s">
        <v>164</v>
      </c>
      <c r="C2605" s="121">
        <v>952892</v>
      </c>
      <c r="D2605" s="121">
        <v>0</v>
      </c>
      <c r="F2605" s="100"/>
      <c r="G2605" s="100"/>
      <c r="H2605" s="37">
        <v>60349</v>
      </c>
      <c r="I2605" s="37">
        <v>0</v>
      </c>
      <c r="K2605" s="100"/>
      <c r="L2605" s="100"/>
      <c r="M2605" s="100"/>
      <c r="N2605" s="37"/>
      <c r="O2605" s="207"/>
      <c r="P2605" s="207"/>
      <c r="Q2605" s="64"/>
    </row>
    <row r="2606" spans="1:17" s="16" customFormat="1" ht="16.5" thickBot="1" x14ac:dyDescent="0.3">
      <c r="A2606" s="32" t="s">
        <v>385</v>
      </c>
      <c r="C2606" s="160">
        <v>180564874</v>
      </c>
      <c r="D2606" s="160">
        <v>196649989.99999997</v>
      </c>
      <c r="E2606" s="34"/>
      <c r="F2606" s="97"/>
      <c r="H2606" s="98">
        <f>H2587+H2604+H2605</f>
        <v>10353948.6176</v>
      </c>
      <c r="I2606" s="98">
        <f>I2587+I2604+I2605</f>
        <v>13007546.453500001</v>
      </c>
      <c r="J2606" s="18"/>
      <c r="K2606" s="18"/>
      <c r="L2606" s="18"/>
      <c r="M2606" s="18"/>
      <c r="N2606" s="98">
        <f>N2587+N2604</f>
        <v>13353130</v>
      </c>
      <c r="O2606" s="70"/>
      <c r="P2606" s="70"/>
      <c r="Q2606" s="236"/>
    </row>
    <row r="2607" spans="1:17" s="16" customFormat="1" ht="16.5" thickTop="1" x14ac:dyDescent="0.25">
      <c r="C2607" s="34"/>
      <c r="D2607" s="34"/>
      <c r="H2607" s="18"/>
      <c r="I2607" s="18"/>
      <c r="N2607" s="18"/>
      <c r="O2607" s="69"/>
      <c r="P2607" s="69"/>
      <c r="Q2607" s="70"/>
    </row>
    <row r="2608" spans="1:17" s="16" customFormat="1" x14ac:dyDescent="0.25">
      <c r="A2608" s="42" t="s">
        <v>413</v>
      </c>
      <c r="C2608" s="34"/>
      <c r="D2608" s="34"/>
      <c r="E2608" s="34"/>
      <c r="F2608" s="34"/>
      <c r="G2608" s="104"/>
      <c r="H2608" s="18"/>
      <c r="I2608" s="18"/>
      <c r="N2608" s="18"/>
      <c r="O2608" s="69"/>
      <c r="P2608" s="69"/>
      <c r="Q2608" s="70"/>
    </row>
    <row r="2609" spans="1:17" s="16" customFormat="1" x14ac:dyDescent="0.25">
      <c r="A2609" s="19" t="s">
        <v>414</v>
      </c>
      <c r="C2609" s="34"/>
      <c r="D2609" s="34">
        <v>12</v>
      </c>
      <c r="E2609" s="34"/>
      <c r="F2609" s="34"/>
      <c r="G2609" s="104"/>
      <c r="H2609" s="18"/>
      <c r="I2609" s="18"/>
      <c r="N2609" s="18"/>
      <c r="O2609" s="69"/>
      <c r="P2609" s="69"/>
      <c r="Q2609" s="70"/>
    </row>
    <row r="2610" spans="1:17" s="16" customFormat="1" ht="16.5" thickBot="1" x14ac:dyDescent="0.3">
      <c r="A2610" s="32" t="s">
        <v>415</v>
      </c>
      <c r="C2610" s="34"/>
      <c r="D2610" s="160">
        <v>242230000</v>
      </c>
      <c r="E2610" s="34"/>
      <c r="F2610" s="34"/>
      <c r="G2610" s="104"/>
      <c r="H2610" s="18"/>
      <c r="I2610" s="94">
        <v>13027758.191234671</v>
      </c>
      <c r="J2610" s="18"/>
      <c r="K2610" s="152"/>
      <c r="L2610" s="99">
        <f>ROUND(N2610/D2610*100,4)</f>
        <v>5.3783000000000003</v>
      </c>
      <c r="M2610" s="26" t="s">
        <v>18</v>
      </c>
      <c r="N2610" s="94">
        <f>I2610</f>
        <v>13027758.191234671</v>
      </c>
      <c r="O2610" s="206"/>
      <c r="P2610" s="59"/>
      <c r="Q2610" s="237"/>
    </row>
    <row r="2611" spans="1:17" ht="16.5" thickTop="1" x14ac:dyDescent="0.25"/>
    <row r="2612" spans="1:17" x14ac:dyDescent="0.25">
      <c r="A2612" s="15" t="s">
        <v>416</v>
      </c>
    </row>
    <row r="2613" spans="1:17" x14ac:dyDescent="0.25">
      <c r="A2613" s="19" t="s">
        <v>417</v>
      </c>
      <c r="C2613" s="6">
        <v>12</v>
      </c>
      <c r="D2613" s="6">
        <v>12</v>
      </c>
      <c r="F2613" s="103">
        <v>235.66</v>
      </c>
      <c r="G2613" s="100"/>
      <c r="H2613" s="7">
        <f t="shared" ref="H2613:I2616" si="383">ROUND($F2613*C2613,0)</f>
        <v>2828</v>
      </c>
      <c r="I2613" s="7">
        <f t="shared" si="383"/>
        <v>2828</v>
      </c>
      <c r="K2613" s="103"/>
      <c r="L2613" s="103">
        <v>232</v>
      </c>
      <c r="M2613" s="100"/>
      <c r="N2613" s="7">
        <f>ROUND($D2613*L2613,0)</f>
        <v>2784</v>
      </c>
      <c r="O2613" s="232"/>
      <c r="P2613" s="207"/>
    </row>
    <row r="2614" spans="1:17" x14ac:dyDescent="0.25">
      <c r="A2614" s="19" t="s">
        <v>418</v>
      </c>
      <c r="C2614" s="6">
        <v>981560</v>
      </c>
      <c r="D2614" s="6">
        <v>1004562</v>
      </c>
      <c r="F2614" s="103">
        <v>1.95</v>
      </c>
      <c r="G2614" s="100"/>
      <c r="H2614" s="7">
        <f t="shared" si="383"/>
        <v>1914042</v>
      </c>
      <c r="I2614" s="7">
        <f t="shared" si="383"/>
        <v>1958896</v>
      </c>
      <c r="K2614" s="103"/>
      <c r="L2614" s="103">
        <v>1.92</v>
      </c>
      <c r="M2614" s="100"/>
      <c r="N2614" s="7">
        <f>ROUND($D2614*L2614,0)</f>
        <v>1928759</v>
      </c>
      <c r="O2614" s="232"/>
      <c r="P2614" s="207"/>
    </row>
    <row r="2615" spans="1:17" x14ac:dyDescent="0.25">
      <c r="A2615" s="19" t="s">
        <v>419</v>
      </c>
      <c r="C2615" s="6">
        <v>373210</v>
      </c>
      <c r="D2615" s="6">
        <v>381956</v>
      </c>
      <c r="F2615" s="103">
        <v>13.15</v>
      </c>
      <c r="G2615" s="100"/>
      <c r="H2615" s="7">
        <f t="shared" si="383"/>
        <v>4907712</v>
      </c>
      <c r="I2615" s="7">
        <f t="shared" si="383"/>
        <v>5022721</v>
      </c>
      <c r="K2615" s="103"/>
      <c r="L2615" s="103">
        <v>12.93</v>
      </c>
      <c r="M2615" s="100"/>
      <c r="N2615" s="7">
        <f>ROUND($D2615*L2615,0)</f>
        <v>4938691</v>
      </c>
      <c r="O2615" s="232"/>
      <c r="P2615" s="207"/>
    </row>
    <row r="2616" spans="1:17" x14ac:dyDescent="0.25">
      <c r="A2616" s="19" t="s">
        <v>420</v>
      </c>
      <c r="C2616" s="6">
        <v>608350</v>
      </c>
      <c r="D2616" s="6">
        <v>622606</v>
      </c>
      <c r="F2616" s="103">
        <v>8.81</v>
      </c>
      <c r="G2616" s="100"/>
      <c r="H2616" s="7">
        <f t="shared" si="383"/>
        <v>5359564</v>
      </c>
      <c r="I2616" s="7">
        <f t="shared" si="383"/>
        <v>5485159</v>
      </c>
      <c r="K2616" s="103"/>
      <c r="L2616" s="103">
        <v>8.67</v>
      </c>
      <c r="M2616" s="100"/>
      <c r="N2616" s="7">
        <f>ROUND($D2616*L2616,0)</f>
        <v>5397994</v>
      </c>
      <c r="O2616" s="232"/>
      <c r="P2616" s="207"/>
    </row>
    <row r="2617" spans="1:17" x14ac:dyDescent="0.25">
      <c r="A2617" s="19" t="s">
        <v>421</v>
      </c>
      <c r="C2617" s="6">
        <v>98922553</v>
      </c>
      <c r="D2617" s="6">
        <v>101240704</v>
      </c>
      <c r="F2617" s="99">
        <v>4.47</v>
      </c>
      <c r="G2617" s="26" t="s">
        <v>18</v>
      </c>
      <c r="H2617" s="7">
        <f t="shared" ref="H2617:I2620" si="384">ROUND($F2617*C2617/100,0)</f>
        <v>4421838</v>
      </c>
      <c r="I2617" s="7">
        <f t="shared" si="384"/>
        <v>4525459</v>
      </c>
      <c r="K2617" s="99"/>
      <c r="L2617" s="99">
        <v>4.3940000000000001</v>
      </c>
      <c r="M2617" s="26" t="s">
        <v>18</v>
      </c>
      <c r="N2617" s="7">
        <f>ROUND($D2617*L2617/100,0)</f>
        <v>4448517</v>
      </c>
      <c r="O2617" s="206"/>
      <c r="P2617" s="59"/>
    </row>
    <row r="2618" spans="1:17" x14ac:dyDescent="0.25">
      <c r="A2618" s="19" t="s">
        <v>422</v>
      </c>
      <c r="C2618" s="6">
        <v>139678447</v>
      </c>
      <c r="D2618" s="6">
        <v>142951672</v>
      </c>
      <c r="F2618" s="99">
        <v>2.806</v>
      </c>
      <c r="G2618" s="26" t="s">
        <v>18</v>
      </c>
      <c r="H2618" s="7">
        <f t="shared" si="384"/>
        <v>3919377</v>
      </c>
      <c r="I2618" s="7">
        <f t="shared" si="384"/>
        <v>4011224</v>
      </c>
      <c r="K2618" s="99"/>
      <c r="L2618" s="99">
        <v>2.76</v>
      </c>
      <c r="M2618" s="26" t="s">
        <v>18</v>
      </c>
      <c r="N2618" s="7">
        <f>ROUND($D2618*L2618/100,0)</f>
        <v>3945466</v>
      </c>
      <c r="O2618" s="206"/>
      <c r="P2618" s="59"/>
    </row>
    <row r="2619" spans="1:17" x14ac:dyDescent="0.25">
      <c r="A2619" s="19" t="s">
        <v>423</v>
      </c>
      <c r="C2619" s="6">
        <v>164618614</v>
      </c>
      <c r="D2619" s="6">
        <v>168476287</v>
      </c>
      <c r="F2619" s="99">
        <v>3.3610000000000002</v>
      </c>
      <c r="G2619" s="26" t="s">
        <v>18</v>
      </c>
      <c r="H2619" s="7">
        <f t="shared" si="384"/>
        <v>5532832</v>
      </c>
      <c r="I2619" s="7">
        <f t="shared" si="384"/>
        <v>5662488</v>
      </c>
      <c r="K2619" s="99"/>
      <c r="L2619" s="99">
        <v>3.306</v>
      </c>
      <c r="M2619" s="26" t="s">
        <v>18</v>
      </c>
      <c r="N2619" s="7">
        <f>ROUND($D2619*L2619/100,0)</f>
        <v>5569826</v>
      </c>
      <c r="O2619" s="206"/>
      <c r="P2619" s="59"/>
    </row>
    <row r="2620" spans="1:17" x14ac:dyDescent="0.25">
      <c r="A2620" s="19" t="s">
        <v>424</v>
      </c>
      <c r="C2620" s="129">
        <v>199750386</v>
      </c>
      <c r="D2620" s="129">
        <v>204431337</v>
      </c>
      <c r="F2620" s="99">
        <v>2.806</v>
      </c>
      <c r="G2620" s="26" t="s">
        <v>18</v>
      </c>
      <c r="H2620" s="37">
        <f t="shared" si="384"/>
        <v>5604996</v>
      </c>
      <c r="I2620" s="37">
        <f t="shared" si="384"/>
        <v>5736343</v>
      </c>
      <c r="K2620" s="99"/>
      <c r="L2620" s="99">
        <v>2.76</v>
      </c>
      <c r="M2620" s="26" t="s">
        <v>18</v>
      </c>
      <c r="N2620" s="7">
        <f>ROUND($D2620*L2620/100,0)</f>
        <v>5642305</v>
      </c>
      <c r="O2620" s="206"/>
      <c r="P2620" s="59"/>
    </row>
    <row r="2621" spans="1:17" x14ac:dyDescent="0.25">
      <c r="A2621" s="19" t="s">
        <v>34</v>
      </c>
      <c r="F2621" s="144">
        <v>-3.3599999999999998E-2</v>
      </c>
      <c r="G2621" s="24"/>
      <c r="H2621" s="145">
        <f>SUM(H2615:H2620)*$F2621</f>
        <v>-999476.31839999999</v>
      </c>
      <c r="I2621" s="145">
        <f>SUM(I2615:I2620)*$F2621</f>
        <v>-1022898.0384</v>
      </c>
      <c r="K2621" s="93" t="str">
        <f>$K$43</f>
        <v>TAA 1 (1/1/2021)</v>
      </c>
      <c r="L2621" s="23">
        <v>-2.4199999999999999E-2</v>
      </c>
      <c r="M2621" s="24"/>
      <c r="N2621" s="7">
        <f>L2621*SUM(N2615:N2620)</f>
        <v>-724615.73580000002</v>
      </c>
      <c r="O2621" s="65"/>
      <c r="P2621" s="57"/>
    </row>
    <row r="2622" spans="1:17" x14ac:dyDescent="0.25">
      <c r="A2622" s="19"/>
      <c r="F2622" s="23"/>
      <c r="G2622" s="24"/>
      <c r="K2622" s="93" t="str">
        <f>$K$44</f>
        <v>TAA 2 (1/1/2022)</v>
      </c>
      <c r="L2622" s="23">
        <v>-1.21E-2</v>
      </c>
      <c r="M2622" s="24"/>
      <c r="N2622" s="7">
        <f>L2622*SUM(N2615:N2620)</f>
        <v>-362307.86790000001</v>
      </c>
      <c r="O2622" s="65"/>
      <c r="P2622" s="57"/>
    </row>
    <row r="2623" spans="1:17" ht="16.5" thickBot="1" x14ac:dyDescent="0.3">
      <c r="A2623" s="19" t="s">
        <v>36</v>
      </c>
      <c r="C2623" s="101">
        <v>602970000</v>
      </c>
      <c r="D2623" s="101">
        <v>617100000</v>
      </c>
      <c r="F2623" s="161"/>
      <c r="G2623" s="100"/>
      <c r="H2623" s="95">
        <f>SUM(H2613:H2621)</f>
        <v>30663712.681600001</v>
      </c>
      <c r="I2623" s="95">
        <f>SUM(I2613:I2621)</f>
        <v>31382219.961599998</v>
      </c>
      <c r="K2623" s="161"/>
      <c r="L2623" s="161"/>
      <c r="M2623" s="100"/>
      <c r="N2623" s="95">
        <f>SUM(N2613:N2620)</f>
        <v>31874342</v>
      </c>
      <c r="O2623" s="238"/>
      <c r="P2623" s="207"/>
      <c r="Q2623" s="208"/>
    </row>
    <row r="2624" spans="1:17" ht="16.5" thickTop="1" x14ac:dyDescent="0.25"/>
    <row r="2625" spans="1:17" x14ac:dyDescent="0.25">
      <c r="A2625" s="15" t="s">
        <v>425</v>
      </c>
      <c r="F2625" s="100"/>
      <c r="G2625" s="100"/>
      <c r="K2625" s="100"/>
      <c r="L2625" s="100"/>
      <c r="M2625" s="100"/>
      <c r="O2625" s="207"/>
      <c r="P2625" s="207"/>
    </row>
    <row r="2626" spans="1:17" x14ac:dyDescent="0.25">
      <c r="A2626" s="19" t="s">
        <v>68</v>
      </c>
      <c r="C2626" s="6">
        <v>12</v>
      </c>
      <c r="D2626" s="6">
        <v>12</v>
      </c>
    </row>
    <row r="2627" spans="1:17" x14ac:dyDescent="0.25">
      <c r="A2627" s="32" t="s">
        <v>187</v>
      </c>
      <c r="C2627" s="6">
        <v>65661217</v>
      </c>
      <c r="D2627" s="6">
        <v>57264151</v>
      </c>
      <c r="F2627" s="99">
        <v>6.68</v>
      </c>
      <c r="G2627" s="26" t="s">
        <v>18</v>
      </c>
      <c r="H2627" s="7">
        <f t="shared" ref="H2627:I2630" si="385">ROUND($F2627*C2627/100,0)</f>
        <v>4386169</v>
      </c>
      <c r="I2627" s="7">
        <f t="shared" si="385"/>
        <v>3825245</v>
      </c>
      <c r="K2627" s="99"/>
      <c r="L2627" s="99">
        <v>6.5679999999999996</v>
      </c>
      <c r="M2627" s="26" t="s">
        <v>18</v>
      </c>
      <c r="N2627" s="7">
        <f>ROUND($L2627*D2627/100,0)</f>
        <v>3761109</v>
      </c>
      <c r="O2627" s="206"/>
      <c r="P2627" s="59"/>
    </row>
    <row r="2628" spans="1:17" x14ac:dyDescent="0.25">
      <c r="A2628" s="32" t="s">
        <v>188</v>
      </c>
      <c r="C2628" s="6">
        <v>195234517</v>
      </c>
      <c r="D2628" s="6">
        <v>179663027</v>
      </c>
      <c r="F2628" s="99">
        <v>5.0229999999999997</v>
      </c>
      <c r="G2628" s="26" t="s">
        <v>18</v>
      </c>
      <c r="H2628" s="7">
        <f t="shared" si="385"/>
        <v>9806630</v>
      </c>
      <c r="I2628" s="7">
        <f t="shared" si="385"/>
        <v>9024474</v>
      </c>
      <c r="K2628" s="99"/>
      <c r="L2628" s="99">
        <v>4.9409999999999998</v>
      </c>
      <c r="M2628" s="26" t="s">
        <v>18</v>
      </c>
      <c r="N2628" s="7">
        <f>ROUND($L2628*D2628/100,0)</f>
        <v>8877150</v>
      </c>
      <c r="O2628" s="206"/>
      <c r="P2628" s="59"/>
    </row>
    <row r="2629" spans="1:17" x14ac:dyDescent="0.25">
      <c r="A2629" s="32" t="s">
        <v>26</v>
      </c>
      <c r="C2629" s="6">
        <v>274611200</v>
      </c>
      <c r="D2629" s="6">
        <v>239492625.9472512</v>
      </c>
      <c r="F2629" s="99">
        <v>4.1959999999999997</v>
      </c>
      <c r="G2629" s="26" t="s">
        <v>18</v>
      </c>
      <c r="H2629" s="7">
        <f t="shared" si="385"/>
        <v>11522686</v>
      </c>
      <c r="I2629" s="7">
        <f t="shared" si="385"/>
        <v>10049111</v>
      </c>
      <c r="K2629" s="99"/>
      <c r="L2629" s="99">
        <v>4.1280000000000001</v>
      </c>
      <c r="M2629" s="26" t="s">
        <v>18</v>
      </c>
      <c r="N2629" s="7">
        <f>ROUND($L2629*D2629/100,0)</f>
        <v>9886256</v>
      </c>
      <c r="O2629" s="206"/>
      <c r="P2629" s="59"/>
    </row>
    <row r="2630" spans="1:17" x14ac:dyDescent="0.25">
      <c r="A2630" s="32" t="s">
        <v>426</v>
      </c>
      <c r="C2630" s="129">
        <v>248886394</v>
      </c>
      <c r="D2630" s="129">
        <v>229035744.99930882</v>
      </c>
      <c r="F2630" s="99">
        <v>4.1959999999999997</v>
      </c>
      <c r="G2630" s="26" t="s">
        <v>18</v>
      </c>
      <c r="H2630" s="37">
        <f t="shared" si="385"/>
        <v>10443273</v>
      </c>
      <c r="I2630" s="37">
        <f t="shared" si="385"/>
        <v>9610340</v>
      </c>
      <c r="K2630" s="99"/>
      <c r="L2630" s="99">
        <f>L2629</f>
        <v>4.1280000000000001</v>
      </c>
      <c r="M2630" s="26" t="s">
        <v>18</v>
      </c>
      <c r="N2630" s="37">
        <f>ROUND($L2630*D2630/100,0)</f>
        <v>9454596</v>
      </c>
      <c r="O2630" s="206"/>
      <c r="P2630" s="59"/>
      <c r="Q2630" s="64"/>
    </row>
    <row r="2631" spans="1:17" x14ac:dyDescent="0.25">
      <c r="A2631" s="19" t="s">
        <v>34</v>
      </c>
      <c r="F2631" s="144">
        <v>-3.15E-2</v>
      </c>
      <c r="G2631" s="24"/>
      <c r="H2631" s="145">
        <f>SUM(H2627:H2630)*$F2631</f>
        <v>-1139000.8770000001</v>
      </c>
      <c r="I2631" s="145">
        <f>SUM(I2627:I2630)*$F2631</f>
        <v>-1024038.855</v>
      </c>
      <c r="K2631" s="93" t="str">
        <f>$K$43</f>
        <v>TAA 1 (1/1/2021)</v>
      </c>
      <c r="L2631" s="23">
        <v>-2.2800000000000001E-2</v>
      </c>
      <c r="M2631" s="24"/>
      <c r="N2631" s="7">
        <f>L2631*SUM(N2627:N2630)</f>
        <v>-729123.73080000002</v>
      </c>
      <c r="O2631" s="65"/>
      <c r="P2631" s="57"/>
    </row>
    <row r="2632" spans="1:17" x14ac:dyDescent="0.25">
      <c r="A2632" s="19"/>
      <c r="F2632" s="23"/>
      <c r="G2632" s="24"/>
      <c r="K2632" s="93" t="str">
        <f>$K$44</f>
        <v>TAA 2 (1/1/2022)</v>
      </c>
      <c r="L2632" s="23">
        <v>-1.14E-2</v>
      </c>
      <c r="M2632" s="24"/>
      <c r="N2632" s="7">
        <f>L2632*SUM(N2627:N2630)</f>
        <v>-364561.86540000001</v>
      </c>
      <c r="O2632" s="65"/>
      <c r="P2632" s="57"/>
    </row>
    <row r="2633" spans="1:17" ht="16.5" thickBot="1" x14ac:dyDescent="0.3">
      <c r="A2633" s="19" t="s">
        <v>36</v>
      </c>
      <c r="C2633" s="162">
        <v>784393328</v>
      </c>
      <c r="D2633" s="162">
        <v>705455548.94656003</v>
      </c>
      <c r="F2633" s="163"/>
      <c r="G2633" s="100"/>
      <c r="H2633" s="40">
        <f>SUM(H2627:H2631)</f>
        <v>35019757.123000003</v>
      </c>
      <c r="I2633" s="40">
        <f>SUM(I2627:I2631)</f>
        <v>31485131.145</v>
      </c>
      <c r="K2633" s="163"/>
      <c r="L2633" s="163"/>
      <c r="M2633" s="100"/>
      <c r="N2633" s="40">
        <f>SUM(N2627:N2630)</f>
        <v>31979111</v>
      </c>
      <c r="O2633" s="239"/>
      <c r="P2633" s="207"/>
      <c r="Q2633" s="67"/>
    </row>
    <row r="2634" spans="1:17" ht="16.5" thickTop="1" x14ac:dyDescent="0.25">
      <c r="A2634" s="19"/>
      <c r="F2634" s="132"/>
      <c r="G2634" s="132"/>
      <c r="K2634" s="132"/>
      <c r="L2634" s="132"/>
      <c r="M2634" s="132"/>
      <c r="O2634" s="132"/>
      <c r="P2634" s="132"/>
    </row>
    <row r="2635" spans="1:17" x14ac:dyDescent="0.25">
      <c r="A2635" s="15" t="s">
        <v>427</v>
      </c>
      <c r="F2635" s="100"/>
      <c r="G2635" s="100"/>
      <c r="K2635" s="100"/>
      <c r="L2635" s="100"/>
      <c r="M2635" s="100"/>
      <c r="O2635" s="207"/>
      <c r="P2635" s="207"/>
    </row>
    <row r="2636" spans="1:17" x14ac:dyDescent="0.25">
      <c r="A2636" s="19" t="s">
        <v>68</v>
      </c>
      <c r="C2636" s="6">
        <v>12</v>
      </c>
      <c r="D2636" s="6">
        <v>12</v>
      </c>
    </row>
    <row r="2637" spans="1:17" x14ac:dyDescent="0.25">
      <c r="A2637" s="19" t="s">
        <v>428</v>
      </c>
      <c r="C2637" s="6">
        <v>375537561</v>
      </c>
      <c r="D2637" s="6">
        <v>376680000</v>
      </c>
      <c r="F2637" s="99">
        <v>5.6154999999999999</v>
      </c>
      <c r="G2637" s="26" t="s">
        <v>18</v>
      </c>
      <c r="H2637" s="7">
        <v>21088466.710000001</v>
      </c>
      <c r="I2637" s="7">
        <v>22005408.239999995</v>
      </c>
      <c r="K2637" s="152"/>
      <c r="L2637" s="99">
        <f>ROUND(N2637/D2637*100,4)</f>
        <v>5.8418999999999999</v>
      </c>
      <c r="M2637" s="26" t="s">
        <v>18</v>
      </c>
      <c r="N2637" s="7">
        <f>I2637</f>
        <v>22005408.239999995</v>
      </c>
      <c r="O2637" s="206"/>
      <c r="P2637" s="59"/>
    </row>
    <row r="2638" spans="1:17" x14ac:dyDescent="0.25">
      <c r="A2638" s="19" t="s">
        <v>429</v>
      </c>
      <c r="F2638" s="99"/>
      <c r="G2638" s="26"/>
      <c r="K2638" s="99"/>
      <c r="L2638" s="99"/>
      <c r="M2638" s="26"/>
      <c r="O2638" s="206"/>
      <c r="P2638" s="59"/>
    </row>
    <row r="2639" spans="1:17" x14ac:dyDescent="0.25">
      <c r="A2639" s="19" t="s">
        <v>430</v>
      </c>
      <c r="C2639" s="6">
        <v>909325685</v>
      </c>
      <c r="D2639" s="6">
        <v>911946197</v>
      </c>
      <c r="F2639" s="99">
        <v>4.9291</v>
      </c>
      <c r="G2639" s="26" t="s">
        <v>18</v>
      </c>
      <c r="H2639" s="7">
        <v>44821227.529999994</v>
      </c>
      <c r="I2639" s="7">
        <v>40952184.777309686</v>
      </c>
      <c r="K2639" s="152"/>
      <c r="L2639" s="99">
        <f>ROUND(N2639/D2639*100,4)</f>
        <v>4.4905999999999997</v>
      </c>
      <c r="M2639" s="26" t="s">
        <v>18</v>
      </c>
      <c r="N2639" s="7">
        <f>I2639</f>
        <v>40952184.777309686</v>
      </c>
      <c r="O2639" s="206"/>
      <c r="P2639" s="59"/>
    </row>
    <row r="2640" spans="1:17" ht="16.5" thickBot="1" x14ac:dyDescent="0.3">
      <c r="A2640" s="19" t="s">
        <v>415</v>
      </c>
      <c r="C2640" s="101">
        <v>1284863246</v>
      </c>
      <c r="D2640" s="101">
        <v>1288626197</v>
      </c>
      <c r="F2640" s="161"/>
      <c r="G2640" s="100"/>
      <c r="H2640" s="95">
        <f>SUM(H2637:H2639)</f>
        <v>65909694.239999995</v>
      </c>
      <c r="I2640" s="95">
        <f>SUM(I2637:I2639)</f>
        <v>62957593.017309681</v>
      </c>
      <c r="K2640" s="161"/>
      <c r="L2640" s="161"/>
      <c r="M2640" s="100"/>
      <c r="N2640" s="95">
        <f>SUM(N2637:N2639)</f>
        <v>62957593.017309681</v>
      </c>
      <c r="O2640" s="238"/>
      <c r="P2640" s="207"/>
      <c r="Q2640" s="208"/>
    </row>
    <row r="2641" spans="1:17" ht="16.5" thickTop="1" x14ac:dyDescent="0.25">
      <c r="F2641" s="100"/>
      <c r="G2641" s="100"/>
      <c r="K2641" s="100"/>
      <c r="L2641" s="100"/>
      <c r="M2641" s="100"/>
      <c r="O2641" s="207"/>
      <c r="P2641" s="207"/>
    </row>
    <row r="2642" spans="1:17" x14ac:dyDescent="0.25">
      <c r="A2642" s="15" t="s">
        <v>431</v>
      </c>
    </row>
    <row r="2643" spans="1:17" x14ac:dyDescent="0.25">
      <c r="A2643" s="19" t="s">
        <v>165</v>
      </c>
      <c r="C2643" s="107">
        <v>4</v>
      </c>
      <c r="D2643" s="107">
        <v>4</v>
      </c>
    </row>
    <row r="2644" spans="1:17" x14ac:dyDescent="0.25">
      <c r="A2644" s="19" t="s">
        <v>432</v>
      </c>
      <c r="C2644" s="6">
        <v>48</v>
      </c>
      <c r="D2644" s="6">
        <v>48</v>
      </c>
      <c r="F2644" s="138">
        <v>2.1800000000000002</v>
      </c>
      <c r="G2644" s="20"/>
      <c r="H2644" s="7">
        <f>ROUND($F2644*C2644,0)</f>
        <v>105</v>
      </c>
      <c r="I2644" s="7">
        <f>ROUND($F2644*D2644,0)</f>
        <v>105</v>
      </c>
      <c r="K2644" s="20"/>
      <c r="L2644" s="138">
        <v>2.1800000000000002</v>
      </c>
      <c r="M2644" s="20"/>
      <c r="N2644" s="7">
        <f>ROUND($D2644*L2644,0)</f>
        <v>105</v>
      </c>
      <c r="O2644" s="220"/>
      <c r="P2644" s="55"/>
    </row>
    <row r="2645" spans="1:17" x14ac:dyDescent="0.25">
      <c r="A2645" s="19" t="s">
        <v>433</v>
      </c>
      <c r="C2645" s="6">
        <v>206.830451093421</v>
      </c>
      <c r="D2645" s="6">
        <v>207</v>
      </c>
      <c r="F2645" s="139">
        <v>2.1858</v>
      </c>
      <c r="G2645" s="26"/>
      <c r="H2645" s="7">
        <f>ROUND($F2645*C2645,0)</f>
        <v>452</v>
      </c>
      <c r="I2645" s="7">
        <f>ROUND($F2645*D2645,0)</f>
        <v>452</v>
      </c>
      <c r="K2645" s="20"/>
      <c r="L2645" s="139">
        <v>2.1858</v>
      </c>
      <c r="M2645" s="26"/>
      <c r="N2645" s="7">
        <f>ROUND($D2645*L2645,0)</f>
        <v>452</v>
      </c>
      <c r="O2645" s="221"/>
      <c r="P2645" s="59"/>
    </row>
    <row r="2646" spans="1:17" x14ac:dyDescent="0.25">
      <c r="A2646" s="19" t="s">
        <v>268</v>
      </c>
      <c r="C2646" s="129">
        <v>254.830451093421</v>
      </c>
      <c r="D2646" s="129">
        <v>255</v>
      </c>
      <c r="F2646" s="164"/>
      <c r="G2646" s="26"/>
      <c r="H2646" s="110">
        <f>SUM(H2644:H2645)</f>
        <v>557</v>
      </c>
      <c r="I2646" s="110">
        <f>SUM(I2644:I2645)</f>
        <v>557</v>
      </c>
      <c r="K2646" s="164"/>
      <c r="L2646" s="164"/>
      <c r="M2646" s="26"/>
      <c r="N2646" s="110">
        <f>SUM(N2644:N2645)</f>
        <v>557</v>
      </c>
      <c r="O2646" s="240"/>
      <c r="P2646" s="59"/>
      <c r="Q2646" s="211"/>
    </row>
    <row r="2647" spans="1:17" x14ac:dyDescent="0.25">
      <c r="A2647" s="19" t="s">
        <v>434</v>
      </c>
      <c r="C2647" s="107">
        <v>7390.0830817092101</v>
      </c>
      <c r="D2647" s="107">
        <v>7387</v>
      </c>
    </row>
    <row r="2648" spans="1:17" x14ac:dyDescent="0.25">
      <c r="A2648" s="19" t="s">
        <v>164</v>
      </c>
      <c r="C2648" s="107">
        <v>40</v>
      </c>
      <c r="D2648" s="107">
        <v>0</v>
      </c>
      <c r="H2648" s="7">
        <f>H2657+H2666</f>
        <v>4</v>
      </c>
      <c r="I2648" s="7">
        <f>I2657+I2666</f>
        <v>0</v>
      </c>
    </row>
    <row r="2649" spans="1:17" ht="16.5" thickBot="1" x14ac:dyDescent="0.3">
      <c r="A2649" s="19" t="s">
        <v>58</v>
      </c>
      <c r="C2649" s="120">
        <v>7430.0830817092101</v>
      </c>
      <c r="D2649" s="120">
        <v>7387</v>
      </c>
      <c r="F2649" s="122"/>
      <c r="G2649" s="123"/>
      <c r="H2649" s="124">
        <f>H2648+H2646</f>
        <v>561</v>
      </c>
      <c r="I2649" s="124">
        <f>I2648+I2646</f>
        <v>557</v>
      </c>
      <c r="K2649" s="122"/>
      <c r="L2649" s="122"/>
      <c r="M2649" s="123"/>
      <c r="N2649" s="124">
        <f>N2648+N2646</f>
        <v>557</v>
      </c>
      <c r="O2649" s="122"/>
      <c r="P2649" s="123"/>
      <c r="Q2649" s="124"/>
    </row>
    <row r="2650" spans="1:17" ht="16.5" thickTop="1" x14ac:dyDescent="0.25">
      <c r="F2650" s="100"/>
      <c r="G2650" s="100"/>
      <c r="K2650" s="100"/>
      <c r="L2650" s="100"/>
      <c r="M2650" s="100"/>
      <c r="O2650" s="207"/>
      <c r="P2650" s="207"/>
    </row>
    <row r="2651" spans="1:17" x14ac:dyDescent="0.25">
      <c r="A2651" s="15" t="s">
        <v>435</v>
      </c>
    </row>
    <row r="2652" spans="1:17" x14ac:dyDescent="0.25">
      <c r="A2652" s="19" t="s">
        <v>165</v>
      </c>
      <c r="C2652" s="107">
        <v>2</v>
      </c>
      <c r="D2652" s="107">
        <v>2</v>
      </c>
    </row>
    <row r="2653" spans="1:17" x14ac:dyDescent="0.25">
      <c r="A2653" s="19" t="s">
        <v>432</v>
      </c>
      <c r="C2653" s="6">
        <v>0</v>
      </c>
      <c r="D2653" s="6">
        <v>0</v>
      </c>
      <c r="F2653" s="138">
        <v>2.1800000000000002</v>
      </c>
      <c r="G2653" s="20"/>
      <c r="H2653" s="7">
        <f>ROUND($F2653*C2653,0)</f>
        <v>0</v>
      </c>
      <c r="I2653" s="7">
        <f>ROUND($F2653*D2653,0)</f>
        <v>0</v>
      </c>
      <c r="K2653" s="138"/>
      <c r="L2653" s="138">
        <v>2.1800000000000002</v>
      </c>
      <c r="M2653" s="20"/>
      <c r="N2653" s="7">
        <f>ROUND($D2653*L2653,0)</f>
        <v>0</v>
      </c>
      <c r="O2653" s="220"/>
      <c r="P2653" s="55"/>
    </row>
    <row r="2654" spans="1:17" x14ac:dyDescent="0.25">
      <c r="A2654" s="19" t="s">
        <v>433</v>
      </c>
      <c r="C2654" s="6">
        <v>206.830451093421</v>
      </c>
      <c r="D2654" s="6">
        <v>207</v>
      </c>
      <c r="F2654" s="139">
        <v>2.1858</v>
      </c>
      <c r="G2654" s="26"/>
      <c r="H2654" s="7">
        <f>ROUND($F2654*C2654,0)</f>
        <v>452</v>
      </c>
      <c r="I2654" s="7">
        <f>ROUND($F2654*D2654,0)</f>
        <v>452</v>
      </c>
      <c r="K2654" s="138"/>
      <c r="L2654" s="139">
        <v>2.1858</v>
      </c>
      <c r="M2654" s="26"/>
      <c r="N2654" s="7">
        <f>ROUND($D2654*L2654,0)</f>
        <v>452</v>
      </c>
      <c r="O2654" s="221"/>
      <c r="P2654" s="59"/>
    </row>
    <row r="2655" spans="1:17" x14ac:dyDescent="0.25">
      <c r="A2655" s="19" t="s">
        <v>268</v>
      </c>
      <c r="C2655" s="129">
        <v>206.830451093421</v>
      </c>
      <c r="D2655" s="129">
        <v>207</v>
      </c>
      <c r="F2655" s="164"/>
      <c r="G2655" s="26"/>
      <c r="H2655" s="110">
        <f>SUM(H2653:H2654)</f>
        <v>452</v>
      </c>
      <c r="I2655" s="110">
        <f>SUM(I2653:I2654)</f>
        <v>452</v>
      </c>
      <c r="K2655" s="164"/>
      <c r="L2655" s="164"/>
      <c r="M2655" s="26"/>
      <c r="N2655" s="110">
        <f>SUM(N2653:N2654)</f>
        <v>452</v>
      </c>
      <c r="O2655" s="240"/>
      <c r="P2655" s="59"/>
      <c r="Q2655" s="211"/>
    </row>
    <row r="2656" spans="1:17" x14ac:dyDescent="0.25">
      <c r="A2656" s="19" t="s">
        <v>434</v>
      </c>
      <c r="C2656" s="107">
        <v>5998.0830817092101</v>
      </c>
      <c r="D2656" s="107">
        <v>5995</v>
      </c>
    </row>
    <row r="2657" spans="1:17" x14ac:dyDescent="0.25">
      <c r="A2657" s="19" t="s">
        <v>164</v>
      </c>
      <c r="C2657" s="107">
        <v>32</v>
      </c>
      <c r="D2657" s="107">
        <v>0</v>
      </c>
      <c r="H2657" s="7">
        <v>3</v>
      </c>
      <c r="I2657" s="7">
        <v>0</v>
      </c>
    </row>
    <row r="2658" spans="1:17" ht="16.5" thickBot="1" x14ac:dyDescent="0.3">
      <c r="A2658" s="19" t="s">
        <v>58</v>
      </c>
      <c r="C2658" s="120">
        <v>6030.0830817092101</v>
      </c>
      <c r="D2658" s="120">
        <v>5995</v>
      </c>
      <c r="F2658" s="122"/>
      <c r="G2658" s="123"/>
      <c r="H2658" s="124">
        <f>H2657+H2655</f>
        <v>455</v>
      </c>
      <c r="I2658" s="124">
        <f>I2657+I2655</f>
        <v>452</v>
      </c>
      <c r="K2658" s="122"/>
      <c r="L2658" s="122"/>
      <c r="M2658" s="123"/>
      <c r="N2658" s="124">
        <f>N2657+N2655</f>
        <v>452</v>
      </c>
      <c r="O2658" s="122"/>
      <c r="P2658" s="123"/>
      <c r="Q2658" s="124"/>
    </row>
    <row r="2659" spans="1:17" ht="16.5" thickTop="1" x14ac:dyDescent="0.25">
      <c r="F2659" s="100"/>
      <c r="G2659" s="100"/>
      <c r="K2659" s="100"/>
      <c r="L2659" s="100"/>
      <c r="M2659" s="100"/>
      <c r="O2659" s="207"/>
      <c r="P2659" s="207"/>
    </row>
    <row r="2660" spans="1:17" x14ac:dyDescent="0.25">
      <c r="A2660" s="15" t="s">
        <v>436</v>
      </c>
    </row>
    <row r="2661" spans="1:17" x14ac:dyDescent="0.25">
      <c r="A2661" s="19" t="s">
        <v>165</v>
      </c>
      <c r="C2661" s="107">
        <v>2</v>
      </c>
      <c r="D2661" s="107">
        <v>2</v>
      </c>
    </row>
    <row r="2662" spans="1:17" x14ac:dyDescent="0.25">
      <c r="A2662" s="19" t="s">
        <v>432</v>
      </c>
      <c r="C2662" s="6">
        <v>48</v>
      </c>
      <c r="D2662" s="6">
        <v>48</v>
      </c>
      <c r="F2662" s="20">
        <v>2.1800000000000002</v>
      </c>
      <c r="G2662" s="20"/>
      <c r="H2662" s="7">
        <f>ROUND($F2662*C2662,0)</f>
        <v>105</v>
      </c>
      <c r="I2662" s="7">
        <f>ROUND($F2662*D2662,0)</f>
        <v>105</v>
      </c>
      <c r="K2662" s="138"/>
      <c r="L2662" s="20">
        <v>2.1800000000000002</v>
      </c>
      <c r="M2662" s="20"/>
      <c r="N2662" s="7">
        <f>ROUND($D2662*L2662,0)</f>
        <v>105</v>
      </c>
      <c r="O2662" s="55"/>
      <c r="P2662" s="55"/>
    </row>
    <row r="2663" spans="1:17" x14ac:dyDescent="0.25">
      <c r="A2663" s="19" t="s">
        <v>433</v>
      </c>
      <c r="C2663" s="6">
        <v>0</v>
      </c>
      <c r="D2663" s="6">
        <v>0</v>
      </c>
      <c r="F2663" s="139">
        <v>2.1858</v>
      </c>
      <c r="G2663" s="26"/>
      <c r="H2663" s="7">
        <f>ROUND($F2663*C2663,0)</f>
        <v>0</v>
      </c>
      <c r="I2663" s="7">
        <f>ROUND($F2663*D2663,0)</f>
        <v>0</v>
      </c>
      <c r="K2663" s="138"/>
      <c r="L2663" s="139">
        <v>2.1858</v>
      </c>
      <c r="M2663" s="26"/>
      <c r="N2663" s="7">
        <f>ROUND($D2663*L2663,0)</f>
        <v>0</v>
      </c>
      <c r="O2663" s="221"/>
      <c r="P2663" s="59"/>
    </row>
    <row r="2664" spans="1:17" x14ac:dyDescent="0.25">
      <c r="A2664" s="19" t="s">
        <v>268</v>
      </c>
      <c r="C2664" s="129">
        <v>48</v>
      </c>
      <c r="D2664" s="129">
        <v>48</v>
      </c>
      <c r="F2664" s="164"/>
      <c r="G2664" s="26"/>
      <c r="H2664" s="110">
        <f>SUM(H2662:H2663)</f>
        <v>105</v>
      </c>
      <c r="I2664" s="110">
        <f>SUM(I2662:I2663)</f>
        <v>105</v>
      </c>
      <c r="K2664" s="164"/>
      <c r="L2664" s="164"/>
      <c r="M2664" s="26"/>
      <c r="N2664" s="110">
        <f>SUM(N2662:N2663)</f>
        <v>105</v>
      </c>
      <c r="O2664" s="240"/>
      <c r="P2664" s="59"/>
      <c r="Q2664" s="211"/>
    </row>
    <row r="2665" spans="1:17" x14ac:dyDescent="0.25">
      <c r="A2665" s="19" t="s">
        <v>434</v>
      </c>
      <c r="C2665" s="107">
        <v>1392</v>
      </c>
      <c r="D2665" s="107">
        <v>1392</v>
      </c>
    </row>
    <row r="2666" spans="1:17" x14ac:dyDescent="0.25">
      <c r="A2666" s="19" t="s">
        <v>164</v>
      </c>
      <c r="C2666" s="107">
        <v>8</v>
      </c>
      <c r="D2666" s="107">
        <v>0</v>
      </c>
      <c r="H2666" s="7">
        <v>1</v>
      </c>
      <c r="I2666" s="7">
        <v>0</v>
      </c>
    </row>
    <row r="2667" spans="1:17" ht="16.5" thickBot="1" x14ac:dyDescent="0.3">
      <c r="A2667" s="19" t="s">
        <v>58</v>
      </c>
      <c r="C2667" s="120">
        <v>1400</v>
      </c>
      <c r="D2667" s="120">
        <v>1392</v>
      </c>
      <c r="F2667" s="122"/>
      <c r="G2667" s="123"/>
      <c r="H2667" s="124">
        <f>H2666+H2664</f>
        <v>106</v>
      </c>
      <c r="I2667" s="124">
        <f>I2666+I2664</f>
        <v>105</v>
      </c>
      <c r="K2667" s="122"/>
      <c r="L2667" s="122"/>
      <c r="M2667" s="123"/>
      <c r="N2667" s="124">
        <f>N2666+N2664</f>
        <v>105</v>
      </c>
      <c r="O2667" s="122"/>
      <c r="P2667" s="123"/>
      <c r="Q2667" s="124"/>
    </row>
    <row r="2668" spans="1:17" ht="16.5" thickTop="1" x14ac:dyDescent="0.25"/>
    <row r="2669" spans="1:17" x14ac:dyDescent="0.25">
      <c r="A2669" s="15" t="s">
        <v>437</v>
      </c>
      <c r="F2669" s="100"/>
      <c r="G2669" s="100"/>
      <c r="K2669" s="100"/>
      <c r="L2669" s="100"/>
      <c r="M2669" s="100"/>
      <c r="O2669" s="207"/>
      <c r="P2669" s="207"/>
    </row>
    <row r="2670" spans="1:17" x14ac:dyDescent="0.25">
      <c r="A2670" s="19" t="s">
        <v>438</v>
      </c>
      <c r="C2670" s="165"/>
      <c r="D2670" s="165"/>
      <c r="F2670" s="100"/>
      <c r="G2670" s="100"/>
      <c r="H2670" s="7">
        <v>6795.090000000062</v>
      </c>
      <c r="I2670" s="7">
        <f t="shared" ref="I2670:I2675" si="386">H2670</f>
        <v>6795.090000000062</v>
      </c>
      <c r="K2670" s="100"/>
      <c r="L2670" s="100"/>
      <c r="M2670" s="100"/>
      <c r="N2670" s="7">
        <f>I2670</f>
        <v>6795.090000000062</v>
      </c>
      <c r="O2670" s="207"/>
      <c r="P2670" s="207"/>
    </row>
    <row r="2671" spans="1:17" x14ac:dyDescent="0.25">
      <c r="A2671" s="19" t="s">
        <v>439</v>
      </c>
      <c r="C2671" s="165"/>
      <c r="D2671" s="165"/>
      <c r="F2671" s="100"/>
      <c r="G2671" s="100"/>
      <c r="H2671" s="7">
        <v>3742344.1399999997</v>
      </c>
      <c r="I2671" s="7">
        <f t="shared" si="386"/>
        <v>3742344.1399999997</v>
      </c>
      <c r="K2671" s="100"/>
      <c r="L2671" s="100"/>
      <c r="M2671" s="100"/>
      <c r="N2671" s="7">
        <f t="shared" ref="N2671:N2675" si="387">I2671</f>
        <v>3742344.1399999997</v>
      </c>
      <c r="O2671" s="207"/>
      <c r="P2671" s="207"/>
    </row>
    <row r="2672" spans="1:17" x14ac:dyDescent="0.25">
      <c r="A2672" s="19" t="s">
        <v>440</v>
      </c>
      <c r="C2672" s="165"/>
      <c r="D2672" s="165"/>
      <c r="F2672" s="100"/>
      <c r="G2672" s="100"/>
      <c r="H2672" s="7">
        <v>823369.79999999993</v>
      </c>
      <c r="I2672" s="7">
        <f t="shared" si="386"/>
        <v>823369.79999999993</v>
      </c>
      <c r="K2672" s="100"/>
      <c r="L2672" s="100"/>
      <c r="M2672" s="100"/>
      <c r="N2672" s="7">
        <f t="shared" si="387"/>
        <v>823369.79999999993</v>
      </c>
      <c r="O2672" s="207"/>
      <c r="P2672" s="207"/>
    </row>
    <row r="2673" spans="1:17" x14ac:dyDescent="0.25">
      <c r="A2673" s="19" t="s">
        <v>441</v>
      </c>
      <c r="C2673" s="165"/>
      <c r="D2673" s="165"/>
      <c r="F2673" s="100"/>
      <c r="G2673" s="100"/>
      <c r="H2673" s="7">
        <v>231622.84</v>
      </c>
      <c r="I2673" s="7">
        <f t="shared" si="386"/>
        <v>231622.84</v>
      </c>
      <c r="K2673" s="100"/>
      <c r="L2673" s="100"/>
      <c r="M2673" s="100"/>
      <c r="N2673" s="7">
        <f t="shared" si="387"/>
        <v>231622.84</v>
      </c>
      <c r="O2673" s="207"/>
      <c r="P2673" s="207"/>
    </row>
    <row r="2674" spans="1:17" x14ac:dyDescent="0.25">
      <c r="A2674" s="19" t="s">
        <v>442</v>
      </c>
      <c r="C2674" s="165"/>
      <c r="D2674" s="165"/>
      <c r="F2674" s="100"/>
      <c r="G2674" s="100"/>
      <c r="H2674" s="7">
        <v>4655.0400000000009</v>
      </c>
      <c r="I2674" s="7">
        <f t="shared" si="386"/>
        <v>4655.0400000000009</v>
      </c>
      <c r="K2674" s="100"/>
      <c r="L2674" s="100"/>
      <c r="M2674" s="100"/>
      <c r="N2674" s="7">
        <f t="shared" si="387"/>
        <v>4655.0400000000009</v>
      </c>
      <c r="O2674" s="207"/>
      <c r="P2674" s="207"/>
    </row>
    <row r="2675" spans="1:17" ht="16.5" thickBot="1" x14ac:dyDescent="0.3">
      <c r="A2675" s="19" t="s">
        <v>443</v>
      </c>
      <c r="C2675" s="166"/>
      <c r="D2675" s="166"/>
      <c r="F2675" s="163"/>
      <c r="G2675" s="100"/>
      <c r="H2675" s="40">
        <f>SUM(H2670:H2674)</f>
        <v>4808786.9099999992</v>
      </c>
      <c r="I2675" s="40">
        <f t="shared" si="386"/>
        <v>4808786.9099999992</v>
      </c>
      <c r="K2675" s="163"/>
      <c r="L2675" s="163"/>
      <c r="M2675" s="100"/>
      <c r="N2675" s="40">
        <f t="shared" si="387"/>
        <v>4808786.9099999992</v>
      </c>
      <c r="O2675" s="239"/>
      <c r="P2675" s="207"/>
      <c r="Q2675" s="67"/>
    </row>
    <row r="2676" spans="1:17" ht="16.5" thickTop="1" x14ac:dyDescent="0.25">
      <c r="F2676" s="100"/>
      <c r="G2676" s="100"/>
      <c r="K2676" s="100"/>
      <c r="L2676" s="100"/>
      <c r="M2676" s="100"/>
      <c r="O2676" s="207"/>
      <c r="P2676" s="207"/>
    </row>
    <row r="2677" spans="1:17" ht="16.5" thickBot="1" x14ac:dyDescent="0.3">
      <c r="A2677" s="39" t="s">
        <v>444</v>
      </c>
      <c r="B2677" s="39"/>
      <c r="C2677" s="166">
        <v>24473583899.403015</v>
      </c>
      <c r="D2677" s="166">
        <v>24837388160.662254</v>
      </c>
      <c r="F2677" s="39"/>
      <c r="H2677" s="40">
        <f>H45+H82+H111+H148+H185+H222+H690+H772+H848+H904+H982+H1076+H1164+H1206+H1394+H1456+H1476+H1495+H1557+H1619+H1639+H1657+H1716+H1807+H1818+H1859+H1935+H1998+H2092+H2181+H2331+H2606+H2610+H2623+H2633+H2640+H2649+H2675</f>
        <v>1981660112.7811136</v>
      </c>
      <c r="I2677" s="40">
        <f>I45+I82+I111+I148+I185+I222+I690+I772+I848+I904+I982+I1076+I1164+I1206+I1394+I1456+I1476+I1495+I1557+I1619+I1639+I1657+I1716+I1807+I1818+I1859+I1935+I1998+I2092+I2181+I2331+I2606+I2610+I2623+I2633+I2640+I2649+I2675</f>
        <v>2001695942.310344</v>
      </c>
      <c r="K2677" s="39"/>
      <c r="L2677" s="39"/>
      <c r="N2677" s="40">
        <f>N45+N82+N111+N148+N185+N222+N238-N258+N382-N400+N518-N536+N552-N569+N690+N772+N848+N904+N982+N1076+N1206+N1394+N1456+N1495+N1557+N1619+N1639+N1657+N1716+N1807+N1818+N1859+N1899+N1917+N1998+N2092+N2181+N2331+N2606+N2610+N2623+N2633+N2640+N2649+N2675</f>
        <v>2033139591.3536203</v>
      </c>
      <c r="O2677" s="66"/>
      <c r="Q2677" s="67"/>
    </row>
    <row r="2678" spans="1:17" ht="16.5" thickTop="1" x14ac:dyDescent="0.25"/>
    <row r="2679" spans="1:17" x14ac:dyDescent="0.25">
      <c r="K2679" s="167"/>
      <c r="L2679" s="167"/>
      <c r="O2679" s="241"/>
    </row>
    <row r="2680" spans="1:17" x14ac:dyDescent="0.25">
      <c r="N2680" s="84"/>
      <c r="Q2680" s="242"/>
    </row>
    <row r="2681" spans="1:17" x14ac:dyDescent="0.25">
      <c r="N2681" s="84"/>
      <c r="Q2681" s="242"/>
    </row>
  </sheetData>
  <scenarios current="1" show="0">
    <scenario name="Present Basic" locked="1" count="14" user="Michael Reid" comment="Created by Michael Reid on 3/2/2001_x000a_Modified by Michael Reid on 3/13/2001">
      <inputCells r="F1399" val="3.54" numFmtId="7"/>
      <inputCells r="F1407" val="10.62" numFmtId="7"/>
      <inputCells r="F1743" val="14.74" numFmtId="7"/>
      <inputCells r="F1802" val="29.49" numFmtId="7"/>
      <inputCells r="F1479" val="98.29" numFmtId="7"/>
      <inputCells r="F1582" val="176.93" numFmtId="7"/>
      <inputCells r="F1560" val="10.5" numFmtId="7"/>
      <inputCells r="F1604" val="78.63" numFmtId="7"/>
      <inputCells r="F1605" val="24.57" numFmtId="7"/>
      <inputCells r="F1606" val="9.83" numFmtId="7"/>
      <inputCells r="F1613" val="9.83" numFmtId="7"/>
      <inputCells r="F2335" val="54.06" numFmtId="7"/>
      <inputCells r="F2357" val="245.73" numFmtId="7"/>
      <inputCells r="F2379" val="275.22" numFmtId="7"/>
    </scenario>
    <scenario name="Present Energy" locked="1" count="9" user="Michael Reid" comment="Created by Michael Reid on 3/2/2001">
      <inputCells r="F1746" val="2.6294" numFmtId="164"/>
      <inputCells r="F1596" val="4.4789" numFmtId="164"/>
      <inputCells r="F1597" val="1.9244" numFmtId="164"/>
      <inputCells r="F1609" val="3.9804" numFmtId="164"/>
      <inputCells r="F1610" val="2.9319" numFmtId="164"/>
      <inputCells r="F1614" val="2.7286" numFmtId="164"/>
      <inputCells r="F1647" val="7.9366" numFmtId="166"/>
      <inputCells r="F1648" val="2.2624" numFmtId="166"/>
      <inputCells r="J616" undone="1" val="2.0165" numFmtId="165"/>
    </scenario>
    <scenario name="Present Demand" locked="1" count="14" user="Michael Reid" comment="Created by Michael Reid on 3/2/2001">
      <inputCells r="F1744" val="7.67" numFmtId="7"/>
      <inputCells r="F1803" val="3.27" numFmtId="7"/>
      <inputCells r="F1480" val="5.71" numFmtId="7"/>
      <inputCells r="F1583" val="1.31" numFmtId="7"/>
      <inputCells r="F1607" val="3.99" numFmtId="7"/>
      <inputCells r="F2336" val="2.59" numFmtId="7"/>
      <inputCells r="F2347" val="0.3511" numFmtId="172"/>
      <inputCells r="F2353" val="33.22" numFmtId="7"/>
      <inputCells r="F2358" val="2.08" numFmtId="7"/>
      <inputCells r="F2369" val="0.3511" numFmtId="172"/>
      <inputCells r="F2375" val="31.22" numFmtId="7"/>
      <inputCells r="F2380" val="1.4" numFmtId="7"/>
      <inputCells r="F2391" val="0.2684" numFmtId="172"/>
      <inputCells r="F2397" val="23.08" numFmtId="7"/>
    </scenario>
    <scenario name="Present 7" locked="1" count="29" user="Michael Reid" comment="Created by Michael Reid on 3/5/2001">
      <inputCells r="F1168" val="3.93" numFmtId="7"/>
      <inputCells r="F1169" val="11.32" numFmtId="7"/>
      <inputCells r="F1170" val="5.57" numFmtId="7"/>
      <inputCells r="F1171" val="18.5" numFmtId="7"/>
      <inputCells r="F1173" val="10.08" numFmtId="7"/>
      <inputCells r="F1174" val="8.45" numFmtId="7"/>
      <inputCells r="F1175" val="10.7" numFmtId="7"/>
      <inputCells r="F1176" val="9.2" numFmtId="7"/>
      <inputCells r="F1177" val="13.44" numFmtId="7"/>
      <inputCells r="F1178" val="11.84" numFmtId="7"/>
      <inputCells r="F1179" val="14.55" numFmtId="7"/>
      <inputCells r="F1180" val="16.25" numFmtId="7"/>
      <inputCells r="F1181" val="14.66" numFmtId="7"/>
      <inputCells r="F1182" val="19.55" numFmtId="7"/>
      <inputCells r="F1183" val="17.97" numFmtId="7"/>
      <inputCells r="F1185" val="13.44" numFmtId="7"/>
      <inputCells r="F1186" val="11.84" numFmtId="7"/>
      <inputCells r="F1187" val="16.25" numFmtId="7"/>
      <inputCells r="F1188" val="14.66" numFmtId="7"/>
      <inputCells r="F1189" val="19.55" numFmtId="7"/>
      <inputCells r="F1190" val="17.97" numFmtId="7"/>
      <inputCells r="F1192" val="20.32" numFmtId="7"/>
      <inputCells r="F1193" val="15.06" numFmtId="7"/>
      <inputCells r="F1194" val="23.73" numFmtId="7"/>
      <inputCells r="F1195" val="18.95" numFmtId="7"/>
      <inputCells r="F1196" val="25.36" numFmtId="7"/>
      <inputCells r="F1197" val="20.54" numFmtId="7"/>
      <inputCells r="F1198" val="39.79" numFmtId="7"/>
      <inputCells r="F1199" val="34.84" numFmtId="7"/>
    </scenario>
    <scenario name="Proposed Demand" locked="1" count="14" user="Michael Reid" comment="Created by Michael Reid on 3/5/2001_x000a_Modified by Michael Reid on 3/5/2001">
      <inputCells r="F1744" val="9.07" numFmtId="7"/>
      <inputCells r="F1803" val="3.89" numFmtId="7"/>
      <inputCells r="F1480" val="6.75" numFmtId="7"/>
      <inputCells r="F1583" val="2.02" numFmtId="7"/>
      <inputCells r="F1607" val="4.73" numFmtId="7"/>
      <inputCells r="F2336" val="3.08" numFmtId="7"/>
      <inputCells r="F2347" val="0.4177" numFmtId="172"/>
      <inputCells r="F2353" val="39.5" numFmtId="7"/>
      <inputCells r="F2358" val="2.47" numFmtId="7"/>
      <inputCells r="F2369" val="0.4175" numFmtId="172"/>
      <inputCells r="F2375" val="37.11" numFmtId="7"/>
      <inputCells r="F2380" val="1.66" numFmtId="7"/>
      <inputCells r="F2391" val="0.3193" numFmtId="172"/>
      <inputCells r="F2397" val="27.44" numFmtId="7"/>
    </scenario>
    <scenario name="Proposed Energy" locked="1" count="9" user="Michael Reid" comment="Created by Michael Reid on 3/5/2001_x000a_Modified by Michael Reid on 3/5/2001">
      <inputCells r="F1746" val="3.1106" numFmtId="164"/>
      <inputCells r="F1596" val="4.7317" numFmtId="164"/>
      <inputCells r="F1597" val="2.3449" numFmtId="164"/>
      <inputCells r="F1609" val="4.7233" numFmtId="164"/>
      <inputCells r="F1610" val="3.4792" numFmtId="164"/>
      <inputCells r="F1614" val="3.2379" numFmtId="164"/>
      <inputCells r="F1647" val="9.418" numFmtId="166"/>
      <inputCells r="F1648" val="2.6847" numFmtId="166"/>
      <inputCells r="J616" undone="1" val="2.3826" numFmtId="165"/>
    </scenario>
    <scenario name="Proposed 7" locked="1" count="29" user="Michael Reid" comment="Created by Michael Reid on 3/5/2001">
      <inputCells r="F1168" val="4.64" numFmtId="7"/>
      <inputCells r="F1169" val="13.35" numFmtId="7"/>
      <inputCells r="F1170" val="6.57" numFmtId="7"/>
      <inputCells r="F1171" val="21.82" numFmtId="7"/>
      <inputCells r="F1173" val="11.89" numFmtId="7"/>
      <inputCells r="F1174" val="9.97" numFmtId="7"/>
      <inputCells r="F1175" val="12.62" numFmtId="7"/>
      <inputCells r="F1176" val="10.85" numFmtId="7"/>
      <inputCells r="F1177" val="15.85" numFmtId="7"/>
      <inputCells r="F1178" val="13.96" numFmtId="7"/>
      <inputCells r="F1179" val="17.16" numFmtId="7"/>
      <inputCells r="F1180" val="19.17" numFmtId="7"/>
      <inputCells r="F1181" val="17.29" numFmtId="7"/>
      <inputCells r="F1182" val="23.06" numFmtId="7"/>
      <inputCells r="F1183" val="21.19" numFmtId="7"/>
      <inputCells r="F1185" val="15.85" numFmtId="7"/>
      <inputCells r="F1186" val="13.96" numFmtId="7"/>
      <inputCells r="F1187" val="19.17" numFmtId="7"/>
      <inputCells r="F1188" val="17.29" numFmtId="7"/>
      <inputCells r="F1189" val="23.06" numFmtId="7"/>
      <inputCells r="F1190" val="21.19" numFmtId="7"/>
      <inputCells r="F1192" val="23.97" numFmtId="7"/>
      <inputCells r="F1193" val="17.76" numFmtId="7"/>
      <inputCells r="F1194" val="27.99" numFmtId="7"/>
      <inputCells r="F1195" val="22.35" numFmtId="7"/>
      <inputCells r="F1196" val="29.91" numFmtId="7"/>
      <inputCells r="F1197" val="24.23" numFmtId="7"/>
      <inputCells r="F1198" val="46.93" numFmtId="7"/>
      <inputCells r="F1199" val="41.09" numFmtId="7"/>
    </scenario>
  </scenarios>
  <printOptions horizontalCentered="1"/>
  <pageMargins left="0.5" right="0.5" top="1" bottom="0.5" header="0.25" footer="0.25"/>
  <pageSetup scale="66" fitToHeight="88" orientation="landscape" r:id="rId1"/>
  <headerFooter alignWithMargins="0">
    <oddFooter>Page &amp;P of &amp;N</oddFooter>
  </headerFooter>
  <rowBreaks count="26" manualBreakCount="26">
    <brk id="45" max="16" man="1"/>
    <brk id="82" max="16" man="1"/>
    <brk id="112" max="16" man="1"/>
    <brk id="149" max="16" man="1"/>
    <brk id="186" max="16" man="1"/>
    <brk id="223" max="16" man="1"/>
    <brk id="367" max="16" man="1"/>
    <brk id="537" max="16" man="1"/>
    <brk id="670" max="16" man="1"/>
    <brk id="830" max="16" man="1"/>
    <brk id="959" max="16" man="1"/>
    <brk id="1165" max="16" man="1"/>
    <brk id="1375" max="16" man="1"/>
    <brk id="1536" max="16" man="1"/>
    <brk id="1620" max="16" man="1"/>
    <brk id="1658" max="16" man="1"/>
    <brk id="1717" max="16" man="1"/>
    <brk id="1774" max="16" man="1"/>
    <brk id="1852" max="16" man="1"/>
    <brk id="1936" max="16" man="1"/>
    <brk id="1975" max="16" man="1"/>
    <brk id="2159" max="16" man="1"/>
    <brk id="2251" max="16" man="1"/>
    <brk id="2313" max="16" man="1"/>
    <brk id="2587" max="16" man="1"/>
    <brk id="26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view="pageBreakPreview" zoomScale="60" zoomScaleNormal="100" workbookViewId="0">
      <selection activeCell="W31" sqref="W31"/>
    </sheetView>
  </sheetViews>
  <sheetFormatPr defaultColWidth="9" defaultRowHeight="15.75" x14ac:dyDescent="0.25"/>
  <cols>
    <col min="1" max="1" width="4.625" style="170" customWidth="1"/>
    <col min="2" max="2" width="1.625" style="170" customWidth="1"/>
    <col min="3" max="3" width="36.125" style="170" bestFit="1" customWidth="1"/>
    <col min="4" max="4" width="1.625" style="170" customWidth="1"/>
    <col min="5" max="5" width="7.125" style="170" bestFit="1" customWidth="1"/>
    <col min="6" max="6" width="1.625" style="170" customWidth="1"/>
    <col min="7" max="7" width="11.625" style="185" bestFit="1" customWidth="1"/>
    <col min="8" max="8" width="1.625" style="185" customWidth="1"/>
    <col min="9" max="9" width="11.125" style="185" bestFit="1" customWidth="1"/>
    <col min="10" max="10" width="1.625" style="185" customWidth="1"/>
    <col min="11" max="11" width="10.875" style="185" customWidth="1"/>
    <col min="12" max="12" width="1.625" style="170" customWidth="1"/>
    <col min="13" max="13" width="11.625" style="185" bestFit="1" customWidth="1"/>
    <col min="14" max="14" width="1.625" style="185" customWidth="1"/>
    <col min="15" max="15" width="11.125" style="185" bestFit="1" customWidth="1"/>
    <col min="16" max="16" width="1.625" style="185" customWidth="1"/>
    <col min="17" max="17" width="10.875" style="185" customWidth="1"/>
    <col min="18" max="16384" width="9" style="170"/>
  </cols>
  <sheetData>
    <row r="1" spans="1:17" x14ac:dyDescent="0.25">
      <c r="A1" s="168" t="s">
        <v>493</v>
      </c>
      <c r="B1" s="168"/>
      <c r="C1" s="168"/>
      <c r="D1" s="168"/>
      <c r="E1" s="168"/>
      <c r="F1" s="168"/>
      <c r="G1" s="169"/>
      <c r="H1" s="169"/>
      <c r="I1" s="169"/>
      <c r="J1" s="169"/>
      <c r="K1" s="169"/>
      <c r="L1" s="168"/>
      <c r="M1" s="169"/>
      <c r="N1" s="169"/>
      <c r="O1" s="169"/>
      <c r="P1" s="169"/>
      <c r="Q1" s="169"/>
    </row>
    <row r="2" spans="1:17" customFormat="1" x14ac:dyDescent="0.25">
      <c r="A2" s="168" t="s">
        <v>0</v>
      </c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71"/>
      <c r="M2" s="172"/>
      <c r="N2" s="172"/>
      <c r="O2" s="172"/>
      <c r="P2" s="172"/>
      <c r="Q2" s="172"/>
    </row>
    <row r="3" spans="1:17" x14ac:dyDescent="0.25">
      <c r="A3" s="168" t="s">
        <v>48</v>
      </c>
      <c r="B3" s="171"/>
      <c r="C3" s="171"/>
      <c r="D3" s="171"/>
      <c r="E3" s="171"/>
      <c r="F3" s="171"/>
      <c r="G3" s="172"/>
      <c r="H3" s="172"/>
      <c r="I3" s="172"/>
      <c r="J3" s="172"/>
      <c r="K3" s="172"/>
      <c r="L3" s="171"/>
      <c r="M3" s="172"/>
      <c r="N3" s="172"/>
      <c r="O3" s="172"/>
      <c r="P3" s="172"/>
      <c r="Q3" s="172"/>
    </row>
    <row r="4" spans="1:17" x14ac:dyDescent="0.25">
      <c r="D4" s="173"/>
      <c r="F4" s="173"/>
      <c r="G4" s="175"/>
      <c r="H4" s="176"/>
      <c r="I4" s="175"/>
      <c r="J4" s="176"/>
      <c r="K4" s="175"/>
      <c r="L4" s="173"/>
      <c r="M4" s="175"/>
      <c r="N4" s="176"/>
      <c r="O4" s="175"/>
      <c r="P4" s="176"/>
      <c r="Q4" s="175"/>
    </row>
    <row r="5" spans="1:17" x14ac:dyDescent="0.25">
      <c r="D5" s="174"/>
      <c r="E5" s="174"/>
      <c r="F5" s="174"/>
      <c r="G5" s="177" t="s">
        <v>497</v>
      </c>
      <c r="H5" s="177"/>
      <c r="I5" s="177"/>
      <c r="J5" s="177"/>
      <c r="K5" s="177"/>
      <c r="L5" s="174"/>
      <c r="M5" s="177" t="s">
        <v>498</v>
      </c>
      <c r="N5" s="177"/>
      <c r="O5" s="177"/>
      <c r="P5" s="177"/>
      <c r="Q5" s="177"/>
    </row>
    <row r="6" spans="1:17" s="178" customFormat="1" x14ac:dyDescent="0.25">
      <c r="A6" s="178" t="s">
        <v>445</v>
      </c>
      <c r="D6" s="174"/>
      <c r="E6" s="174" t="s">
        <v>446</v>
      </c>
      <c r="F6" s="174"/>
      <c r="G6" s="175" t="s">
        <v>491</v>
      </c>
      <c r="H6" s="175"/>
      <c r="I6" s="175" t="s">
        <v>492</v>
      </c>
      <c r="J6" s="175"/>
      <c r="K6" s="175" t="s">
        <v>488</v>
      </c>
      <c r="L6" s="174"/>
      <c r="M6" s="175" t="s">
        <v>491</v>
      </c>
      <c r="N6" s="175"/>
      <c r="O6" s="175" t="s">
        <v>492</v>
      </c>
      <c r="P6" s="175"/>
      <c r="Q6" s="175" t="s">
        <v>488</v>
      </c>
    </row>
    <row r="7" spans="1:17" s="178" customFormat="1" x14ac:dyDescent="0.25">
      <c r="A7" s="179" t="s">
        <v>447</v>
      </c>
      <c r="C7" s="180" t="s">
        <v>448</v>
      </c>
      <c r="E7" s="180" t="s">
        <v>447</v>
      </c>
      <c r="G7" s="181" t="s">
        <v>449</v>
      </c>
      <c r="H7" s="182"/>
      <c r="I7" s="181" t="s">
        <v>449</v>
      </c>
      <c r="J7" s="182"/>
      <c r="K7" s="181" t="s">
        <v>449</v>
      </c>
      <c r="M7" s="181" t="s">
        <v>449</v>
      </c>
      <c r="N7" s="182"/>
      <c r="O7" s="181" t="s">
        <v>449</v>
      </c>
      <c r="P7" s="182"/>
      <c r="Q7" s="181" t="s">
        <v>449</v>
      </c>
    </row>
    <row r="8" spans="1:17" s="178" customFormat="1" x14ac:dyDescent="0.25">
      <c r="C8" s="183">
        <v>-1</v>
      </c>
      <c r="D8" s="183"/>
      <c r="E8" s="183">
        <f>MIN($A8:D8)-1</f>
        <v>-2</v>
      </c>
      <c r="F8" s="183"/>
      <c r="G8" s="184">
        <f>MIN($A8:F8)-1</f>
        <v>-3</v>
      </c>
      <c r="H8" s="184"/>
      <c r="I8" s="184">
        <f>MIN($A8:H8)-1</f>
        <v>-4</v>
      </c>
      <c r="J8" s="184"/>
      <c r="K8" s="184">
        <f>MIN($A8:J8)-1</f>
        <v>-5</v>
      </c>
      <c r="L8" s="183"/>
      <c r="M8" s="184">
        <f>MIN($A8:L8)-1</f>
        <v>-6</v>
      </c>
      <c r="N8" s="184"/>
      <c r="O8" s="184">
        <f>MIN($A8:N8)-1</f>
        <v>-7</v>
      </c>
      <c r="P8" s="184"/>
      <c r="Q8" s="184">
        <f>MIN($A8:P8)-1</f>
        <v>-8</v>
      </c>
    </row>
    <row r="9" spans="1:17" s="178" customFormat="1" x14ac:dyDescent="0.25">
      <c r="G9" s="182"/>
      <c r="H9" s="182"/>
      <c r="I9" s="182"/>
      <c r="J9" s="182"/>
      <c r="K9" s="182"/>
      <c r="M9" s="182"/>
      <c r="N9" s="182"/>
      <c r="O9" s="182"/>
      <c r="P9" s="182"/>
      <c r="Q9" s="182"/>
    </row>
    <row r="10" spans="1:17" s="178" customFormat="1" x14ac:dyDescent="0.25">
      <c r="A10" s="170"/>
      <c r="B10" s="170"/>
      <c r="C10" s="178" t="s">
        <v>450</v>
      </c>
      <c r="D10" s="170"/>
      <c r="E10" s="170"/>
      <c r="F10" s="170"/>
      <c r="G10" s="185"/>
      <c r="H10" s="185"/>
      <c r="I10" s="185"/>
      <c r="J10" s="185"/>
      <c r="K10" s="185"/>
      <c r="L10" s="170"/>
      <c r="M10" s="185"/>
      <c r="N10" s="185"/>
      <c r="O10" s="185"/>
      <c r="P10" s="185"/>
      <c r="Q10" s="185"/>
    </row>
    <row r="11" spans="1:17" x14ac:dyDescent="0.25">
      <c r="A11" s="170">
        <v>1</v>
      </c>
      <c r="C11" s="170" t="s">
        <v>450</v>
      </c>
      <c r="E11" s="186" t="s">
        <v>451</v>
      </c>
      <c r="G11" s="188">
        <v>749388</v>
      </c>
      <c r="I11" s="188">
        <f>('A-Blocking'!N45+'A-Blocking'!N148+'A-Blocking'!N185+'A-Blocking'!N222)/1000</f>
        <v>749393.10800000001</v>
      </c>
      <c r="K11" s="188">
        <f>I11-G11</f>
        <v>5.1080000000074506</v>
      </c>
      <c r="M11" s="188">
        <v>-19802</v>
      </c>
      <c r="O11" s="188">
        <f>('A-Blocking'!N43+'A-Blocking'!N146+'A-Blocking'!N183+'A-Blocking'!N220)/1000</f>
        <v>-20283.100790800003</v>
      </c>
      <c r="Q11" s="188">
        <f>O11-M11</f>
        <v>-481.10079080000287</v>
      </c>
    </row>
    <row r="12" spans="1:17" x14ac:dyDescent="0.25">
      <c r="A12" s="170">
        <f>MAX(A$10:A11)+1</f>
        <v>2</v>
      </c>
      <c r="C12" s="170" t="s">
        <v>452</v>
      </c>
      <c r="E12" s="189" t="s">
        <v>453</v>
      </c>
      <c r="G12" s="188">
        <v>618</v>
      </c>
      <c r="I12" s="188">
        <f>('A-Blocking'!N82+'A-Blocking'!N111)/1000</f>
        <v>612.09</v>
      </c>
      <c r="K12" s="188">
        <f t="shared" ref="K12:K13" si="0">I12-G12</f>
        <v>-5.9099999999999682</v>
      </c>
      <c r="M12" s="188">
        <v>-17</v>
      </c>
      <c r="O12" s="188">
        <f>('A-Blocking'!N80+'A-Blocking'!N109)/1000</f>
        <v>-16.816568</v>
      </c>
      <c r="Q12" s="188">
        <f t="shared" ref="Q12:Q13" si="1">O12-M12</f>
        <v>0.18343199999999982</v>
      </c>
    </row>
    <row r="13" spans="1:17" x14ac:dyDescent="0.25">
      <c r="A13" s="170">
        <f>MAX(A$10:A12)+1</f>
        <v>3</v>
      </c>
      <c r="C13" s="190" t="s">
        <v>454</v>
      </c>
      <c r="E13" s="191"/>
      <c r="G13" s="192">
        <v>7</v>
      </c>
      <c r="I13" s="192">
        <f>G13</f>
        <v>7</v>
      </c>
      <c r="K13" s="192">
        <f t="shared" si="0"/>
        <v>0</v>
      </c>
      <c r="M13" s="192">
        <v>0</v>
      </c>
      <c r="O13" s="192">
        <v>0</v>
      </c>
      <c r="Q13" s="192">
        <f t="shared" si="1"/>
        <v>0</v>
      </c>
    </row>
    <row r="14" spans="1:17" x14ac:dyDescent="0.25">
      <c r="A14" s="170">
        <f>MAX(A$10:A13)+1</f>
        <v>4</v>
      </c>
      <c r="C14" s="178" t="s">
        <v>455</v>
      </c>
      <c r="G14" s="188">
        <f>SUM(G11:G13)</f>
        <v>750013</v>
      </c>
      <c r="I14" s="188">
        <f>SUM(I11:I13)</f>
        <v>750012.19799999997</v>
      </c>
      <c r="K14" s="188">
        <f>SUM(K11:K13)</f>
        <v>-0.80199999999251759</v>
      </c>
      <c r="M14" s="188">
        <f>SUM(M11:M13)</f>
        <v>-19819</v>
      </c>
      <c r="O14" s="188">
        <f>SUM(O11:O13)</f>
        <v>-20299.917358800001</v>
      </c>
      <c r="Q14" s="188">
        <f>SUM(Q11:Q13)</f>
        <v>-480.91735880000289</v>
      </c>
    </row>
    <row r="15" spans="1:17" x14ac:dyDescent="0.25">
      <c r="C15" s="178" t="s">
        <v>456</v>
      </c>
      <c r="G15" s="188"/>
      <c r="I15" s="188"/>
      <c r="K15" s="188"/>
      <c r="M15" s="188"/>
      <c r="O15" s="188"/>
      <c r="Q15" s="188"/>
    </row>
    <row r="16" spans="1:17" ht="24.95" customHeight="1" x14ac:dyDescent="0.25">
      <c r="A16" s="170">
        <f>MAX(A$10:A15)+1</f>
        <v>5</v>
      </c>
      <c r="C16" s="170" t="s">
        <v>457</v>
      </c>
      <c r="E16" s="186">
        <v>6</v>
      </c>
      <c r="G16" s="188">
        <v>476520</v>
      </c>
      <c r="I16" s="188">
        <f>('A-Blocking'!N238-'A-Blocking'!N258+'A-Blocking'!N382-'A-Blocking'!N400+'A-Blocking'!N518-'A-Blocking'!N536+'A-Blocking'!N690+'A-Blocking'!N772+'A-Blocking'!N848)/1000</f>
        <v>476519.69799999997</v>
      </c>
      <c r="K16" s="188">
        <f t="shared" ref="K16:K18" si="2">I16-G16</f>
        <v>-0.30200000002514571</v>
      </c>
      <c r="M16" s="188">
        <v>-10620</v>
      </c>
      <c r="O16" s="188">
        <f>('A-Blocking'!N236-'A-Blocking'!N255+'A-Blocking'!N380-'A-Blocking'!N398+'A-Blocking'!N516-'A-Blocking'!N534+'A-Blocking'!N687+'A-Blocking'!N770+'A-Blocking'!N846)/1000</f>
        <v>-10620.397446600002</v>
      </c>
      <c r="Q16" s="188">
        <f t="shared" ref="Q16:Q18" si="3">O16-M16</f>
        <v>-0.39744660000178555</v>
      </c>
    </row>
    <row r="17" spans="1:17" x14ac:dyDescent="0.25">
      <c r="A17" s="170">
        <f>MAX(A$10:A16)+1</f>
        <v>6</v>
      </c>
      <c r="C17" s="170" t="s">
        <v>458</v>
      </c>
      <c r="E17" s="189" t="s">
        <v>459</v>
      </c>
      <c r="G17" s="188">
        <v>47049</v>
      </c>
      <c r="I17" s="188">
        <f>('A-Blocking'!N982+'A-Blocking'!N1076+'A-Blocking'!N1164)/1000</f>
        <v>47048.864000000001</v>
      </c>
      <c r="K17" s="188">
        <f t="shared" si="2"/>
        <v>-0.13599999999860302</v>
      </c>
      <c r="M17" s="188">
        <v>-1101</v>
      </c>
      <c r="O17" s="188">
        <f>('A-Blocking'!N979+'A-Blocking'!N1074+'A-Blocking'!N1162)/1000</f>
        <v>-1100.9400672000002</v>
      </c>
      <c r="Q17" s="188">
        <f t="shared" si="3"/>
        <v>5.9932799999842246E-2</v>
      </c>
    </row>
    <row r="18" spans="1:17" x14ac:dyDescent="0.25">
      <c r="A18" s="170">
        <f>MAX(A$10:A17)+1</f>
        <v>7</v>
      </c>
      <c r="C18" s="170" t="s">
        <v>460</v>
      </c>
      <c r="E18" s="189" t="s">
        <v>461</v>
      </c>
      <c r="G18" s="192">
        <v>310</v>
      </c>
      <c r="I18" s="192">
        <f>('A-Blocking'!N552-'A-Blocking'!N569+'A-Blocking'!N904)/1000</f>
        <v>310.33499999999998</v>
      </c>
      <c r="K18" s="192">
        <f t="shared" si="2"/>
        <v>0.33499999999997954</v>
      </c>
      <c r="M18" s="192">
        <v>-7</v>
      </c>
      <c r="O18" s="192">
        <f>('A-Blocking'!N550-'A-Blocking'!N567+'A-Blocking'!N902)/1000</f>
        <v>-6.5582655000000001</v>
      </c>
      <c r="Q18" s="192">
        <f t="shared" si="3"/>
        <v>0.44173449999999992</v>
      </c>
    </row>
    <row r="19" spans="1:17" x14ac:dyDescent="0.25">
      <c r="A19" s="193">
        <f>MAX(A$10:A18)+1</f>
        <v>8</v>
      </c>
      <c r="B19" s="193"/>
      <c r="C19" s="193" t="s">
        <v>462</v>
      </c>
      <c r="D19" s="193"/>
      <c r="E19" s="193"/>
      <c r="F19" s="193"/>
      <c r="G19" s="194">
        <f>SUM(G16:G18)</f>
        <v>523879</v>
      </c>
      <c r="H19" s="195"/>
      <c r="I19" s="194">
        <f>SUM(I16:I18)</f>
        <v>523878.897</v>
      </c>
      <c r="J19" s="195"/>
      <c r="K19" s="194">
        <f>SUM(K16:K18)</f>
        <v>-0.10300000002376919</v>
      </c>
      <c r="L19" s="193"/>
      <c r="M19" s="194">
        <f>SUM(M16:M18)</f>
        <v>-11728</v>
      </c>
      <c r="N19" s="195"/>
      <c r="O19" s="194">
        <f>SUM(O16:O18)</f>
        <v>-11727.895779300001</v>
      </c>
      <c r="P19" s="195"/>
      <c r="Q19" s="194">
        <f>SUM(Q16:Q18)</f>
        <v>0.10422069999805661</v>
      </c>
    </row>
    <row r="20" spans="1:17" s="193" customFormat="1" x14ac:dyDescent="0.25">
      <c r="A20" s="170">
        <f>MAX(A$10:A19)+1</f>
        <v>9</v>
      </c>
      <c r="B20" s="170"/>
      <c r="C20" s="170" t="s">
        <v>463</v>
      </c>
      <c r="D20" s="170"/>
      <c r="E20" s="170">
        <v>8</v>
      </c>
      <c r="F20" s="187"/>
      <c r="G20" s="188">
        <v>148125</v>
      </c>
      <c r="H20" s="196"/>
      <c r="I20" s="188">
        <f>('A-Blocking'!N1394+'A-Blocking'!N1456+'A-Blocking'!N1476)/1000</f>
        <v>148125.87700000001</v>
      </c>
      <c r="J20" s="196"/>
      <c r="K20" s="188">
        <f t="shared" ref="K20:K22" si="4">I20-G20</f>
        <v>0.87700000000768341</v>
      </c>
      <c r="L20" s="187"/>
      <c r="M20" s="188">
        <v>-3224</v>
      </c>
      <c r="N20" s="196"/>
      <c r="O20" s="188">
        <f>('A-Blocking'!N1392+'A-Blocking'!N1454+'A-Blocking'!N1474)/1000</f>
        <v>-3224.4666749999997</v>
      </c>
      <c r="P20" s="196"/>
      <c r="Q20" s="188">
        <f t="shared" ref="Q20:Q22" si="5">O20-M20</f>
        <v>-0.46667499999966822</v>
      </c>
    </row>
    <row r="21" spans="1:17" ht="21.95" customHeight="1" x14ac:dyDescent="0.25">
      <c r="A21" s="170">
        <f>MAX(A$10:A20)+1</f>
        <v>10</v>
      </c>
      <c r="C21" s="170" t="s">
        <v>464</v>
      </c>
      <c r="E21" s="170">
        <v>9</v>
      </c>
      <c r="G21" s="188">
        <v>272898</v>
      </c>
      <c r="I21" s="188">
        <f>'A-Blocking'!N1495/1000</f>
        <v>272897.489</v>
      </c>
      <c r="K21" s="188">
        <f t="shared" si="4"/>
        <v>-0.51099999999860302</v>
      </c>
      <c r="M21" s="188">
        <v>-6132</v>
      </c>
      <c r="O21" s="188">
        <f>'A-Blocking'!N1493/1000</f>
        <v>-6132.1618133999991</v>
      </c>
      <c r="Q21" s="188">
        <f t="shared" si="5"/>
        <v>-0.1618133999991187</v>
      </c>
    </row>
    <row r="22" spans="1:17" ht="21.95" customHeight="1" x14ac:dyDescent="0.25">
      <c r="A22" s="170">
        <f>MAX(A$10:A21)+1</f>
        <v>11</v>
      </c>
      <c r="C22" s="170" t="s">
        <v>465</v>
      </c>
      <c r="E22" s="189" t="s">
        <v>466</v>
      </c>
      <c r="G22" s="192">
        <v>2994</v>
      </c>
      <c r="I22" s="192">
        <f>'A-Blocking'!N1557/1000</f>
        <v>2993.1880000000001</v>
      </c>
      <c r="K22" s="192">
        <f t="shared" si="4"/>
        <v>-0.81199999999989814</v>
      </c>
      <c r="M22" s="192">
        <v>-59</v>
      </c>
      <c r="O22" s="192">
        <f>'A-Blocking'!N1555/1000</f>
        <v>-58.568394599999998</v>
      </c>
      <c r="Q22" s="192">
        <f t="shared" si="5"/>
        <v>0.43160540000000225</v>
      </c>
    </row>
    <row r="23" spans="1:17" x14ac:dyDescent="0.25">
      <c r="A23" s="170">
        <f>MAX(A$10:A22)+1</f>
        <v>12</v>
      </c>
      <c r="C23" s="193" t="s">
        <v>467</v>
      </c>
      <c r="D23" s="193"/>
      <c r="E23" s="193"/>
      <c r="F23" s="193"/>
      <c r="G23" s="194">
        <f>SUM(G21:G22)</f>
        <v>275892</v>
      </c>
      <c r="H23" s="195"/>
      <c r="I23" s="194">
        <f>SUM(I21:I22)</f>
        <v>275890.67700000003</v>
      </c>
      <c r="J23" s="195"/>
      <c r="K23" s="194">
        <f>SUM(K21:K22)</f>
        <v>-1.3229999999985012</v>
      </c>
      <c r="L23" s="193"/>
      <c r="M23" s="194">
        <f>SUM(M21:M22)</f>
        <v>-6191</v>
      </c>
      <c r="N23" s="195"/>
      <c r="O23" s="194">
        <f>SUM(O21:O22)</f>
        <v>-6190.730207999999</v>
      </c>
      <c r="P23" s="195"/>
      <c r="Q23" s="194">
        <f>SUM(Q21:Q22)</f>
        <v>0.26979200000088355</v>
      </c>
    </row>
    <row r="24" spans="1:17" x14ac:dyDescent="0.25">
      <c r="A24" s="170">
        <f>MAX(A$10:A23)+1</f>
        <v>13</v>
      </c>
      <c r="C24" s="170" t="s">
        <v>468</v>
      </c>
      <c r="E24" s="189">
        <v>10</v>
      </c>
      <c r="G24" s="188">
        <v>16043</v>
      </c>
      <c r="I24" s="188">
        <f>('A-Blocking'!N1619+'A-Blocking'!N1639)/1000</f>
        <v>16042.852000000001</v>
      </c>
      <c r="K24" s="188">
        <f t="shared" ref="K24:K25" si="6">I24-G24</f>
        <v>-0.14799999999922875</v>
      </c>
      <c r="M24" s="188">
        <v>-404</v>
      </c>
      <c r="O24" s="188">
        <f>('A-Blocking'!N1617+'A-Blocking'!N1637)/1000</f>
        <v>-404.4995437</v>
      </c>
      <c r="Q24" s="188">
        <f t="shared" ref="Q24:Q25" si="7">O24-M24</f>
        <v>-0.49954370000000381</v>
      </c>
    </row>
    <row r="25" spans="1:17" x14ac:dyDescent="0.25">
      <c r="A25" s="170">
        <f>MAX(A$10:A24)+1</f>
        <v>14</v>
      </c>
      <c r="C25" s="170" t="s">
        <v>469</v>
      </c>
      <c r="E25" s="189" t="s">
        <v>470</v>
      </c>
      <c r="G25" s="192">
        <v>1947</v>
      </c>
      <c r="I25" s="192">
        <f>'A-Blocking'!N1657/1000</f>
        <v>1947.394</v>
      </c>
      <c r="K25" s="192">
        <f t="shared" si="6"/>
        <v>0.39400000000000546</v>
      </c>
      <c r="M25" s="192">
        <v>-50</v>
      </c>
      <c r="O25" s="192">
        <f>'A-Blocking'!N1655/1000</f>
        <v>-49.862705900000002</v>
      </c>
      <c r="Q25" s="192">
        <f t="shared" si="7"/>
        <v>0.13729409999999831</v>
      </c>
    </row>
    <row r="26" spans="1:17" x14ac:dyDescent="0.25">
      <c r="A26" s="170">
        <f>MAX(A$10:A25)+1</f>
        <v>15</v>
      </c>
      <c r="C26" s="193" t="s">
        <v>471</v>
      </c>
      <c r="D26" s="193"/>
      <c r="E26" s="193"/>
      <c r="F26" s="193"/>
      <c r="G26" s="194">
        <f>SUM(G24:G25)</f>
        <v>17990</v>
      </c>
      <c r="H26" s="195"/>
      <c r="I26" s="194">
        <f>SUM(I24:I25)</f>
        <v>17990.245999999999</v>
      </c>
      <c r="J26" s="195"/>
      <c r="K26" s="194">
        <f>SUM(K24:K25)</f>
        <v>0.24600000000077671</v>
      </c>
      <c r="L26" s="193"/>
      <c r="M26" s="194">
        <f>SUM(M24:M25)</f>
        <v>-454</v>
      </c>
      <c r="N26" s="195"/>
      <c r="O26" s="194">
        <f>SUM(O24:O25)</f>
        <v>-454.36224959999998</v>
      </c>
      <c r="P26" s="195"/>
      <c r="Q26" s="194">
        <f>SUM(Q24:Q25)</f>
        <v>-0.3622496000000055</v>
      </c>
    </row>
    <row r="27" spans="1:17" x14ac:dyDescent="0.25">
      <c r="A27" s="170">
        <f>MAX(A$10:A26)+1</f>
        <v>16</v>
      </c>
      <c r="C27" s="170" t="s">
        <v>472</v>
      </c>
      <c r="E27" s="170">
        <v>21</v>
      </c>
      <c r="G27" s="188">
        <v>504</v>
      </c>
      <c r="I27" s="188">
        <f>('A-Blocking'!N1899+'A-Blocking'!N1917)/1000</f>
        <v>503.84</v>
      </c>
      <c r="K27" s="188">
        <f t="shared" ref="K27:K35" si="8">I27-G27</f>
        <v>-0.16000000000002501</v>
      </c>
      <c r="M27" s="188">
        <v>-11</v>
      </c>
      <c r="O27" s="188">
        <f>('A-Blocking'!N1897+'A-Blocking'!N1915)/1000</f>
        <v>-10.781768699999999</v>
      </c>
      <c r="Q27" s="188">
        <f t="shared" ref="Q27:Q35" si="9">O27-M27</f>
        <v>0.21823130000000113</v>
      </c>
    </row>
    <row r="28" spans="1:17" ht="21.95" customHeight="1" x14ac:dyDescent="0.25">
      <c r="A28" s="170">
        <f>MAX(A$10:A27)+1</f>
        <v>17</v>
      </c>
      <c r="C28" s="170" t="s">
        <v>473</v>
      </c>
      <c r="E28" s="186">
        <v>23</v>
      </c>
      <c r="G28" s="188">
        <v>138042</v>
      </c>
      <c r="I28" s="188">
        <f>('A-Blocking'!N1998+'A-Blocking'!N2092+'A-Blocking'!N2181)/1000</f>
        <v>138041.82800000001</v>
      </c>
      <c r="K28" s="188">
        <f t="shared" si="8"/>
        <v>-0.17199999999138527</v>
      </c>
      <c r="M28" s="188">
        <v>-3023</v>
      </c>
      <c r="O28" s="188">
        <f>('A-Blocking'!N1995+'A-Blocking'!N2090+'A-Blocking'!N2179)/1000</f>
        <v>-3023.3054504000006</v>
      </c>
      <c r="Q28" s="188">
        <f t="shared" si="9"/>
        <v>-0.30545040000060908</v>
      </c>
    </row>
    <row r="29" spans="1:17" x14ac:dyDescent="0.25">
      <c r="A29" s="170">
        <f>MAX(A$10:A28)+1</f>
        <v>18</v>
      </c>
      <c r="C29" s="170" t="s">
        <v>474</v>
      </c>
      <c r="E29" s="170">
        <v>31</v>
      </c>
      <c r="G29" s="188">
        <v>12591</v>
      </c>
      <c r="I29" s="188">
        <f>('A-Blocking'!N2331)/1000</f>
        <v>12590.477000000001</v>
      </c>
      <c r="K29" s="188">
        <f t="shared" si="8"/>
        <v>-0.52299999999922875</v>
      </c>
      <c r="M29" s="188">
        <v>-236</v>
      </c>
      <c r="O29" s="188">
        <f>('A-Blocking'!N2312+'A-Blocking'!N2327)/1000</f>
        <v>-235.8406209</v>
      </c>
      <c r="Q29" s="188">
        <f t="shared" si="9"/>
        <v>0.15937909999999533</v>
      </c>
    </row>
    <row r="30" spans="1:17" x14ac:dyDescent="0.25">
      <c r="A30" s="170">
        <f>MAX(A$10:A29)+1</f>
        <v>19</v>
      </c>
      <c r="C30" s="170" t="s">
        <v>475</v>
      </c>
      <c r="E30" s="170">
        <v>32</v>
      </c>
      <c r="G30" s="188">
        <v>13353</v>
      </c>
      <c r="I30" s="188">
        <f>'A-Blocking'!N2606/1000</f>
        <v>13353.13</v>
      </c>
      <c r="K30" s="188">
        <f t="shared" si="8"/>
        <v>0.12999999999919964</v>
      </c>
      <c r="M30" s="188">
        <v>-33</v>
      </c>
      <c r="O30" s="188">
        <f>'A-Blocking'!N2602/1000</f>
        <v>-32.961176099999996</v>
      </c>
      <c r="Q30" s="188">
        <f t="shared" si="9"/>
        <v>3.882390000000413E-2</v>
      </c>
    </row>
    <row r="31" spans="1:17" x14ac:dyDescent="0.25">
      <c r="A31" s="170">
        <f>MAX(A$10:A30)+1</f>
        <v>20</v>
      </c>
      <c r="C31" s="170" t="s">
        <v>476</v>
      </c>
      <c r="E31" s="170">
        <v>34</v>
      </c>
      <c r="G31" s="188">
        <v>13028</v>
      </c>
      <c r="I31" s="188">
        <f>'A-Blocking'!N2610/1000</f>
        <v>13027.75819123467</v>
      </c>
      <c r="K31" s="188">
        <f t="shared" si="8"/>
        <v>-0.24180876532955153</v>
      </c>
      <c r="M31" s="188">
        <v>0</v>
      </c>
      <c r="O31" s="188">
        <v>0</v>
      </c>
      <c r="Q31" s="188">
        <f t="shared" si="9"/>
        <v>0</v>
      </c>
    </row>
    <row r="32" spans="1:17" x14ac:dyDescent="0.25">
      <c r="A32" s="170">
        <f>MAX(A$10:A31)+1</f>
        <v>21</v>
      </c>
      <c r="C32" s="170" t="s">
        <v>416</v>
      </c>
      <c r="E32" s="189"/>
      <c r="G32" s="188">
        <v>31874</v>
      </c>
      <c r="I32" s="188">
        <f>'A-Blocking'!N2623/1000</f>
        <v>31874.342000000001</v>
      </c>
      <c r="K32" s="188">
        <f t="shared" si="8"/>
        <v>0.34200000000055297</v>
      </c>
      <c r="M32" s="188">
        <v>-725</v>
      </c>
      <c r="O32" s="188">
        <f>'A-Blocking'!N2621/1000</f>
        <v>-724.61573580000004</v>
      </c>
      <c r="Q32" s="188">
        <f t="shared" si="9"/>
        <v>0.38426419999996142</v>
      </c>
    </row>
    <row r="33" spans="1:17" x14ac:dyDescent="0.25">
      <c r="A33" s="170">
        <f>MAX(A$10:A32)+1</f>
        <v>22</v>
      </c>
      <c r="C33" s="170" t="s">
        <v>425</v>
      </c>
      <c r="E33" s="189"/>
      <c r="G33" s="188">
        <v>31979</v>
      </c>
      <c r="I33" s="188">
        <f>'A-Blocking'!N2633/1000</f>
        <v>31979.111000000001</v>
      </c>
      <c r="K33" s="188">
        <f t="shared" si="8"/>
        <v>0.1110000000007858</v>
      </c>
      <c r="M33" s="188">
        <v>-729</v>
      </c>
      <c r="O33" s="188">
        <f>'A-Blocking'!N2631/1000</f>
        <v>-729.12373079999998</v>
      </c>
      <c r="Q33" s="188">
        <f t="shared" si="9"/>
        <v>-0.12373079999997572</v>
      </c>
    </row>
    <row r="34" spans="1:17" x14ac:dyDescent="0.25">
      <c r="A34" s="170">
        <f>MAX(A$10:A33)+1</f>
        <v>23</v>
      </c>
      <c r="C34" s="170" t="s">
        <v>427</v>
      </c>
      <c r="E34" s="189"/>
      <c r="G34" s="188">
        <v>62958</v>
      </c>
      <c r="I34" s="188">
        <f>'A-Blocking'!N2640/1000</f>
        <v>62957.593017309679</v>
      </c>
      <c r="K34" s="188">
        <f t="shared" si="8"/>
        <v>-0.40698269032145618</v>
      </c>
      <c r="M34" s="188">
        <v>0</v>
      </c>
      <c r="O34" s="188">
        <v>0</v>
      </c>
      <c r="Q34" s="188">
        <f t="shared" si="9"/>
        <v>0</v>
      </c>
    </row>
    <row r="35" spans="1:17" x14ac:dyDescent="0.25">
      <c r="A35" s="170">
        <f>MAX(A$10:A34)+1</f>
        <v>24</v>
      </c>
      <c r="C35" s="190" t="s">
        <v>454</v>
      </c>
      <c r="E35" s="191"/>
      <c r="G35" s="192">
        <v>4797</v>
      </c>
      <c r="I35" s="192">
        <f>G35</f>
        <v>4797</v>
      </c>
      <c r="K35" s="192">
        <f t="shared" si="8"/>
        <v>0</v>
      </c>
      <c r="M35" s="192">
        <v>0</v>
      </c>
      <c r="O35" s="192">
        <v>0</v>
      </c>
      <c r="Q35" s="192">
        <f t="shared" si="9"/>
        <v>0</v>
      </c>
    </row>
    <row r="36" spans="1:17" x14ac:dyDescent="0.25">
      <c r="A36" s="170">
        <f>MAX(A$10:A35)+1</f>
        <v>25</v>
      </c>
      <c r="C36" s="178" t="s">
        <v>477</v>
      </c>
      <c r="G36" s="188">
        <f>SUM(G16:G18,G20:G20,G21:G22,G24:G25,G27:G28,G29:G35)</f>
        <v>1275012</v>
      </c>
      <c r="I36" s="188">
        <f>SUM(I16:I18,I20:I20,I21:I22,I24:I25,I27:I28,I29:I35)</f>
        <v>1275010.7762085441</v>
      </c>
      <c r="K36" s="188">
        <f>SUM(K16:K18,K20:K20,K21:K22,K24:K25,K27:K28,K29:K35)</f>
        <v>-1.2237914556549185</v>
      </c>
      <c r="M36" s="188">
        <f>SUM(M16:M18,M20:M20,M21:M22,M24:M25,M27:M28,M29:M35)</f>
        <v>-26354</v>
      </c>
      <c r="O36" s="188">
        <f>SUM(O16:O18,O20:O20,O21:O22,O24:O25,O27:O28,O29:O35)</f>
        <v>-26354.083394599991</v>
      </c>
      <c r="Q36" s="188">
        <f>SUM(Q16:Q18,Q20:Q20,Q21:Q22,Q24:Q25,Q27:Q28,Q29:Q35)</f>
        <v>-8.3394600001356345E-2</v>
      </c>
    </row>
    <row r="37" spans="1:17" x14ac:dyDescent="0.25">
      <c r="C37" s="178" t="s">
        <v>478</v>
      </c>
      <c r="G37" s="188"/>
      <c r="I37" s="188"/>
      <c r="K37" s="188"/>
      <c r="M37" s="188"/>
      <c r="O37" s="188"/>
      <c r="Q37" s="188"/>
    </row>
    <row r="38" spans="1:17" ht="24.95" customHeight="1" x14ac:dyDescent="0.25">
      <c r="A38" s="170">
        <f>MAX(A$10:A37)+1</f>
        <v>26</v>
      </c>
      <c r="C38" s="170" t="s">
        <v>479</v>
      </c>
      <c r="E38" s="170">
        <v>7</v>
      </c>
      <c r="G38" s="188">
        <v>1383</v>
      </c>
      <c r="I38" s="188">
        <f>'A-Blocking'!N1206/1000</f>
        <v>1383.2668705464662</v>
      </c>
      <c r="K38" s="188">
        <f t="shared" ref="K38:K42" si="10">I38-G38</f>
        <v>0.2668705464661798</v>
      </c>
      <c r="M38" s="188">
        <v>-24</v>
      </c>
      <c r="O38" s="188">
        <f>'A-Blocking'!N1203/1000</f>
        <v>-24.207170234563161</v>
      </c>
      <c r="Q38" s="188">
        <f t="shared" ref="Q38:Q42" si="11">O38-M38</f>
        <v>-0.20717023456316142</v>
      </c>
    </row>
    <row r="39" spans="1:17" x14ac:dyDescent="0.25">
      <c r="A39" s="170">
        <f>MAX(A$10:A38)+1</f>
        <v>27</v>
      </c>
      <c r="C39" s="170" t="s">
        <v>480</v>
      </c>
      <c r="E39" s="170">
        <v>11</v>
      </c>
      <c r="G39" s="188">
        <v>3759</v>
      </c>
      <c r="I39" s="188">
        <f>'A-Blocking'!N1716/1000</f>
        <v>3759.4048698993784</v>
      </c>
      <c r="K39" s="188">
        <f t="shared" si="10"/>
        <v>0.4048698993783546</v>
      </c>
      <c r="M39" s="188">
        <v>-66</v>
      </c>
      <c r="O39" s="188">
        <f>'A-Blocking'!N1714/1000</f>
        <v>-65.789585223239115</v>
      </c>
      <c r="Q39" s="188">
        <f t="shared" si="11"/>
        <v>0.21041477676088505</v>
      </c>
    </row>
    <row r="40" spans="1:17" x14ac:dyDescent="0.25">
      <c r="A40" s="170">
        <f>MAX(A$10:A39)+1</f>
        <v>28</v>
      </c>
      <c r="C40" s="170" t="s">
        <v>481</v>
      </c>
      <c r="E40" s="170">
        <v>12</v>
      </c>
      <c r="G40" s="188">
        <v>1403</v>
      </c>
      <c r="I40" s="188">
        <f>'A-Blocking'!N1807/1000</f>
        <v>1384.8784946300007</v>
      </c>
      <c r="K40" s="188">
        <f t="shared" si="10"/>
        <v>-18.12150536999934</v>
      </c>
      <c r="M40" s="188">
        <v>-25</v>
      </c>
      <c r="O40" s="188">
        <f>'A-Blocking'!N1805/1000</f>
        <v>-24.235373656025011</v>
      </c>
      <c r="Q40" s="188">
        <f t="shared" si="11"/>
        <v>0.76462634397498874</v>
      </c>
    </row>
    <row r="41" spans="1:17" x14ac:dyDescent="0.25">
      <c r="A41" s="170">
        <f>MAX(A$10:A40)+1</f>
        <v>29</v>
      </c>
      <c r="C41" s="170" t="s">
        <v>482</v>
      </c>
      <c r="E41" s="170">
        <v>15</v>
      </c>
      <c r="G41" s="188">
        <v>781</v>
      </c>
      <c r="I41" s="188">
        <f>'A-Blocking'!N1818/1000</f>
        <v>781.11300000000006</v>
      </c>
      <c r="K41" s="188">
        <f t="shared" si="10"/>
        <v>0.11300000000005639</v>
      </c>
      <c r="M41" s="188">
        <v>-14</v>
      </c>
      <c r="O41" s="188">
        <f>'A-Blocking'!N1816/1000</f>
        <v>-14.359892400000001</v>
      </c>
      <c r="Q41" s="188">
        <f t="shared" si="11"/>
        <v>-0.35989240000000144</v>
      </c>
    </row>
    <row r="42" spans="1:17" x14ac:dyDescent="0.25">
      <c r="A42" s="170">
        <f>MAX(A$10:A41)+1</f>
        <v>30</v>
      </c>
      <c r="C42" s="170" t="s">
        <v>483</v>
      </c>
      <c r="E42" s="170">
        <v>15</v>
      </c>
      <c r="G42" s="192">
        <v>803</v>
      </c>
      <c r="I42" s="192">
        <f>'A-Blocking'!N1859/1000</f>
        <v>802.61</v>
      </c>
      <c r="K42" s="192">
        <f t="shared" si="10"/>
        <v>-0.38999999999998636</v>
      </c>
      <c r="M42" s="192">
        <v>-15</v>
      </c>
      <c r="O42" s="192">
        <f>'A-Blocking'!N1857/1000</f>
        <v>-15.304865400000001</v>
      </c>
      <c r="Q42" s="192">
        <f t="shared" si="11"/>
        <v>-0.30486540000000062</v>
      </c>
    </row>
    <row r="43" spans="1:17" x14ac:dyDescent="0.25">
      <c r="A43" s="170">
        <f>MAX(A$10:A42)+1</f>
        <v>31</v>
      </c>
      <c r="C43" s="193" t="s">
        <v>484</v>
      </c>
      <c r="D43" s="197"/>
      <c r="F43" s="197"/>
      <c r="G43" s="188">
        <f>SUM(G38:G42)</f>
        <v>8129</v>
      </c>
      <c r="H43" s="188"/>
      <c r="I43" s="188">
        <f>SUM(I38:I42)</f>
        <v>8111.2732350758452</v>
      </c>
      <c r="J43" s="188"/>
      <c r="K43" s="188">
        <f>SUM(K38:K42)</f>
        <v>-17.726764924154736</v>
      </c>
      <c r="L43" s="197"/>
      <c r="M43" s="188">
        <f>SUM(M38:M42)</f>
        <v>-144</v>
      </c>
      <c r="N43" s="188"/>
      <c r="O43" s="188">
        <f>SUM(O38:O42)</f>
        <v>-143.8968869138273</v>
      </c>
      <c r="P43" s="188"/>
      <c r="Q43" s="188">
        <f>SUM(Q38:Q42)</f>
        <v>0.10311308617271031</v>
      </c>
    </row>
    <row r="44" spans="1:17" x14ac:dyDescent="0.25">
      <c r="A44" s="170">
        <f>MAX(A$10:A43)+1</f>
        <v>32</v>
      </c>
      <c r="C44" s="170" t="s">
        <v>485</v>
      </c>
      <c r="E44" s="189"/>
      <c r="G44" s="188">
        <v>1</v>
      </c>
      <c r="I44" s="188">
        <f>'A-Blocking'!N2649/1000</f>
        <v>0.55700000000000005</v>
      </c>
      <c r="K44" s="188">
        <f t="shared" ref="K44:K45" si="12">I44-G44</f>
        <v>-0.44299999999999995</v>
      </c>
      <c r="M44" s="188">
        <v>0</v>
      </c>
      <c r="O44" s="188">
        <v>0</v>
      </c>
      <c r="Q44" s="188">
        <f t="shared" ref="Q44:Q45" si="13">O44-M44</f>
        <v>0</v>
      </c>
    </row>
    <row r="45" spans="1:17" ht="21.95" customHeight="1" x14ac:dyDescent="0.25">
      <c r="A45" s="170">
        <f>MAX(A$10:A44)+1</f>
        <v>33</v>
      </c>
      <c r="C45" s="190" t="s">
        <v>454</v>
      </c>
      <c r="D45" s="198"/>
      <c r="E45" s="191"/>
      <c r="F45" s="198"/>
      <c r="G45" s="192">
        <v>5</v>
      </c>
      <c r="I45" s="192">
        <f>G45</f>
        <v>5</v>
      </c>
      <c r="K45" s="192">
        <f t="shared" si="12"/>
        <v>0</v>
      </c>
      <c r="L45" s="198"/>
      <c r="M45" s="192">
        <v>0</v>
      </c>
      <c r="O45" s="192">
        <v>0</v>
      </c>
      <c r="Q45" s="192">
        <f t="shared" si="13"/>
        <v>0</v>
      </c>
    </row>
    <row r="46" spans="1:17" x14ac:dyDescent="0.25">
      <c r="A46" s="170">
        <f>MAX(A$10:A45)+1</f>
        <v>34</v>
      </c>
      <c r="C46" s="199" t="s">
        <v>486</v>
      </c>
      <c r="E46" s="200"/>
      <c r="G46" s="192">
        <f>SUM(G44:G45)+G43</f>
        <v>8135</v>
      </c>
      <c r="I46" s="192">
        <f>SUM(I44:I45)+I43</f>
        <v>8116.8302350758449</v>
      </c>
      <c r="K46" s="192">
        <f>SUM(K44:K45)+K43</f>
        <v>-18.169764924154737</v>
      </c>
      <c r="M46" s="192">
        <f>SUM(M44:M45)+M43</f>
        <v>-144</v>
      </c>
      <c r="O46" s="192">
        <f>SUM(O44:O45)+O43</f>
        <v>-143.8968869138273</v>
      </c>
      <c r="Q46" s="192">
        <f>SUM(Q44:Q45)+Q43</f>
        <v>0.10311308617271031</v>
      </c>
    </row>
    <row r="47" spans="1:17" ht="21.95" customHeight="1" thickBot="1" x14ac:dyDescent="0.3">
      <c r="A47" s="170">
        <f>MAX(A$10:A46)+1</f>
        <v>35</v>
      </c>
      <c r="C47" s="201" t="s">
        <v>487</v>
      </c>
      <c r="E47" s="202"/>
      <c r="G47" s="203">
        <f>G46+G36+G14</f>
        <v>2033160</v>
      </c>
      <c r="I47" s="203">
        <f>I46+I36+I14</f>
        <v>2033139.8044436201</v>
      </c>
      <c r="K47" s="203">
        <f>K46+K36+K14</f>
        <v>-20.195556379802174</v>
      </c>
      <c r="M47" s="203">
        <f>M46+M36+M14</f>
        <v>-46317</v>
      </c>
      <c r="O47" s="203">
        <f>O46+O36+O14</f>
        <v>-46797.897640313822</v>
      </c>
      <c r="Q47" s="203">
        <f>Q46+Q36+Q14</f>
        <v>-480.89764031383152</v>
      </c>
    </row>
    <row r="48" spans="1:17" ht="24.95" customHeight="1" thickTop="1" x14ac:dyDescent="0.25"/>
  </sheetData>
  <printOptions horizontalCentered="1"/>
  <pageMargins left="0.5" right="0.5" top="1" bottom="0.5" header="0.5" footer="0.2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229"/>
  <sheetViews>
    <sheetView view="pageBreakPreview" topLeftCell="A201" zoomScale="60" zoomScaleNormal="100" workbookViewId="0">
      <selection activeCell="A2" sqref="A2"/>
    </sheetView>
  </sheetViews>
  <sheetFormatPr defaultColWidth="9" defaultRowHeight="15.75" x14ac:dyDescent="0.25"/>
  <cols>
    <col min="1" max="1" width="33.125" style="5" customWidth="1"/>
    <col min="2" max="2" width="1.875" style="5" customWidth="1"/>
    <col min="3" max="3" width="14.875" style="6" customWidth="1"/>
    <col min="4" max="4" width="1.875" style="5" customWidth="1"/>
    <col min="5" max="5" width="12.125" style="5" customWidth="1"/>
    <col min="6" max="6" width="1.875" style="5" customWidth="1"/>
    <col min="7" max="7" width="14.875" style="7" customWidth="1"/>
    <col min="8" max="8" width="12.125" style="53" customWidth="1"/>
    <col min="9" max="9" width="1.875" style="53" customWidth="1"/>
    <col min="10" max="10" width="14.875" style="54" customWidth="1"/>
    <col min="11" max="16384" width="9" style="5"/>
  </cols>
  <sheetData>
    <row r="1" spans="1:10" ht="18.75" x14ac:dyDescent="0.3">
      <c r="A1" s="1" t="s">
        <v>502</v>
      </c>
      <c r="B1" s="2"/>
      <c r="C1" s="3"/>
      <c r="D1" s="2"/>
      <c r="E1" s="2"/>
      <c r="F1" s="2"/>
      <c r="G1" s="4"/>
      <c r="H1" s="45"/>
      <c r="I1" s="45"/>
      <c r="J1" s="46"/>
    </row>
    <row r="2" spans="1:10" ht="18.75" x14ac:dyDescent="0.3">
      <c r="A2" s="1" t="s">
        <v>0</v>
      </c>
      <c r="B2" s="2"/>
      <c r="C2" s="3"/>
      <c r="D2" s="2"/>
      <c r="E2" s="2"/>
      <c r="F2" s="2"/>
      <c r="G2" s="4"/>
      <c r="H2" s="45"/>
      <c r="I2" s="45"/>
      <c r="J2" s="46"/>
    </row>
    <row r="3" spans="1:10" ht="18.75" x14ac:dyDescent="0.3">
      <c r="A3" s="1" t="s">
        <v>48</v>
      </c>
      <c r="B3" s="2"/>
      <c r="C3" s="3"/>
      <c r="D3" s="2"/>
      <c r="E3" s="2"/>
      <c r="F3" s="2"/>
      <c r="G3" s="4"/>
      <c r="H3" s="45"/>
      <c r="I3" s="45"/>
      <c r="J3" s="46"/>
    </row>
    <row r="5" spans="1:10" x14ac:dyDescent="0.25">
      <c r="C5" s="8"/>
      <c r="E5" s="9" t="s">
        <v>49</v>
      </c>
      <c r="F5" s="9"/>
      <c r="G5" s="10"/>
      <c r="H5" s="47" t="s">
        <v>50</v>
      </c>
      <c r="I5" s="47"/>
      <c r="J5" s="48"/>
    </row>
    <row r="6" spans="1:10" x14ac:dyDescent="0.25">
      <c r="C6" s="11" t="s">
        <v>2</v>
      </c>
      <c r="E6" s="14"/>
      <c r="F6" s="15"/>
      <c r="G6" s="13" t="s">
        <v>3</v>
      </c>
      <c r="H6" s="49"/>
      <c r="I6" s="50"/>
      <c r="J6" s="51" t="s">
        <v>3</v>
      </c>
    </row>
    <row r="7" spans="1:10" x14ac:dyDescent="0.25">
      <c r="C7" s="17" t="s">
        <v>4</v>
      </c>
      <c r="E7" s="14" t="s">
        <v>5</v>
      </c>
      <c r="F7" s="12"/>
      <c r="G7" s="13" t="s">
        <v>4</v>
      </c>
      <c r="H7" s="49" t="s">
        <v>5</v>
      </c>
      <c r="I7" s="52"/>
      <c r="J7" s="51" t="s">
        <v>4</v>
      </c>
    </row>
    <row r="8" spans="1:10" x14ac:dyDescent="0.25">
      <c r="A8" s="15" t="s">
        <v>6</v>
      </c>
    </row>
    <row r="9" spans="1:10" x14ac:dyDescent="0.25">
      <c r="A9" s="19" t="s">
        <v>7</v>
      </c>
      <c r="C9" s="6">
        <v>9344849.0845141169</v>
      </c>
      <c r="E9" s="20"/>
      <c r="F9" s="20"/>
      <c r="H9" s="55"/>
      <c r="I9" s="55"/>
    </row>
    <row r="10" spans="1:10" x14ac:dyDescent="0.25">
      <c r="A10" s="19" t="s">
        <v>8</v>
      </c>
      <c r="C10" s="6">
        <v>9329308</v>
      </c>
      <c r="E10" s="20"/>
      <c r="F10" s="20"/>
      <c r="H10" s="55"/>
      <c r="I10" s="55"/>
    </row>
    <row r="11" spans="1:10" x14ac:dyDescent="0.25">
      <c r="A11" s="19" t="s">
        <v>9</v>
      </c>
      <c r="C11" s="6">
        <v>7140845</v>
      </c>
      <c r="E11" s="22">
        <v>8</v>
      </c>
      <c r="F11" s="20"/>
      <c r="G11" s="7">
        <f>ROUND($C11*E11,0)</f>
        <v>57126760</v>
      </c>
      <c r="H11" s="56">
        <v>10</v>
      </c>
      <c r="I11" s="55"/>
      <c r="J11" s="54">
        <f>ROUND($C11*H11,0)</f>
        <v>71408450</v>
      </c>
    </row>
    <row r="12" spans="1:10" x14ac:dyDescent="0.25">
      <c r="A12" s="19" t="s">
        <v>10</v>
      </c>
      <c r="C12" s="6">
        <v>2188463</v>
      </c>
      <c r="E12" s="22">
        <v>6</v>
      </c>
      <c r="F12" s="20"/>
      <c r="G12" s="7">
        <f>ROUND($C12*E12,0)</f>
        <v>13130778</v>
      </c>
      <c r="H12" s="56">
        <v>6</v>
      </c>
      <c r="I12" s="55"/>
      <c r="J12" s="54">
        <f>ROUND($C12*H12,0)</f>
        <v>13130778</v>
      </c>
    </row>
    <row r="13" spans="1:10" x14ac:dyDescent="0.25">
      <c r="A13" s="19" t="s">
        <v>11</v>
      </c>
      <c r="C13" s="6">
        <v>15541.084514116868</v>
      </c>
      <c r="E13" s="20"/>
      <c r="F13" s="20"/>
      <c r="H13" s="55"/>
      <c r="I13" s="55"/>
    </row>
    <row r="14" spans="1:10" x14ac:dyDescent="0.25">
      <c r="A14" s="19" t="s">
        <v>9</v>
      </c>
      <c r="C14" s="6">
        <v>3325.0845141168684</v>
      </c>
      <c r="E14" s="20">
        <f>E11*2</f>
        <v>16</v>
      </c>
      <c r="F14" s="20"/>
      <c r="G14" s="7">
        <f>ROUND($C14*E14,0)</f>
        <v>53201</v>
      </c>
      <c r="H14" s="55">
        <f>H11*2</f>
        <v>20</v>
      </c>
      <c r="I14" s="55"/>
      <c r="J14" s="54">
        <f>ROUND($C14*H14,0)</f>
        <v>66502</v>
      </c>
    </row>
    <row r="15" spans="1:10" x14ac:dyDescent="0.25">
      <c r="A15" s="19" t="s">
        <v>10</v>
      </c>
      <c r="C15" s="6">
        <v>12216</v>
      </c>
      <c r="E15" s="20">
        <f>E12*2</f>
        <v>12</v>
      </c>
      <c r="F15" s="20"/>
      <c r="G15" s="7">
        <f>ROUND($C15*E15,0)</f>
        <v>146592</v>
      </c>
      <c r="H15" s="55">
        <f>H12*2</f>
        <v>12</v>
      </c>
      <c r="I15" s="55"/>
      <c r="J15" s="54">
        <f>ROUND($C15*H15,0)</f>
        <v>146592</v>
      </c>
    </row>
    <row r="16" spans="1:10" x14ac:dyDescent="0.25">
      <c r="A16" s="19" t="s">
        <v>12</v>
      </c>
      <c r="C16" s="6">
        <v>0</v>
      </c>
      <c r="E16" s="20">
        <v>2</v>
      </c>
      <c r="F16" s="20"/>
      <c r="G16" s="7">
        <f>ROUND($C16*E16,0)</f>
        <v>0</v>
      </c>
      <c r="H16" s="55">
        <v>2</v>
      </c>
      <c r="I16" s="55"/>
      <c r="J16" s="54">
        <f>ROUND($C16*H16,0)</f>
        <v>0</v>
      </c>
    </row>
    <row r="17" spans="1:10" x14ac:dyDescent="0.25">
      <c r="A17" s="19" t="s">
        <v>13</v>
      </c>
      <c r="C17" s="6">
        <v>253</v>
      </c>
      <c r="E17" s="20">
        <v>22</v>
      </c>
      <c r="F17" s="20"/>
      <c r="G17" s="7">
        <f>ROUND($C17*E17,0)</f>
        <v>5566</v>
      </c>
      <c r="H17" s="55">
        <v>22</v>
      </c>
      <c r="I17" s="55"/>
      <c r="J17" s="54">
        <f>ROUND($C17*H17,0)</f>
        <v>5566</v>
      </c>
    </row>
    <row r="18" spans="1:10" x14ac:dyDescent="0.25">
      <c r="A18" s="19" t="s">
        <v>14</v>
      </c>
      <c r="C18" s="6">
        <v>17284</v>
      </c>
      <c r="E18" s="20"/>
      <c r="F18" s="20"/>
      <c r="H18" s="55"/>
      <c r="I18" s="55"/>
    </row>
    <row r="19" spans="1:10" x14ac:dyDescent="0.25">
      <c r="A19" s="19" t="s">
        <v>9</v>
      </c>
      <c r="C19" s="6">
        <v>12077</v>
      </c>
      <c r="E19" s="20"/>
      <c r="F19" s="20"/>
      <c r="H19" s="55"/>
      <c r="I19" s="55"/>
    </row>
    <row r="20" spans="1:10" x14ac:dyDescent="0.25">
      <c r="A20" s="19" t="s">
        <v>10</v>
      </c>
      <c r="C20" s="6">
        <v>5207</v>
      </c>
      <c r="E20" s="20"/>
      <c r="F20" s="20"/>
      <c r="H20" s="55"/>
      <c r="I20" s="55"/>
    </row>
    <row r="21" spans="1:10" x14ac:dyDescent="0.25">
      <c r="A21" s="19" t="s">
        <v>15</v>
      </c>
      <c r="C21" s="6">
        <v>29</v>
      </c>
      <c r="E21" s="20"/>
      <c r="F21" s="24"/>
      <c r="H21" s="55"/>
      <c r="I21" s="57"/>
    </row>
    <row r="22" spans="1:10" x14ac:dyDescent="0.25">
      <c r="A22" s="19" t="s">
        <v>9</v>
      </c>
      <c r="C22" s="6">
        <v>7</v>
      </c>
      <c r="E22" s="20"/>
      <c r="F22" s="20"/>
      <c r="H22" s="55"/>
      <c r="I22" s="55"/>
    </row>
    <row r="23" spans="1:10" x14ac:dyDescent="0.25">
      <c r="A23" s="19" t="s">
        <v>10</v>
      </c>
      <c r="C23" s="6">
        <v>22</v>
      </c>
      <c r="E23" s="20"/>
      <c r="F23" s="20"/>
      <c r="H23" s="55"/>
      <c r="I23" s="55"/>
    </row>
    <row r="24" spans="1:10" x14ac:dyDescent="0.25">
      <c r="A24" s="19" t="s">
        <v>16</v>
      </c>
      <c r="C24" s="6">
        <v>4</v>
      </c>
      <c r="E24" s="20"/>
      <c r="F24" s="24"/>
      <c r="H24" s="55"/>
      <c r="I24" s="57"/>
    </row>
    <row r="25" spans="1:10" x14ac:dyDescent="0.25">
      <c r="A25" s="19" t="s">
        <v>17</v>
      </c>
      <c r="C25" s="6">
        <v>0</v>
      </c>
      <c r="E25" s="25">
        <v>4.3559999999999999</v>
      </c>
      <c r="F25" s="26" t="s">
        <v>18</v>
      </c>
      <c r="G25" s="7">
        <f t="shared" ref="G25:G31" si="0">ROUND($C25*E25/100,0)</f>
        <v>0</v>
      </c>
      <c r="H25" s="58">
        <f>E25</f>
        <v>4.3559999999999999</v>
      </c>
      <c r="I25" s="59" t="s">
        <v>18</v>
      </c>
      <c r="J25" s="54">
        <f t="shared" ref="J25:J31" si="1">ROUND($C25*H25/100,0)</f>
        <v>0</v>
      </c>
    </row>
    <row r="26" spans="1:10" x14ac:dyDescent="0.25">
      <c r="A26" s="19" t="s">
        <v>19</v>
      </c>
      <c r="C26" s="6">
        <v>0</v>
      </c>
      <c r="E26" s="25">
        <v>-1.6334</v>
      </c>
      <c r="F26" s="26" t="s">
        <v>18</v>
      </c>
      <c r="G26" s="7">
        <f t="shared" si="0"/>
        <v>0</v>
      </c>
      <c r="H26" s="58">
        <f>E26</f>
        <v>-1.6334</v>
      </c>
      <c r="I26" s="59" t="s">
        <v>18</v>
      </c>
      <c r="J26" s="54">
        <f t="shared" si="1"/>
        <v>0</v>
      </c>
    </row>
    <row r="27" spans="1:10" x14ac:dyDescent="0.25">
      <c r="A27" s="19" t="s">
        <v>20</v>
      </c>
      <c r="C27" s="6">
        <v>1080475944.5283775</v>
      </c>
      <c r="E27" s="28">
        <v>9.2802000000000007</v>
      </c>
      <c r="F27" s="26" t="s">
        <v>18</v>
      </c>
      <c r="G27" s="7">
        <f t="shared" si="0"/>
        <v>100270329</v>
      </c>
      <c r="H27" s="60">
        <v>9.0279000000000007</v>
      </c>
      <c r="I27" s="59" t="s">
        <v>18</v>
      </c>
      <c r="J27" s="54">
        <f t="shared" si="1"/>
        <v>97544288</v>
      </c>
    </row>
    <row r="28" spans="1:10" x14ac:dyDescent="0.25">
      <c r="A28" s="19" t="s">
        <v>21</v>
      </c>
      <c r="C28" s="6">
        <v>960049471</v>
      </c>
      <c r="E28" s="28">
        <v>11.9733</v>
      </c>
      <c r="F28" s="26" t="s">
        <v>18</v>
      </c>
      <c r="G28" s="7">
        <f t="shared" si="0"/>
        <v>114949603</v>
      </c>
      <c r="H28" s="60">
        <v>11.721</v>
      </c>
      <c r="I28" s="59" t="s">
        <v>18</v>
      </c>
      <c r="J28" s="54">
        <f t="shared" si="1"/>
        <v>112527398</v>
      </c>
    </row>
    <row r="29" spans="1:10" x14ac:dyDescent="0.25">
      <c r="A29" s="19" t="s">
        <v>22</v>
      </c>
      <c r="C29" s="6">
        <v>527790900</v>
      </c>
      <c r="E29" s="28">
        <f>E28</f>
        <v>11.9733</v>
      </c>
      <c r="F29" s="26" t="s">
        <v>18</v>
      </c>
      <c r="G29" s="7">
        <f t="shared" si="0"/>
        <v>63193988</v>
      </c>
      <c r="H29" s="60">
        <f>H28</f>
        <v>11.721</v>
      </c>
      <c r="I29" s="59" t="s">
        <v>18</v>
      </c>
      <c r="J29" s="54">
        <f t="shared" si="1"/>
        <v>61862371</v>
      </c>
    </row>
    <row r="30" spans="1:10" x14ac:dyDescent="0.25">
      <c r="A30" s="19" t="s">
        <v>23</v>
      </c>
      <c r="B30" s="29"/>
      <c r="C30" s="6">
        <v>2051977461</v>
      </c>
      <c r="D30" s="29"/>
      <c r="E30" s="30">
        <v>8.2126000000000001</v>
      </c>
      <c r="F30" s="26" t="s">
        <v>18</v>
      </c>
      <c r="G30" s="7">
        <f t="shared" si="0"/>
        <v>168520701</v>
      </c>
      <c r="H30" s="61">
        <v>7.9893000000000001</v>
      </c>
      <c r="I30" s="59" t="s">
        <v>18</v>
      </c>
      <c r="J30" s="54">
        <f t="shared" si="1"/>
        <v>163938635</v>
      </c>
    </row>
    <row r="31" spans="1:10" x14ac:dyDescent="0.25">
      <c r="A31" s="19" t="s">
        <v>24</v>
      </c>
      <c r="B31" s="29"/>
      <c r="C31" s="6">
        <v>1671527763</v>
      </c>
      <c r="D31" s="29"/>
      <c r="E31" s="30">
        <v>10.5959</v>
      </c>
      <c r="F31" s="26" t="s">
        <v>18</v>
      </c>
      <c r="G31" s="7">
        <f t="shared" si="0"/>
        <v>177113410</v>
      </c>
      <c r="H31" s="61">
        <v>10.3725</v>
      </c>
      <c r="I31" s="59" t="s">
        <v>18</v>
      </c>
      <c r="J31" s="54">
        <f t="shared" si="1"/>
        <v>173379217</v>
      </c>
    </row>
    <row r="32" spans="1:10" x14ac:dyDescent="0.25">
      <c r="A32" s="19" t="s">
        <v>25</v>
      </c>
      <c r="C32" s="6">
        <v>0</v>
      </c>
      <c r="E32" s="25"/>
      <c r="F32" s="26"/>
      <c r="H32" s="58"/>
      <c r="I32" s="59"/>
    </row>
    <row r="33" spans="1:10" x14ac:dyDescent="0.25">
      <c r="A33" s="19" t="s">
        <v>26</v>
      </c>
      <c r="C33" s="6">
        <v>0</v>
      </c>
      <c r="E33" s="25"/>
      <c r="F33" s="26"/>
      <c r="H33" s="58"/>
      <c r="I33" s="59"/>
    </row>
    <row r="34" spans="1:10" x14ac:dyDescent="0.25">
      <c r="A34" s="19" t="s">
        <v>27</v>
      </c>
      <c r="C34" s="6">
        <v>1356162146.5283775</v>
      </c>
      <c r="E34" s="28"/>
      <c r="F34" s="26"/>
      <c r="H34" s="60"/>
      <c r="I34" s="59"/>
    </row>
    <row r="35" spans="1:10" x14ac:dyDescent="0.25">
      <c r="A35" s="19" t="s">
        <v>28</v>
      </c>
      <c r="C35" s="6">
        <v>1083453568</v>
      </c>
      <c r="E35" s="28"/>
      <c r="F35" s="26"/>
      <c r="H35" s="60"/>
      <c r="I35" s="59"/>
    </row>
    <row r="36" spans="1:10" x14ac:dyDescent="0.25">
      <c r="A36" s="19" t="s">
        <v>29</v>
      </c>
      <c r="C36" s="6">
        <v>560494056</v>
      </c>
      <c r="E36" s="28"/>
      <c r="F36" s="26"/>
      <c r="H36" s="60"/>
      <c r="I36" s="59"/>
    </row>
    <row r="37" spans="1:10" x14ac:dyDescent="0.25">
      <c r="A37" s="19" t="s">
        <v>30</v>
      </c>
      <c r="B37" s="29"/>
      <c r="C37" s="6">
        <v>1776482587</v>
      </c>
      <c r="D37" s="29"/>
      <c r="E37" s="30"/>
      <c r="F37" s="26"/>
      <c r="H37" s="61"/>
      <c r="I37" s="59"/>
    </row>
    <row r="38" spans="1:10" x14ac:dyDescent="0.25">
      <c r="A38" s="19" t="s">
        <v>31</v>
      </c>
      <c r="B38" s="29"/>
      <c r="C38" s="6">
        <v>1515229182</v>
      </c>
      <c r="D38" s="29"/>
      <c r="E38" s="30"/>
      <c r="F38" s="26"/>
      <c r="H38" s="61"/>
      <c r="I38" s="59"/>
    </row>
    <row r="39" spans="1:10" x14ac:dyDescent="0.25">
      <c r="A39" s="32" t="s">
        <v>32</v>
      </c>
      <c r="B39" s="33"/>
      <c r="C39" s="6">
        <v>15864580</v>
      </c>
      <c r="D39" s="33"/>
      <c r="E39" s="31">
        <v>12.243600000000001</v>
      </c>
      <c r="F39" s="35" t="s">
        <v>18</v>
      </c>
      <c r="G39" s="7">
        <f>ROUND($C39*E39/100,0)</f>
        <v>1942396</v>
      </c>
      <c r="H39" s="62">
        <v>11.912599999999999</v>
      </c>
      <c r="I39" s="63" t="s">
        <v>18</v>
      </c>
      <c r="J39" s="54">
        <f>ROUND($C39*H39/100,0)</f>
        <v>1889884</v>
      </c>
    </row>
    <row r="40" spans="1:10" x14ac:dyDescent="0.25">
      <c r="A40" s="19" t="s">
        <v>33</v>
      </c>
      <c r="C40" s="36">
        <v>0</v>
      </c>
      <c r="G40" s="37"/>
      <c r="J40" s="64"/>
    </row>
    <row r="41" spans="1:10" x14ac:dyDescent="0.25">
      <c r="A41" s="19" t="s">
        <v>34</v>
      </c>
      <c r="E41" s="23">
        <v>-3.0200000000000001E-2</v>
      </c>
      <c r="F41" s="24"/>
      <c r="G41" s="7">
        <f>E41*SUM(G27:G31,G39)</f>
        <v>-18904910.895399999</v>
      </c>
      <c r="H41" s="65">
        <v>-1.5100000000000001E-2</v>
      </c>
      <c r="I41" s="57"/>
      <c r="J41" s="54">
        <f>H41*SUM(J27:J31,J39)</f>
        <v>-9228241.0743000004</v>
      </c>
    </row>
    <row r="42" spans="1:10" x14ac:dyDescent="0.25">
      <c r="A42" s="32" t="s">
        <v>35</v>
      </c>
      <c r="C42" s="6">
        <v>-316213</v>
      </c>
      <c r="E42" s="23"/>
      <c r="F42" s="24"/>
      <c r="H42" s="65"/>
      <c r="I42" s="57"/>
    </row>
    <row r="43" spans="1:10" ht="16.5" thickBot="1" x14ac:dyDescent="0.3">
      <c r="A43" s="19" t="s">
        <v>36</v>
      </c>
      <c r="C43" s="38">
        <v>6307369906.5283775</v>
      </c>
      <c r="E43" s="39"/>
      <c r="G43" s="40">
        <f>SUM(G11:G40)</f>
        <v>696453324</v>
      </c>
      <c r="H43" s="66"/>
      <c r="J43" s="67">
        <f>SUM(J11:J40)</f>
        <v>695899681</v>
      </c>
    </row>
    <row r="44" spans="1:10" ht="16.5" thickTop="1" x14ac:dyDescent="0.25"/>
    <row r="45" spans="1:10" x14ac:dyDescent="0.25">
      <c r="A45" s="15" t="s">
        <v>37</v>
      </c>
    </row>
    <row r="46" spans="1:10" x14ac:dyDescent="0.25">
      <c r="A46" s="19" t="s">
        <v>7</v>
      </c>
      <c r="C46" s="6">
        <v>4350</v>
      </c>
      <c r="E46" s="20"/>
      <c r="F46" s="20"/>
      <c r="H46" s="55"/>
      <c r="I46" s="55"/>
    </row>
    <row r="47" spans="1:10" x14ac:dyDescent="0.25">
      <c r="A47" s="19" t="s">
        <v>8</v>
      </c>
      <c r="C47" s="6">
        <v>4339</v>
      </c>
      <c r="E47" s="20"/>
      <c r="F47" s="20"/>
      <c r="H47" s="55"/>
      <c r="I47" s="55"/>
    </row>
    <row r="48" spans="1:10" x14ac:dyDescent="0.25">
      <c r="A48" s="19" t="s">
        <v>9</v>
      </c>
      <c r="C48" s="6">
        <v>3371</v>
      </c>
      <c r="E48" s="20">
        <f>E11</f>
        <v>8</v>
      </c>
      <c r="F48" s="20"/>
      <c r="G48" s="7">
        <f>ROUND($C48*E48,0)</f>
        <v>26968</v>
      </c>
      <c r="H48" s="55">
        <f>H11</f>
        <v>10</v>
      </c>
      <c r="I48" s="55"/>
      <c r="J48" s="54">
        <f>ROUND($C48*H48,0)</f>
        <v>33710</v>
      </c>
    </row>
    <row r="49" spans="1:10" x14ac:dyDescent="0.25">
      <c r="A49" s="19" t="s">
        <v>10</v>
      </c>
      <c r="C49" s="6">
        <v>968</v>
      </c>
      <c r="E49" s="20">
        <f>E12</f>
        <v>6</v>
      </c>
      <c r="F49" s="20"/>
      <c r="G49" s="7">
        <f>ROUND($C49*E49,0)</f>
        <v>5808</v>
      </c>
      <c r="H49" s="55">
        <f>H12</f>
        <v>6</v>
      </c>
      <c r="I49" s="55"/>
      <c r="J49" s="54">
        <f>ROUND($C49*H49,0)</f>
        <v>5808</v>
      </c>
    </row>
    <row r="50" spans="1:10" x14ac:dyDescent="0.25">
      <c r="A50" s="19" t="s">
        <v>11</v>
      </c>
      <c r="C50" s="6">
        <v>11</v>
      </c>
      <c r="E50" s="20"/>
      <c r="F50" s="20"/>
      <c r="H50" s="55"/>
      <c r="I50" s="55"/>
    </row>
    <row r="51" spans="1:10" x14ac:dyDescent="0.25">
      <c r="A51" s="19" t="s">
        <v>9</v>
      </c>
      <c r="C51" s="6">
        <v>11</v>
      </c>
      <c r="E51" s="20">
        <f>E14</f>
        <v>16</v>
      </c>
      <c r="F51" s="20"/>
      <c r="G51" s="7">
        <f>ROUND($C51*E51,0)</f>
        <v>176</v>
      </c>
      <c r="H51" s="55">
        <f>H14</f>
        <v>20</v>
      </c>
      <c r="I51" s="55"/>
      <c r="J51" s="54">
        <f>ROUND($C51*H51,0)</f>
        <v>220</v>
      </c>
    </row>
    <row r="52" spans="1:10" x14ac:dyDescent="0.25">
      <c r="A52" s="19" t="s">
        <v>10</v>
      </c>
      <c r="C52" s="6">
        <v>0</v>
      </c>
      <c r="E52" s="20">
        <f>E15</f>
        <v>12</v>
      </c>
      <c r="F52" s="20"/>
      <c r="G52" s="7">
        <f>ROUND($C52*E52,0)</f>
        <v>0</v>
      </c>
      <c r="H52" s="55">
        <f>H15</f>
        <v>12</v>
      </c>
      <c r="I52" s="55"/>
      <c r="J52" s="54">
        <f>ROUND($C52*H52,0)</f>
        <v>0</v>
      </c>
    </row>
    <row r="53" spans="1:10" x14ac:dyDescent="0.25">
      <c r="A53" s="19" t="s">
        <v>12</v>
      </c>
      <c r="C53" s="6">
        <v>0</v>
      </c>
      <c r="E53" s="20">
        <f t="shared" ref="E53:E54" si="2">E16</f>
        <v>2</v>
      </c>
      <c r="F53" s="20"/>
      <c r="G53" s="7">
        <f>ROUND($C53*E53,0)</f>
        <v>0</v>
      </c>
      <c r="H53" s="55">
        <f t="shared" ref="H53:H54" si="3">H16</f>
        <v>2</v>
      </c>
      <c r="I53" s="55"/>
      <c r="J53" s="54">
        <f>ROUND($C53*H53,0)</f>
        <v>0</v>
      </c>
    </row>
    <row r="54" spans="1:10" x14ac:dyDescent="0.25">
      <c r="A54" s="19" t="s">
        <v>13</v>
      </c>
      <c r="C54" s="6">
        <v>0</v>
      </c>
      <c r="E54" s="20">
        <f t="shared" si="2"/>
        <v>22</v>
      </c>
      <c r="F54" s="20"/>
      <c r="G54" s="7">
        <f>ROUND($C54*E54,0)</f>
        <v>0</v>
      </c>
      <c r="H54" s="55">
        <f t="shared" si="3"/>
        <v>22</v>
      </c>
      <c r="I54" s="55"/>
      <c r="J54" s="54">
        <f>ROUND($C54*H54,0)</f>
        <v>0</v>
      </c>
    </row>
    <row r="55" spans="1:10" x14ac:dyDescent="0.25">
      <c r="A55" s="19" t="s">
        <v>14</v>
      </c>
      <c r="C55" s="6">
        <v>9</v>
      </c>
      <c r="E55" s="20"/>
      <c r="F55" s="20"/>
      <c r="H55" s="55"/>
      <c r="I55" s="55"/>
    </row>
    <row r="56" spans="1:10" x14ac:dyDescent="0.25">
      <c r="A56" s="19" t="s">
        <v>9</v>
      </c>
      <c r="C56" s="6">
        <v>5</v>
      </c>
      <c r="E56" s="20"/>
      <c r="F56" s="20"/>
      <c r="H56" s="55"/>
      <c r="I56" s="55"/>
    </row>
    <row r="57" spans="1:10" x14ac:dyDescent="0.25">
      <c r="A57" s="19" t="s">
        <v>10</v>
      </c>
      <c r="C57" s="6">
        <v>4</v>
      </c>
      <c r="E57" s="20"/>
      <c r="F57" s="20"/>
      <c r="H57" s="55"/>
      <c r="I57" s="55"/>
    </row>
    <row r="58" spans="1:10" x14ac:dyDescent="0.25">
      <c r="A58" s="19" t="s">
        <v>15</v>
      </c>
      <c r="C58" s="6">
        <v>0</v>
      </c>
      <c r="E58" s="20"/>
      <c r="F58" s="20"/>
      <c r="H58" s="55"/>
      <c r="I58" s="55"/>
    </row>
    <row r="59" spans="1:10" x14ac:dyDescent="0.25">
      <c r="A59" s="19" t="s">
        <v>9</v>
      </c>
      <c r="C59" s="6">
        <v>0</v>
      </c>
      <c r="E59" s="20"/>
      <c r="F59" s="20"/>
      <c r="H59" s="55"/>
      <c r="I59" s="55"/>
    </row>
    <row r="60" spans="1:10" x14ac:dyDescent="0.25">
      <c r="A60" s="19" t="s">
        <v>10</v>
      </c>
      <c r="C60" s="6">
        <v>0</v>
      </c>
      <c r="E60" s="20"/>
      <c r="F60" s="20"/>
      <c r="H60" s="55"/>
      <c r="I60" s="55"/>
    </row>
    <row r="61" spans="1:10" x14ac:dyDescent="0.25">
      <c r="A61" s="19" t="s">
        <v>16</v>
      </c>
      <c r="C61" s="6">
        <v>0</v>
      </c>
      <c r="E61" s="20"/>
      <c r="F61" s="20"/>
      <c r="H61" s="55"/>
      <c r="I61" s="55"/>
    </row>
    <row r="62" spans="1:10" x14ac:dyDescent="0.25">
      <c r="A62" s="19" t="s">
        <v>17</v>
      </c>
      <c r="C62" s="6">
        <v>258230</v>
      </c>
      <c r="E62" s="25">
        <f>E25</f>
        <v>4.3559999999999999</v>
      </c>
      <c r="F62" s="26" t="s">
        <v>18</v>
      </c>
      <c r="G62" s="7">
        <f t="shared" ref="G62:G68" si="4">ROUND($C62*E62/100,0)</f>
        <v>11248</v>
      </c>
      <c r="H62" s="58">
        <f>H25</f>
        <v>4.3559999999999999</v>
      </c>
      <c r="I62" s="59" t="s">
        <v>18</v>
      </c>
      <c r="J62" s="54">
        <f t="shared" ref="J62:J68" si="5">ROUND($C62*H62/100,0)</f>
        <v>11248</v>
      </c>
    </row>
    <row r="63" spans="1:10" x14ac:dyDescent="0.25">
      <c r="A63" s="19" t="s">
        <v>19</v>
      </c>
      <c r="C63" s="6">
        <v>825288</v>
      </c>
      <c r="E63" s="25">
        <f t="shared" ref="E63:E68" si="6">E26</f>
        <v>-1.6334</v>
      </c>
      <c r="F63" s="26" t="s">
        <v>18</v>
      </c>
      <c r="G63" s="7">
        <f t="shared" si="4"/>
        <v>-13480</v>
      </c>
      <c r="H63" s="58">
        <f t="shared" ref="H63:H68" si="7">H26</f>
        <v>-1.6334</v>
      </c>
      <c r="I63" s="59" t="s">
        <v>18</v>
      </c>
      <c r="J63" s="54">
        <f t="shared" si="5"/>
        <v>-13480</v>
      </c>
    </row>
    <row r="64" spans="1:10" x14ac:dyDescent="0.25">
      <c r="A64" s="19" t="s">
        <v>20</v>
      </c>
      <c r="C64" s="6">
        <v>495959</v>
      </c>
      <c r="E64" s="25">
        <f t="shared" si="6"/>
        <v>9.2802000000000007</v>
      </c>
      <c r="F64" s="26" t="s">
        <v>18</v>
      </c>
      <c r="G64" s="7">
        <f t="shared" si="4"/>
        <v>46026</v>
      </c>
      <c r="H64" s="58">
        <f t="shared" si="7"/>
        <v>9.0279000000000007</v>
      </c>
      <c r="I64" s="59" t="s">
        <v>18</v>
      </c>
      <c r="J64" s="54">
        <f t="shared" si="5"/>
        <v>44775</v>
      </c>
    </row>
    <row r="65" spans="1:10" x14ac:dyDescent="0.25">
      <c r="A65" s="19" t="s">
        <v>21</v>
      </c>
      <c r="C65" s="6">
        <v>407470</v>
      </c>
      <c r="E65" s="25">
        <f t="shared" si="6"/>
        <v>11.9733</v>
      </c>
      <c r="F65" s="26" t="s">
        <v>18</v>
      </c>
      <c r="G65" s="7">
        <f t="shared" si="4"/>
        <v>48788</v>
      </c>
      <c r="H65" s="58">
        <f t="shared" si="7"/>
        <v>11.721</v>
      </c>
      <c r="I65" s="59" t="s">
        <v>18</v>
      </c>
      <c r="J65" s="54">
        <f t="shared" si="5"/>
        <v>47760</v>
      </c>
    </row>
    <row r="66" spans="1:10" x14ac:dyDescent="0.25">
      <c r="A66" s="19" t="s">
        <v>22</v>
      </c>
      <c r="C66" s="6">
        <v>186496</v>
      </c>
      <c r="E66" s="25">
        <f t="shared" si="6"/>
        <v>11.9733</v>
      </c>
      <c r="F66" s="26" t="s">
        <v>18</v>
      </c>
      <c r="G66" s="7">
        <f t="shared" si="4"/>
        <v>22330</v>
      </c>
      <c r="H66" s="58">
        <f t="shared" si="7"/>
        <v>11.721</v>
      </c>
      <c r="I66" s="59" t="s">
        <v>18</v>
      </c>
      <c r="J66" s="54">
        <f t="shared" si="5"/>
        <v>21859</v>
      </c>
    </row>
    <row r="67" spans="1:10" x14ac:dyDescent="0.25">
      <c r="A67" s="19" t="s">
        <v>23</v>
      </c>
      <c r="B67" s="29"/>
      <c r="C67" s="6">
        <v>919695</v>
      </c>
      <c r="D67" s="29"/>
      <c r="E67" s="25">
        <f t="shared" si="6"/>
        <v>8.2126000000000001</v>
      </c>
      <c r="F67" s="26" t="s">
        <v>18</v>
      </c>
      <c r="G67" s="7">
        <f t="shared" si="4"/>
        <v>75531</v>
      </c>
      <c r="H67" s="58">
        <f t="shared" si="7"/>
        <v>7.9893000000000001</v>
      </c>
      <c r="I67" s="59" t="s">
        <v>18</v>
      </c>
      <c r="J67" s="54">
        <f t="shared" si="5"/>
        <v>73477</v>
      </c>
    </row>
    <row r="68" spans="1:10" x14ac:dyDescent="0.25">
      <c r="A68" s="19" t="s">
        <v>24</v>
      </c>
      <c r="B68" s="29"/>
      <c r="C68" s="6">
        <v>734416</v>
      </c>
      <c r="D68" s="29"/>
      <c r="E68" s="25">
        <f t="shared" si="6"/>
        <v>10.5959</v>
      </c>
      <c r="F68" s="26" t="s">
        <v>18</v>
      </c>
      <c r="G68" s="7">
        <f t="shared" si="4"/>
        <v>77818</v>
      </c>
      <c r="H68" s="58">
        <f t="shared" si="7"/>
        <v>10.3725</v>
      </c>
      <c r="I68" s="59" t="s">
        <v>18</v>
      </c>
      <c r="J68" s="54">
        <f t="shared" si="5"/>
        <v>76177</v>
      </c>
    </row>
    <row r="69" spans="1:10" x14ac:dyDescent="0.25">
      <c r="A69" s="19" t="s">
        <v>25</v>
      </c>
      <c r="C69" s="6">
        <v>302460</v>
      </c>
      <c r="E69" s="25"/>
      <c r="F69" s="26"/>
      <c r="H69" s="58"/>
      <c r="I69" s="59"/>
    </row>
    <row r="70" spans="1:10" x14ac:dyDescent="0.25">
      <c r="A70" s="19" t="s">
        <v>26</v>
      </c>
      <c r="C70" s="6">
        <v>954246</v>
      </c>
      <c r="E70" s="25"/>
      <c r="F70" s="26"/>
      <c r="H70" s="58"/>
      <c r="I70" s="59"/>
    </row>
    <row r="71" spans="1:10" x14ac:dyDescent="0.25">
      <c r="A71" s="19" t="s">
        <v>27</v>
      </c>
      <c r="C71" s="6">
        <v>617449</v>
      </c>
      <c r="E71" s="30"/>
      <c r="F71" s="26"/>
      <c r="H71" s="61"/>
      <c r="I71" s="59"/>
    </row>
    <row r="72" spans="1:10" x14ac:dyDescent="0.25">
      <c r="A72" s="19" t="s">
        <v>28</v>
      </c>
      <c r="C72" s="6">
        <v>451197</v>
      </c>
      <c r="E72" s="30"/>
      <c r="F72" s="26"/>
      <c r="H72" s="61"/>
      <c r="I72" s="59"/>
    </row>
    <row r="73" spans="1:10" x14ac:dyDescent="0.25">
      <c r="A73" s="19" t="s">
        <v>29</v>
      </c>
      <c r="C73" s="6">
        <v>188068</v>
      </c>
      <c r="E73" s="30"/>
      <c r="F73" s="26"/>
      <c r="H73" s="61"/>
      <c r="I73" s="59"/>
    </row>
    <row r="74" spans="1:10" x14ac:dyDescent="0.25">
      <c r="A74" s="19" t="s">
        <v>30</v>
      </c>
      <c r="B74" s="29"/>
      <c r="C74" s="6">
        <v>810180</v>
      </c>
      <c r="D74" s="29"/>
      <c r="E74" s="30"/>
      <c r="F74" s="26"/>
      <c r="H74" s="61"/>
      <c r="I74" s="59"/>
    </row>
    <row r="75" spans="1:10" x14ac:dyDescent="0.25">
      <c r="A75" s="19" t="s">
        <v>31</v>
      </c>
      <c r="B75" s="29"/>
      <c r="C75" s="6">
        <v>677142</v>
      </c>
      <c r="D75" s="29"/>
      <c r="E75" s="30"/>
      <c r="F75" s="26"/>
      <c r="H75" s="61"/>
      <c r="I75" s="59"/>
    </row>
    <row r="76" spans="1:10" x14ac:dyDescent="0.25">
      <c r="A76" s="32" t="s">
        <v>32</v>
      </c>
      <c r="B76" s="33"/>
      <c r="C76" s="6">
        <v>0</v>
      </c>
      <c r="D76" s="33"/>
      <c r="E76" s="31">
        <f>E39</f>
        <v>12.243600000000001</v>
      </c>
      <c r="F76" s="35" t="s">
        <v>18</v>
      </c>
      <c r="G76" s="7">
        <f>ROUND($C76*E76/100,0)</f>
        <v>0</v>
      </c>
      <c r="H76" s="62">
        <f>H39</f>
        <v>11.912599999999999</v>
      </c>
      <c r="I76" s="63" t="s">
        <v>18</v>
      </c>
      <c r="J76" s="54">
        <f>ROUND($C76*H76/100,0)</f>
        <v>0</v>
      </c>
    </row>
    <row r="77" spans="1:10" x14ac:dyDescent="0.25">
      <c r="A77" s="19" t="s">
        <v>33</v>
      </c>
      <c r="C77" s="36">
        <v>0</v>
      </c>
      <c r="G77" s="37">
        <v>0</v>
      </c>
      <c r="J77" s="64">
        <v>0</v>
      </c>
    </row>
    <row r="78" spans="1:10" x14ac:dyDescent="0.25">
      <c r="A78" s="19" t="s">
        <v>34</v>
      </c>
      <c r="E78" s="23">
        <f>$E$41</f>
        <v>-3.0200000000000001E-2</v>
      </c>
      <c r="F78" s="24"/>
      <c r="G78" s="7">
        <f>E78*SUM(G64:G68,G76)</f>
        <v>-8168.8886000000002</v>
      </c>
      <c r="H78" s="65">
        <f>$H$41</f>
        <v>-1.5100000000000001E-2</v>
      </c>
      <c r="I78" s="57"/>
      <c r="J78" s="54">
        <f>H78*SUM(J64:J68,J76)</f>
        <v>-3987.1248000000001</v>
      </c>
    </row>
    <row r="79" spans="1:10" x14ac:dyDescent="0.25">
      <c r="A79" s="32" t="s">
        <v>35</v>
      </c>
      <c r="C79" s="6">
        <v>0</v>
      </c>
      <c r="E79" s="23"/>
      <c r="F79" s="24"/>
      <c r="H79" s="65"/>
      <c r="I79" s="57"/>
    </row>
    <row r="80" spans="1:10" ht="16.5" thickBot="1" x14ac:dyDescent="0.3">
      <c r="A80" s="19" t="s">
        <v>36</v>
      </c>
      <c r="C80" s="38">
        <v>2744036</v>
      </c>
      <c r="E80" s="41"/>
      <c r="G80" s="40">
        <f>SUM(G48:G77)</f>
        <v>301213</v>
      </c>
      <c r="H80" s="68"/>
      <c r="J80" s="67">
        <f>SUM(J48:J77)</f>
        <v>301554</v>
      </c>
    </row>
    <row r="81" spans="1:10" ht="16.5" thickTop="1" x14ac:dyDescent="0.25"/>
    <row r="82" spans="1:10" s="16" customFormat="1" x14ac:dyDescent="0.25">
      <c r="A82" s="42" t="s">
        <v>38</v>
      </c>
      <c r="C82" s="34"/>
      <c r="G82" s="18"/>
      <c r="H82" s="69"/>
      <c r="I82" s="69"/>
      <c r="J82" s="70"/>
    </row>
    <row r="83" spans="1:10" s="16" customFormat="1" x14ac:dyDescent="0.25">
      <c r="A83" s="32" t="s">
        <v>7</v>
      </c>
      <c r="C83" s="34">
        <v>3114</v>
      </c>
      <c r="E83" s="21"/>
      <c r="F83" s="21"/>
      <c r="G83" s="18"/>
      <c r="H83" s="71"/>
      <c r="I83" s="71"/>
      <c r="J83" s="70"/>
    </row>
    <row r="84" spans="1:10" s="16" customFormat="1" x14ac:dyDescent="0.25">
      <c r="A84" s="32" t="s">
        <v>8</v>
      </c>
      <c r="C84" s="6">
        <v>3114</v>
      </c>
      <c r="E84" s="21"/>
      <c r="F84" s="21"/>
      <c r="G84" s="18"/>
      <c r="H84" s="71"/>
      <c r="I84" s="71"/>
      <c r="J84" s="70"/>
    </row>
    <row r="85" spans="1:10" x14ac:dyDescent="0.25">
      <c r="A85" s="19" t="s">
        <v>9</v>
      </c>
      <c r="C85" s="6">
        <v>2923</v>
      </c>
      <c r="E85" s="20">
        <f>E11</f>
        <v>8</v>
      </c>
      <c r="F85" s="20"/>
      <c r="G85" s="18">
        <f>ROUND($C85*E85,0)</f>
        <v>23384</v>
      </c>
      <c r="H85" s="55">
        <f>H11</f>
        <v>10</v>
      </c>
      <c r="I85" s="55"/>
      <c r="J85" s="70">
        <f>ROUND($C85*H85,0)</f>
        <v>29230</v>
      </c>
    </row>
    <row r="86" spans="1:10" x14ac:dyDescent="0.25">
      <c r="A86" s="19" t="s">
        <v>10</v>
      </c>
      <c r="C86" s="6">
        <v>191</v>
      </c>
      <c r="E86" s="20">
        <f>E12</f>
        <v>6</v>
      </c>
      <c r="F86" s="20"/>
      <c r="G86" s="18">
        <f>ROUND($C86*E86,0)</f>
        <v>1146</v>
      </c>
      <c r="H86" s="55">
        <f>H12</f>
        <v>6</v>
      </c>
      <c r="I86" s="55"/>
      <c r="J86" s="70">
        <f>ROUND($C86*H86,0)</f>
        <v>1146</v>
      </c>
    </row>
    <row r="87" spans="1:10" s="16" customFormat="1" x14ac:dyDescent="0.25">
      <c r="A87" s="32" t="s">
        <v>11</v>
      </c>
      <c r="C87" s="6">
        <v>0</v>
      </c>
      <c r="E87" s="21"/>
      <c r="F87" s="21"/>
      <c r="G87" s="18"/>
      <c r="H87" s="71"/>
      <c r="I87" s="71"/>
      <c r="J87" s="70"/>
    </row>
    <row r="88" spans="1:10" x14ac:dyDescent="0.25">
      <c r="A88" s="19" t="s">
        <v>9</v>
      </c>
      <c r="E88" s="20">
        <f>E14</f>
        <v>16</v>
      </c>
      <c r="F88" s="20"/>
      <c r="G88" s="18">
        <f>ROUND($C88*E88,0)</f>
        <v>0</v>
      </c>
      <c r="H88" s="55">
        <f>H14</f>
        <v>20</v>
      </c>
      <c r="I88" s="55"/>
      <c r="J88" s="70">
        <f>ROUND($C88*H88,0)</f>
        <v>0</v>
      </c>
    </row>
    <row r="89" spans="1:10" x14ac:dyDescent="0.25">
      <c r="A89" s="19" t="s">
        <v>10</v>
      </c>
      <c r="E89" s="20">
        <f>E15</f>
        <v>12</v>
      </c>
      <c r="F89" s="20"/>
      <c r="G89" s="18">
        <f>ROUND($C89*E89,0)</f>
        <v>0</v>
      </c>
      <c r="H89" s="55">
        <f>H15</f>
        <v>12</v>
      </c>
      <c r="I89" s="55"/>
      <c r="J89" s="70">
        <f>ROUND($C89*H89,0)</f>
        <v>0</v>
      </c>
    </row>
    <row r="90" spans="1:10" x14ac:dyDescent="0.25">
      <c r="A90" s="19" t="s">
        <v>12</v>
      </c>
      <c r="C90" s="6">
        <v>0</v>
      </c>
      <c r="E90" s="20">
        <f t="shared" ref="E90:E91" si="8">E16</f>
        <v>2</v>
      </c>
      <c r="F90" s="20"/>
      <c r="G90" s="18">
        <f>ROUND($C90*E90,0)</f>
        <v>0</v>
      </c>
      <c r="H90" s="55">
        <f t="shared" ref="H90:H91" si="9">H16</f>
        <v>2</v>
      </c>
      <c r="I90" s="55"/>
      <c r="J90" s="70">
        <f>ROUND($C90*H90,0)</f>
        <v>0</v>
      </c>
    </row>
    <row r="91" spans="1:10" x14ac:dyDescent="0.25">
      <c r="A91" s="19" t="s">
        <v>13</v>
      </c>
      <c r="C91" s="6">
        <v>0</v>
      </c>
      <c r="E91" s="20">
        <f t="shared" si="8"/>
        <v>22</v>
      </c>
      <c r="F91" s="20"/>
      <c r="G91" s="18">
        <f>ROUND($C91*E91,0)</f>
        <v>0</v>
      </c>
      <c r="H91" s="55">
        <f t="shared" si="9"/>
        <v>22</v>
      </c>
      <c r="I91" s="55"/>
      <c r="J91" s="70">
        <f>ROUND($C91*H91,0)</f>
        <v>0</v>
      </c>
    </row>
    <row r="92" spans="1:10" s="16" customFormat="1" x14ac:dyDescent="0.25">
      <c r="A92" s="32" t="s">
        <v>14</v>
      </c>
      <c r="C92" s="6">
        <v>0</v>
      </c>
      <c r="E92" s="21"/>
      <c r="F92" s="21"/>
      <c r="G92" s="18"/>
      <c r="H92" s="71"/>
      <c r="I92" s="71"/>
      <c r="J92" s="70"/>
    </row>
    <row r="93" spans="1:10" x14ac:dyDescent="0.25">
      <c r="A93" s="19" t="s">
        <v>9</v>
      </c>
      <c r="C93" s="6">
        <v>0</v>
      </c>
      <c r="E93" s="20"/>
      <c r="F93" s="20"/>
      <c r="H93" s="55"/>
      <c r="I93" s="55"/>
    </row>
    <row r="94" spans="1:10" x14ac:dyDescent="0.25">
      <c r="A94" s="19" t="s">
        <v>10</v>
      </c>
      <c r="C94" s="6">
        <v>0</v>
      </c>
      <c r="E94" s="20"/>
      <c r="F94" s="20"/>
      <c r="H94" s="55"/>
      <c r="I94" s="55"/>
    </row>
    <row r="95" spans="1:10" s="16" customFormat="1" x14ac:dyDescent="0.25">
      <c r="A95" s="32" t="s">
        <v>15</v>
      </c>
      <c r="C95" s="6">
        <v>0</v>
      </c>
      <c r="E95" s="21"/>
      <c r="F95" s="21"/>
      <c r="G95" s="18"/>
      <c r="H95" s="71"/>
      <c r="I95" s="71"/>
      <c r="J95" s="70"/>
    </row>
    <row r="96" spans="1:10" x14ac:dyDescent="0.25">
      <c r="A96" s="19" t="s">
        <v>9</v>
      </c>
      <c r="E96" s="20"/>
      <c r="F96" s="20"/>
      <c r="H96" s="55"/>
      <c r="I96" s="55"/>
    </row>
    <row r="97" spans="1:10" x14ac:dyDescent="0.25">
      <c r="A97" s="19" t="s">
        <v>10</v>
      </c>
      <c r="E97" s="20"/>
      <c r="F97" s="20"/>
      <c r="H97" s="55"/>
      <c r="I97" s="55"/>
    </row>
    <row r="98" spans="1:10" s="16" customFormat="1" x14ac:dyDescent="0.25">
      <c r="A98" s="32" t="s">
        <v>16</v>
      </c>
      <c r="C98" s="6">
        <v>0</v>
      </c>
      <c r="E98" s="21"/>
      <c r="F98" s="21"/>
      <c r="G98" s="18"/>
      <c r="H98" s="71"/>
      <c r="I98" s="71"/>
      <c r="J98" s="70"/>
    </row>
    <row r="99" spans="1:10" s="16" customFormat="1" x14ac:dyDescent="0.25">
      <c r="A99" s="32" t="s">
        <v>39</v>
      </c>
      <c r="C99" s="34"/>
      <c r="E99" s="21"/>
      <c r="F99" s="21"/>
      <c r="G99" s="18"/>
      <c r="H99" s="71"/>
      <c r="I99" s="71"/>
      <c r="J99" s="70"/>
    </row>
    <row r="100" spans="1:10" s="16" customFormat="1" x14ac:dyDescent="0.25">
      <c r="A100" s="32" t="s">
        <v>40</v>
      </c>
      <c r="C100" s="6">
        <v>206699.0452160826</v>
      </c>
      <c r="E100" s="27">
        <v>21.033899999999999</v>
      </c>
      <c r="F100" s="35" t="s">
        <v>18</v>
      </c>
      <c r="G100" s="18">
        <f>ROUND($C100*E100/100,0)</f>
        <v>43477</v>
      </c>
      <c r="H100" s="72">
        <f>E100</f>
        <v>21.033899999999999</v>
      </c>
      <c r="I100" s="63" t="s">
        <v>18</v>
      </c>
      <c r="J100" s="70">
        <f>ROUND($C100*H100/100,0)</f>
        <v>43477</v>
      </c>
    </row>
    <row r="101" spans="1:10" s="16" customFormat="1" x14ac:dyDescent="0.25">
      <c r="A101" s="32" t="s">
        <v>41</v>
      </c>
      <c r="C101" s="6">
        <v>963611</v>
      </c>
      <c r="E101" s="27">
        <v>6.4097</v>
      </c>
      <c r="F101" s="35" t="s">
        <v>18</v>
      </c>
      <c r="G101" s="18">
        <f>ROUND($C101*E101/100,0)</f>
        <v>61765</v>
      </c>
      <c r="H101" s="72">
        <f>E101</f>
        <v>6.4097</v>
      </c>
      <c r="I101" s="63" t="s">
        <v>18</v>
      </c>
      <c r="J101" s="70">
        <f>ROUND($C101*H101/100,0)</f>
        <v>61765</v>
      </c>
    </row>
    <row r="102" spans="1:10" s="16" customFormat="1" x14ac:dyDescent="0.25">
      <c r="A102" s="32" t="s">
        <v>42</v>
      </c>
      <c r="C102" s="34"/>
      <c r="E102" s="21"/>
      <c r="F102" s="21"/>
      <c r="G102" s="18"/>
      <c r="H102" s="71"/>
      <c r="I102" s="71"/>
      <c r="J102" s="70"/>
    </row>
    <row r="103" spans="1:10" s="16" customFormat="1" x14ac:dyDescent="0.25">
      <c r="A103" s="32" t="s">
        <v>40</v>
      </c>
      <c r="C103" s="6">
        <v>347186</v>
      </c>
      <c r="E103" s="27">
        <v>32.459200000000003</v>
      </c>
      <c r="F103" s="35" t="s">
        <v>18</v>
      </c>
      <c r="G103" s="18">
        <f>ROUND($C103*E103/100,0)</f>
        <v>112694</v>
      </c>
      <c r="H103" s="72">
        <f t="shared" ref="H103:H104" si="10">E103</f>
        <v>32.459200000000003</v>
      </c>
      <c r="I103" s="63" t="s">
        <v>18</v>
      </c>
      <c r="J103" s="70">
        <f>ROUND($C103*H103/100,0)</f>
        <v>112694</v>
      </c>
    </row>
    <row r="104" spans="1:10" s="16" customFormat="1" x14ac:dyDescent="0.25">
      <c r="A104" s="32" t="s">
        <v>41</v>
      </c>
      <c r="C104" s="6">
        <v>2130652</v>
      </c>
      <c r="E104" s="27">
        <v>3.2107999999999999</v>
      </c>
      <c r="F104" s="35" t="s">
        <v>18</v>
      </c>
      <c r="G104" s="18">
        <f>ROUND($C104*E104/100,0)</f>
        <v>68411</v>
      </c>
      <c r="H104" s="72">
        <f t="shared" si="10"/>
        <v>3.2107999999999999</v>
      </c>
      <c r="I104" s="63" t="s">
        <v>18</v>
      </c>
      <c r="J104" s="70">
        <f>ROUND($C104*H104/100,0)</f>
        <v>68411</v>
      </c>
    </row>
    <row r="105" spans="1:10" s="16" customFormat="1" x14ac:dyDescent="0.25">
      <c r="A105" s="32" t="s">
        <v>43</v>
      </c>
      <c r="B105" s="33"/>
      <c r="C105" s="6">
        <v>0</v>
      </c>
      <c r="D105" s="33"/>
      <c r="E105" s="31">
        <f>E39</f>
        <v>12.243600000000001</v>
      </c>
      <c r="F105" s="35" t="s">
        <v>18</v>
      </c>
      <c r="G105" s="18">
        <f>ROUND($C105*E105/100,0)</f>
        <v>0</v>
      </c>
      <c r="H105" s="62">
        <f>H39</f>
        <v>11.912599999999999</v>
      </c>
      <c r="I105" s="63" t="s">
        <v>18</v>
      </c>
      <c r="J105" s="70">
        <f>ROUND($C105*H105/100,0)</f>
        <v>0</v>
      </c>
    </row>
    <row r="106" spans="1:10" s="16" customFormat="1" x14ac:dyDescent="0.25">
      <c r="A106" s="32" t="s">
        <v>33</v>
      </c>
      <c r="C106" s="43">
        <v>0</v>
      </c>
      <c r="G106" s="37"/>
      <c r="H106" s="69"/>
      <c r="I106" s="69"/>
      <c r="J106" s="64"/>
    </row>
    <row r="107" spans="1:10" x14ac:dyDescent="0.25">
      <c r="A107" s="19" t="s">
        <v>34</v>
      </c>
      <c r="E107" s="23">
        <f>$E$41</f>
        <v>-3.0200000000000001E-2</v>
      </c>
      <c r="F107" s="24"/>
      <c r="G107" s="7">
        <f>E107*SUM(G100:G105)</f>
        <v>-8647.6794000000009</v>
      </c>
      <c r="H107" s="65">
        <f>$H$41</f>
        <v>-1.5100000000000001E-2</v>
      </c>
      <c r="I107" s="57"/>
      <c r="J107" s="54">
        <f>H107*SUM(J100:J105)</f>
        <v>-4323.8397000000004</v>
      </c>
    </row>
    <row r="108" spans="1:10" x14ac:dyDescent="0.25">
      <c r="A108" s="32" t="s">
        <v>35</v>
      </c>
      <c r="C108" s="6">
        <v>0</v>
      </c>
      <c r="E108" s="23"/>
      <c r="F108" s="24"/>
      <c r="H108" s="65"/>
      <c r="I108" s="57"/>
    </row>
    <row r="109" spans="1:10" s="16" customFormat="1" ht="16.5" thickBot="1" x14ac:dyDescent="0.3">
      <c r="A109" s="32" t="s">
        <v>36</v>
      </c>
      <c r="C109" s="44">
        <v>3648148.0452160826</v>
      </c>
      <c r="E109" s="41"/>
      <c r="F109" s="5"/>
      <c r="G109" s="40">
        <f>SUM(G85:G106)</f>
        <v>310877</v>
      </c>
      <c r="H109" s="68"/>
      <c r="I109" s="53"/>
      <c r="J109" s="67">
        <f>SUM(J85:J106)</f>
        <v>316723</v>
      </c>
    </row>
    <row r="110" spans="1:10" s="16" customFormat="1" ht="16.5" thickTop="1" x14ac:dyDescent="0.25">
      <c r="C110" s="34"/>
      <c r="G110" s="18"/>
      <c r="H110" s="69"/>
      <c r="I110" s="69"/>
      <c r="J110" s="70"/>
    </row>
    <row r="111" spans="1:10" x14ac:dyDescent="0.25">
      <c r="A111" s="15" t="s">
        <v>44</v>
      </c>
    </row>
    <row r="112" spans="1:10" x14ac:dyDescent="0.25">
      <c r="A112" s="19" t="s">
        <v>7</v>
      </c>
      <c r="C112" s="6">
        <v>216323</v>
      </c>
      <c r="E112" s="20"/>
      <c r="F112" s="20"/>
      <c r="H112" s="55"/>
      <c r="I112" s="55"/>
    </row>
    <row r="113" spans="1:10" x14ac:dyDescent="0.25">
      <c r="A113" s="19" t="s">
        <v>8</v>
      </c>
      <c r="C113" s="6">
        <v>216152</v>
      </c>
      <c r="E113" s="20"/>
      <c r="F113" s="20"/>
      <c r="H113" s="55"/>
      <c r="I113" s="55"/>
    </row>
    <row r="114" spans="1:10" x14ac:dyDescent="0.25">
      <c r="A114" s="19" t="s">
        <v>9</v>
      </c>
      <c r="C114" s="6">
        <v>113309</v>
      </c>
      <c r="E114" s="20">
        <f>E11</f>
        <v>8</v>
      </c>
      <c r="F114" s="20"/>
      <c r="G114" s="7">
        <f>ROUND($C114*E114,0)</f>
        <v>906472</v>
      </c>
      <c r="H114" s="55">
        <f>H11</f>
        <v>10</v>
      </c>
      <c r="I114" s="55"/>
      <c r="J114" s="54">
        <f>ROUND($C114*H114,0)</f>
        <v>1133090</v>
      </c>
    </row>
    <row r="115" spans="1:10" x14ac:dyDescent="0.25">
      <c r="A115" s="19" t="s">
        <v>10</v>
      </c>
      <c r="C115" s="6">
        <v>102843</v>
      </c>
      <c r="E115" s="20">
        <f>E12</f>
        <v>6</v>
      </c>
      <c r="F115" s="20"/>
      <c r="G115" s="7">
        <f>ROUND($C115*E115,0)</f>
        <v>617058</v>
      </c>
      <c r="H115" s="55">
        <f>H12</f>
        <v>6</v>
      </c>
      <c r="I115" s="55"/>
      <c r="J115" s="54">
        <f>ROUND($C115*H115,0)</f>
        <v>617058</v>
      </c>
    </row>
    <row r="116" spans="1:10" x14ac:dyDescent="0.25">
      <c r="A116" s="19" t="s">
        <v>11</v>
      </c>
      <c r="C116" s="6">
        <v>171</v>
      </c>
      <c r="E116" s="20"/>
      <c r="F116" s="20"/>
      <c r="H116" s="55"/>
      <c r="I116" s="55"/>
    </row>
    <row r="117" spans="1:10" x14ac:dyDescent="0.25">
      <c r="A117" s="19" t="s">
        <v>9</v>
      </c>
      <c r="C117" s="6">
        <v>27</v>
      </c>
      <c r="E117" s="20">
        <f>E14</f>
        <v>16</v>
      </c>
      <c r="F117" s="20"/>
      <c r="G117" s="7">
        <f>ROUND($C117*E117,0)</f>
        <v>432</v>
      </c>
      <c r="H117" s="55">
        <f>H14</f>
        <v>20</v>
      </c>
      <c r="I117" s="55"/>
      <c r="J117" s="54">
        <f>ROUND($C117*H117,0)</f>
        <v>540</v>
      </c>
    </row>
    <row r="118" spans="1:10" x14ac:dyDescent="0.25">
      <c r="A118" s="19" t="s">
        <v>10</v>
      </c>
      <c r="C118" s="6">
        <v>144</v>
      </c>
      <c r="E118" s="20">
        <f>E15</f>
        <v>12</v>
      </c>
      <c r="F118" s="20"/>
      <c r="G118" s="7">
        <f>ROUND($C118*E118,0)</f>
        <v>1728</v>
      </c>
      <c r="H118" s="55">
        <f>H15</f>
        <v>12</v>
      </c>
      <c r="I118" s="55"/>
      <c r="J118" s="54">
        <f>ROUND($C118*H118,0)</f>
        <v>1728</v>
      </c>
    </row>
    <row r="119" spans="1:10" x14ac:dyDescent="0.25">
      <c r="A119" s="19" t="s">
        <v>12</v>
      </c>
      <c r="C119" s="6">
        <v>0</v>
      </c>
      <c r="E119" s="20">
        <f t="shared" ref="E119:E120" si="11">E16</f>
        <v>2</v>
      </c>
      <c r="F119" s="20"/>
      <c r="G119" s="7">
        <f>ROUND($C119*E119,0)</f>
        <v>0</v>
      </c>
      <c r="H119" s="55">
        <f t="shared" ref="H119:H120" si="12">H16</f>
        <v>2</v>
      </c>
      <c r="I119" s="55"/>
      <c r="J119" s="54">
        <f>ROUND($C119*H119,0)</f>
        <v>0</v>
      </c>
    </row>
    <row r="120" spans="1:10" x14ac:dyDescent="0.25">
      <c r="A120" s="19" t="s">
        <v>13</v>
      </c>
      <c r="C120" s="6">
        <v>0</v>
      </c>
      <c r="E120" s="20">
        <f t="shared" si="11"/>
        <v>22</v>
      </c>
      <c r="F120" s="20"/>
      <c r="G120" s="7">
        <f>ROUND($C120*E120,0)</f>
        <v>0</v>
      </c>
      <c r="H120" s="55">
        <f t="shared" si="12"/>
        <v>22</v>
      </c>
      <c r="I120" s="55"/>
      <c r="J120" s="54">
        <f>ROUND($C120*H120,0)</f>
        <v>0</v>
      </c>
    </row>
    <row r="121" spans="1:10" x14ac:dyDescent="0.25">
      <c r="A121" s="19" t="s">
        <v>14</v>
      </c>
      <c r="C121" s="6">
        <v>44</v>
      </c>
      <c r="E121" s="20"/>
      <c r="F121" s="20"/>
      <c r="H121" s="55"/>
      <c r="I121" s="55"/>
    </row>
    <row r="122" spans="1:10" x14ac:dyDescent="0.25">
      <c r="A122" s="19" t="s">
        <v>9</v>
      </c>
      <c r="C122" s="6">
        <v>26</v>
      </c>
      <c r="E122" s="20"/>
      <c r="F122" s="20"/>
      <c r="H122" s="55"/>
      <c r="I122" s="55"/>
    </row>
    <row r="123" spans="1:10" x14ac:dyDescent="0.25">
      <c r="A123" s="19" t="s">
        <v>10</v>
      </c>
      <c r="C123" s="6">
        <v>18</v>
      </c>
      <c r="E123" s="20"/>
      <c r="F123" s="20"/>
      <c r="H123" s="55"/>
      <c r="I123" s="55"/>
    </row>
    <row r="124" spans="1:10" x14ac:dyDescent="0.25">
      <c r="A124" s="19" t="s">
        <v>15</v>
      </c>
      <c r="C124" s="6">
        <v>0</v>
      </c>
      <c r="E124" s="20"/>
      <c r="F124" s="20"/>
      <c r="H124" s="55"/>
      <c r="I124" s="55"/>
    </row>
    <row r="125" spans="1:10" x14ac:dyDescent="0.25">
      <c r="A125" s="19" t="s">
        <v>9</v>
      </c>
      <c r="E125" s="20"/>
      <c r="F125" s="20"/>
      <c r="H125" s="55"/>
      <c r="I125" s="55"/>
    </row>
    <row r="126" spans="1:10" x14ac:dyDescent="0.25">
      <c r="A126" s="19" t="s">
        <v>10</v>
      </c>
      <c r="E126" s="20"/>
      <c r="F126" s="20"/>
      <c r="H126" s="55"/>
      <c r="I126" s="55"/>
    </row>
    <row r="127" spans="1:10" x14ac:dyDescent="0.25">
      <c r="A127" s="19" t="s">
        <v>16</v>
      </c>
      <c r="C127" s="6">
        <v>0</v>
      </c>
      <c r="E127" s="20"/>
      <c r="F127" s="20"/>
      <c r="H127" s="55"/>
      <c r="I127" s="55"/>
    </row>
    <row r="128" spans="1:10" x14ac:dyDescent="0.25">
      <c r="A128" s="19" t="s">
        <v>17</v>
      </c>
      <c r="C128" s="6">
        <v>5354</v>
      </c>
      <c r="E128" s="25">
        <f t="shared" ref="E128:E134" si="13">E25</f>
        <v>4.3559999999999999</v>
      </c>
      <c r="F128" s="26" t="s">
        <v>18</v>
      </c>
      <c r="G128" s="7">
        <f t="shared" ref="G128:G134" si="14">ROUND($C128*E128/100,0)</f>
        <v>233</v>
      </c>
      <c r="H128" s="58">
        <f t="shared" ref="H128:H134" si="15">H25</f>
        <v>4.3559999999999999</v>
      </c>
      <c r="I128" s="59" t="s">
        <v>18</v>
      </c>
      <c r="J128" s="54">
        <f t="shared" ref="J128:J134" si="16">ROUND($C128*H128/100,0)</f>
        <v>233</v>
      </c>
    </row>
    <row r="129" spans="1:10" x14ac:dyDescent="0.25">
      <c r="A129" s="19" t="s">
        <v>19</v>
      </c>
      <c r="C129" s="6">
        <v>15633</v>
      </c>
      <c r="E129" s="25">
        <f t="shared" si="13"/>
        <v>-1.6334</v>
      </c>
      <c r="F129" s="26" t="s">
        <v>18</v>
      </c>
      <c r="G129" s="7">
        <f t="shared" si="14"/>
        <v>-255</v>
      </c>
      <c r="H129" s="58">
        <f t="shared" si="15"/>
        <v>-1.6334</v>
      </c>
      <c r="I129" s="59" t="s">
        <v>18</v>
      </c>
      <c r="J129" s="54">
        <f t="shared" si="16"/>
        <v>-255</v>
      </c>
    </row>
    <row r="130" spans="1:10" x14ac:dyDescent="0.25">
      <c r="A130" s="19" t="s">
        <v>20</v>
      </c>
      <c r="C130" s="6">
        <v>26384767.707057878</v>
      </c>
      <c r="E130" s="25">
        <f t="shared" si="13"/>
        <v>9.2802000000000007</v>
      </c>
      <c r="F130" s="26" t="s">
        <v>18</v>
      </c>
      <c r="G130" s="7">
        <f t="shared" si="14"/>
        <v>2448559</v>
      </c>
      <c r="H130" s="58">
        <f t="shared" si="15"/>
        <v>9.0279000000000007</v>
      </c>
      <c r="I130" s="59" t="s">
        <v>18</v>
      </c>
      <c r="J130" s="54">
        <f t="shared" si="16"/>
        <v>2381990</v>
      </c>
    </row>
    <row r="131" spans="1:10" x14ac:dyDescent="0.25">
      <c r="A131" s="19" t="s">
        <v>21</v>
      </c>
      <c r="C131" s="6">
        <v>17765859</v>
      </c>
      <c r="E131" s="25">
        <f t="shared" si="13"/>
        <v>11.9733</v>
      </c>
      <c r="F131" s="26" t="s">
        <v>18</v>
      </c>
      <c r="G131" s="7">
        <f t="shared" si="14"/>
        <v>2127160</v>
      </c>
      <c r="H131" s="58">
        <f t="shared" si="15"/>
        <v>11.721</v>
      </c>
      <c r="I131" s="59" t="s">
        <v>18</v>
      </c>
      <c r="J131" s="54">
        <f t="shared" si="16"/>
        <v>2082336</v>
      </c>
    </row>
    <row r="132" spans="1:10" x14ac:dyDescent="0.25">
      <c r="A132" s="19" t="s">
        <v>22</v>
      </c>
      <c r="C132" s="6">
        <v>5668613</v>
      </c>
      <c r="E132" s="25">
        <f t="shared" si="13"/>
        <v>11.9733</v>
      </c>
      <c r="F132" s="26" t="s">
        <v>18</v>
      </c>
      <c r="G132" s="7">
        <f t="shared" si="14"/>
        <v>678720</v>
      </c>
      <c r="H132" s="58">
        <f t="shared" si="15"/>
        <v>11.721</v>
      </c>
      <c r="I132" s="59" t="s">
        <v>18</v>
      </c>
      <c r="J132" s="54">
        <f t="shared" si="16"/>
        <v>664418</v>
      </c>
    </row>
    <row r="133" spans="1:10" x14ac:dyDescent="0.25">
      <c r="A133" s="19" t="s">
        <v>23</v>
      </c>
      <c r="B133" s="29"/>
      <c r="C133" s="6">
        <v>51185664</v>
      </c>
      <c r="D133" s="29"/>
      <c r="E133" s="25">
        <f t="shared" si="13"/>
        <v>8.2126000000000001</v>
      </c>
      <c r="F133" s="26" t="s">
        <v>18</v>
      </c>
      <c r="G133" s="7">
        <f t="shared" si="14"/>
        <v>4203674</v>
      </c>
      <c r="H133" s="58">
        <f t="shared" si="15"/>
        <v>7.9893000000000001</v>
      </c>
      <c r="I133" s="59" t="s">
        <v>18</v>
      </c>
      <c r="J133" s="54">
        <f t="shared" si="16"/>
        <v>4089376</v>
      </c>
    </row>
    <row r="134" spans="1:10" x14ac:dyDescent="0.25">
      <c r="A134" s="19" t="s">
        <v>24</v>
      </c>
      <c r="B134" s="29"/>
      <c r="C134" s="6">
        <v>32983258</v>
      </c>
      <c r="D134" s="29"/>
      <c r="E134" s="25">
        <f t="shared" si="13"/>
        <v>10.5959</v>
      </c>
      <c r="F134" s="26" t="s">
        <v>18</v>
      </c>
      <c r="G134" s="7">
        <f t="shared" si="14"/>
        <v>3494873</v>
      </c>
      <c r="H134" s="58">
        <f t="shared" si="15"/>
        <v>10.3725</v>
      </c>
      <c r="I134" s="59" t="s">
        <v>18</v>
      </c>
      <c r="J134" s="54">
        <f t="shared" si="16"/>
        <v>3421188</v>
      </c>
    </row>
    <row r="135" spans="1:10" x14ac:dyDescent="0.25">
      <c r="A135" s="19" t="s">
        <v>25</v>
      </c>
      <c r="C135" s="6">
        <v>6768</v>
      </c>
      <c r="E135" s="25"/>
      <c r="F135" s="26"/>
      <c r="H135" s="58"/>
      <c r="I135" s="59"/>
    </row>
    <row r="136" spans="1:10" x14ac:dyDescent="0.25">
      <c r="A136" s="19" t="s">
        <v>26</v>
      </c>
      <c r="C136" s="6">
        <v>21221</v>
      </c>
      <c r="E136" s="25"/>
      <c r="F136" s="26"/>
      <c r="H136" s="58"/>
      <c r="I136" s="59"/>
    </row>
    <row r="137" spans="1:10" x14ac:dyDescent="0.25">
      <c r="A137" s="19" t="s">
        <v>27</v>
      </c>
      <c r="C137" s="6">
        <v>33384446.707057878</v>
      </c>
      <c r="E137" s="30"/>
      <c r="F137" s="26"/>
      <c r="H137" s="61"/>
      <c r="I137" s="59"/>
    </row>
    <row r="138" spans="1:10" x14ac:dyDescent="0.25">
      <c r="A138" s="19" t="s">
        <v>28</v>
      </c>
      <c r="C138" s="6">
        <v>20215888</v>
      </c>
      <c r="E138" s="30"/>
      <c r="F138" s="26"/>
      <c r="H138" s="61"/>
      <c r="I138" s="59"/>
    </row>
    <row r="139" spans="1:10" x14ac:dyDescent="0.25">
      <c r="A139" s="19" t="s">
        <v>29</v>
      </c>
      <c r="C139" s="6">
        <v>5928185</v>
      </c>
      <c r="E139" s="30"/>
      <c r="F139" s="26"/>
      <c r="H139" s="61"/>
      <c r="I139" s="59"/>
    </row>
    <row r="140" spans="1:10" x14ac:dyDescent="0.25">
      <c r="A140" s="19" t="s">
        <v>30</v>
      </c>
      <c r="B140" s="29"/>
      <c r="C140" s="6">
        <v>44288230</v>
      </c>
      <c r="D140" s="29"/>
      <c r="E140" s="30"/>
      <c r="F140" s="26"/>
      <c r="H140" s="61"/>
      <c r="I140" s="59"/>
    </row>
    <row r="141" spans="1:10" x14ac:dyDescent="0.25">
      <c r="A141" s="19" t="s">
        <v>31</v>
      </c>
      <c r="B141" s="29"/>
      <c r="C141" s="6">
        <v>30171412</v>
      </c>
      <c r="D141" s="29"/>
      <c r="E141" s="30"/>
      <c r="F141" s="26"/>
      <c r="H141" s="61"/>
      <c r="I141" s="59"/>
    </row>
    <row r="142" spans="1:10" x14ac:dyDescent="0.25">
      <c r="A142" s="32" t="s">
        <v>32</v>
      </c>
      <c r="B142" s="33"/>
      <c r="C142" s="6">
        <v>108762</v>
      </c>
      <c r="D142" s="33"/>
      <c r="E142" s="31">
        <f>E39</f>
        <v>12.243600000000001</v>
      </c>
      <c r="F142" s="35" t="s">
        <v>18</v>
      </c>
      <c r="G142" s="7">
        <f>ROUND($C142*E142/100,0)</f>
        <v>13316</v>
      </c>
      <c r="H142" s="62">
        <f>H39</f>
        <v>11.912599999999999</v>
      </c>
      <c r="I142" s="63" t="s">
        <v>18</v>
      </c>
      <c r="J142" s="54">
        <f>ROUND($C142*H142/100,0)</f>
        <v>12956</v>
      </c>
    </row>
    <row r="143" spans="1:10" x14ac:dyDescent="0.25">
      <c r="A143" s="19" t="s">
        <v>33</v>
      </c>
      <c r="C143" s="36">
        <v>0</v>
      </c>
      <c r="G143" s="37">
        <v>0</v>
      </c>
      <c r="J143" s="64">
        <v>0</v>
      </c>
    </row>
    <row r="144" spans="1:10" x14ac:dyDescent="0.25">
      <c r="A144" s="19" t="s">
        <v>34</v>
      </c>
      <c r="E144" s="23">
        <f>$E$41</f>
        <v>-3.0200000000000001E-2</v>
      </c>
      <c r="F144" s="24"/>
      <c r="G144" s="7">
        <f>E144*SUM(G130:G134,G142)</f>
        <v>-391582.32040000003</v>
      </c>
      <c r="H144" s="65">
        <f>$H$41</f>
        <v>-1.5100000000000001E-2</v>
      </c>
      <c r="I144" s="57"/>
      <c r="J144" s="54">
        <f>H144*SUM(J130:J134,J142)</f>
        <v>-191049.18640000001</v>
      </c>
    </row>
    <row r="145" spans="1:10" x14ac:dyDescent="0.25">
      <c r="A145" s="32" t="s">
        <v>35</v>
      </c>
      <c r="C145" s="6">
        <v>-3852</v>
      </c>
      <c r="E145" s="23"/>
      <c r="F145" s="24"/>
      <c r="H145" s="65"/>
      <c r="I145" s="57"/>
    </row>
    <row r="146" spans="1:10" ht="16.5" thickBot="1" x14ac:dyDescent="0.3">
      <c r="A146" s="19" t="s">
        <v>36</v>
      </c>
      <c r="C146" s="38">
        <v>134093071.70705788</v>
      </c>
      <c r="E146" s="41"/>
      <c r="G146" s="40">
        <f>SUM(G114:G143)</f>
        <v>14491970</v>
      </c>
      <c r="H146" s="68"/>
      <c r="J146" s="67">
        <f>SUM(J114:J143)</f>
        <v>14404658</v>
      </c>
    </row>
    <row r="147" spans="1:10" ht="16.5" thickTop="1" x14ac:dyDescent="0.25"/>
    <row r="148" spans="1:10" x14ac:dyDescent="0.25">
      <c r="A148" s="15" t="s">
        <v>45</v>
      </c>
    </row>
    <row r="149" spans="1:10" x14ac:dyDescent="0.25">
      <c r="A149" s="19" t="s">
        <v>7</v>
      </c>
      <c r="C149" s="6">
        <v>418416</v>
      </c>
      <c r="E149" s="20"/>
      <c r="F149" s="20"/>
      <c r="H149" s="55"/>
      <c r="I149" s="55"/>
    </row>
    <row r="150" spans="1:10" x14ac:dyDescent="0.25">
      <c r="A150" s="19" t="s">
        <v>8</v>
      </c>
      <c r="C150" s="6">
        <v>418038</v>
      </c>
      <c r="E150" s="20"/>
      <c r="F150" s="20"/>
      <c r="H150" s="55"/>
      <c r="I150" s="55"/>
    </row>
    <row r="151" spans="1:10" x14ac:dyDescent="0.25">
      <c r="A151" s="19" t="s">
        <v>9</v>
      </c>
      <c r="C151" s="6">
        <v>405641</v>
      </c>
      <c r="E151" s="20">
        <f>E11</f>
        <v>8</v>
      </c>
      <c r="F151" s="20"/>
      <c r="G151" s="7">
        <f>ROUND($C151*E151,0)</f>
        <v>3245128</v>
      </c>
      <c r="H151" s="55">
        <f>H11</f>
        <v>10</v>
      </c>
      <c r="I151" s="55"/>
      <c r="J151" s="54">
        <f>ROUND($C151*H151,0)</f>
        <v>4056410</v>
      </c>
    </row>
    <row r="152" spans="1:10" x14ac:dyDescent="0.25">
      <c r="A152" s="19" t="s">
        <v>10</v>
      </c>
      <c r="C152" s="6">
        <v>12397</v>
      </c>
      <c r="E152" s="20">
        <f>E12</f>
        <v>6</v>
      </c>
      <c r="F152" s="20"/>
      <c r="G152" s="7">
        <f>ROUND($C152*E152,0)</f>
        <v>74382</v>
      </c>
      <c r="H152" s="55">
        <f>H12</f>
        <v>6</v>
      </c>
      <c r="I152" s="55"/>
      <c r="J152" s="54">
        <f>ROUND($C152*H152,0)</f>
        <v>74382</v>
      </c>
    </row>
    <row r="153" spans="1:10" x14ac:dyDescent="0.25">
      <c r="A153" s="19" t="s">
        <v>11</v>
      </c>
      <c r="C153" s="6">
        <v>378</v>
      </c>
      <c r="E153" s="20"/>
      <c r="F153" s="20"/>
      <c r="H153" s="55"/>
      <c r="I153" s="55"/>
    </row>
    <row r="154" spans="1:10" x14ac:dyDescent="0.25">
      <c r="A154" s="19" t="s">
        <v>9</v>
      </c>
      <c r="C154" s="6">
        <v>112</v>
      </c>
      <c r="E154" s="20">
        <f>E14</f>
        <v>16</v>
      </c>
      <c r="F154" s="20"/>
      <c r="G154" s="7">
        <f>ROUND($C154*E154,0)</f>
        <v>1792</v>
      </c>
      <c r="H154" s="55">
        <f>H14</f>
        <v>20</v>
      </c>
      <c r="I154" s="55"/>
      <c r="J154" s="54">
        <f>ROUND($C154*H154,0)</f>
        <v>2240</v>
      </c>
    </row>
    <row r="155" spans="1:10" x14ac:dyDescent="0.25">
      <c r="A155" s="19" t="s">
        <v>10</v>
      </c>
      <c r="C155" s="6">
        <v>266</v>
      </c>
      <c r="E155" s="20">
        <f>E15</f>
        <v>12</v>
      </c>
      <c r="F155" s="20"/>
      <c r="G155" s="7">
        <f>ROUND($C155*E155,0)</f>
        <v>3192</v>
      </c>
      <c r="H155" s="55">
        <f>H15</f>
        <v>12</v>
      </c>
      <c r="I155" s="55"/>
      <c r="J155" s="54">
        <f>ROUND($C155*H155,0)</f>
        <v>3192</v>
      </c>
    </row>
    <row r="156" spans="1:10" x14ac:dyDescent="0.25">
      <c r="A156" s="19" t="s">
        <v>12</v>
      </c>
      <c r="C156" s="6">
        <v>0</v>
      </c>
      <c r="E156" s="20">
        <f t="shared" ref="E156:E157" si="17">E16</f>
        <v>2</v>
      </c>
      <c r="F156" s="20"/>
      <c r="G156" s="7">
        <f>ROUND($C156*E156,0)</f>
        <v>0</v>
      </c>
      <c r="H156" s="55">
        <f t="shared" ref="H156:H157" si="18">H16</f>
        <v>2</v>
      </c>
      <c r="I156" s="55"/>
      <c r="J156" s="54">
        <f>ROUND($C156*H156,0)</f>
        <v>0</v>
      </c>
    </row>
    <row r="157" spans="1:10" x14ac:dyDescent="0.25">
      <c r="A157" s="19" t="s">
        <v>13</v>
      </c>
      <c r="C157" s="6">
        <v>14</v>
      </c>
      <c r="E157" s="20">
        <f t="shared" si="17"/>
        <v>22</v>
      </c>
      <c r="F157" s="20"/>
      <c r="G157" s="7">
        <f>ROUND($C157*E157,0)</f>
        <v>308</v>
      </c>
      <c r="H157" s="55">
        <f t="shared" si="18"/>
        <v>22</v>
      </c>
      <c r="I157" s="55"/>
      <c r="J157" s="54">
        <f>ROUND($C157*H157,0)</f>
        <v>308</v>
      </c>
    </row>
    <row r="158" spans="1:10" x14ac:dyDescent="0.25">
      <c r="A158" s="19" t="s">
        <v>14</v>
      </c>
      <c r="C158" s="6">
        <v>48755</v>
      </c>
      <c r="E158" s="20"/>
      <c r="F158" s="20"/>
      <c r="H158" s="55"/>
      <c r="I158" s="55"/>
    </row>
    <row r="159" spans="1:10" x14ac:dyDescent="0.25">
      <c r="A159" s="19" t="s">
        <v>9</v>
      </c>
      <c r="C159" s="6">
        <v>47983</v>
      </c>
      <c r="E159" s="20"/>
      <c r="F159" s="20"/>
      <c r="H159" s="55"/>
      <c r="I159" s="55"/>
    </row>
    <row r="160" spans="1:10" x14ac:dyDescent="0.25">
      <c r="A160" s="19" t="s">
        <v>10</v>
      </c>
      <c r="C160" s="6">
        <v>772</v>
      </c>
      <c r="E160" s="20"/>
      <c r="F160" s="20"/>
      <c r="H160" s="55"/>
      <c r="I160" s="55"/>
    </row>
    <row r="161" spans="1:10" x14ac:dyDescent="0.25">
      <c r="A161" s="19" t="s">
        <v>15</v>
      </c>
      <c r="C161" s="6">
        <v>11</v>
      </c>
      <c r="E161" s="20"/>
      <c r="F161" s="20"/>
      <c r="H161" s="55"/>
      <c r="I161" s="55"/>
    </row>
    <row r="162" spans="1:10" x14ac:dyDescent="0.25">
      <c r="A162" s="19" t="s">
        <v>9</v>
      </c>
      <c r="C162" s="6">
        <v>8</v>
      </c>
      <c r="E162" s="20"/>
      <c r="F162" s="20"/>
      <c r="H162" s="55"/>
      <c r="I162" s="55"/>
    </row>
    <row r="163" spans="1:10" x14ac:dyDescent="0.25">
      <c r="A163" s="19" t="s">
        <v>10</v>
      </c>
      <c r="C163" s="6">
        <v>3</v>
      </c>
      <c r="E163" s="20"/>
      <c r="F163" s="20"/>
      <c r="H163" s="55"/>
      <c r="I163" s="55"/>
    </row>
    <row r="164" spans="1:10" x14ac:dyDescent="0.25">
      <c r="A164" s="19" t="s">
        <v>16</v>
      </c>
      <c r="C164" s="6">
        <v>0</v>
      </c>
      <c r="E164" s="20"/>
      <c r="F164" s="20"/>
      <c r="H164" s="55"/>
      <c r="I164" s="55"/>
    </row>
    <row r="165" spans="1:10" x14ac:dyDescent="0.25">
      <c r="A165" s="19" t="s">
        <v>17</v>
      </c>
      <c r="C165" s="6">
        <v>7090</v>
      </c>
      <c r="E165" s="25">
        <f t="shared" ref="E165:E171" si="19">E25</f>
        <v>4.3559999999999999</v>
      </c>
      <c r="F165" s="26" t="s">
        <v>18</v>
      </c>
      <c r="G165" s="7">
        <f t="shared" ref="G165:G171" si="20">ROUND($C165*E165/100,0)</f>
        <v>309</v>
      </c>
      <c r="H165" s="58">
        <f t="shared" ref="H165:H171" si="21">H25</f>
        <v>4.3559999999999999</v>
      </c>
      <c r="I165" s="59" t="s">
        <v>18</v>
      </c>
      <c r="J165" s="54">
        <f t="shared" ref="J165:J171" si="22">ROUND($C165*H165/100,0)</f>
        <v>309</v>
      </c>
    </row>
    <row r="166" spans="1:10" x14ac:dyDescent="0.25">
      <c r="A166" s="19" t="s">
        <v>19</v>
      </c>
      <c r="C166" s="6">
        <v>44469</v>
      </c>
      <c r="E166" s="25">
        <f t="shared" si="19"/>
        <v>-1.6334</v>
      </c>
      <c r="F166" s="26" t="s">
        <v>18</v>
      </c>
      <c r="G166" s="7">
        <f t="shared" si="20"/>
        <v>-726</v>
      </c>
      <c r="H166" s="58">
        <f t="shared" si="21"/>
        <v>-1.6334</v>
      </c>
      <c r="I166" s="59" t="s">
        <v>18</v>
      </c>
      <c r="J166" s="54">
        <f t="shared" si="22"/>
        <v>-726</v>
      </c>
    </row>
    <row r="167" spans="1:10" x14ac:dyDescent="0.25">
      <c r="A167" s="19" t="s">
        <v>20</v>
      </c>
      <c r="C167" s="6">
        <v>21966173.894598663</v>
      </c>
      <c r="E167" s="30">
        <f t="shared" si="19"/>
        <v>9.2802000000000007</v>
      </c>
      <c r="F167" s="26" t="s">
        <v>18</v>
      </c>
      <c r="G167" s="7">
        <f t="shared" si="20"/>
        <v>2038505</v>
      </c>
      <c r="H167" s="61">
        <f t="shared" si="21"/>
        <v>9.0279000000000007</v>
      </c>
      <c r="I167" s="59" t="s">
        <v>18</v>
      </c>
      <c r="J167" s="54">
        <f t="shared" si="22"/>
        <v>1983084</v>
      </c>
    </row>
    <row r="168" spans="1:10" x14ac:dyDescent="0.25">
      <c r="A168" s="19" t="s">
        <v>21</v>
      </c>
      <c r="C168" s="6">
        <v>14447176</v>
      </c>
      <c r="E168" s="30">
        <f t="shared" si="19"/>
        <v>11.9733</v>
      </c>
      <c r="F168" s="26" t="s">
        <v>18</v>
      </c>
      <c r="G168" s="7">
        <f t="shared" si="20"/>
        <v>1729804</v>
      </c>
      <c r="H168" s="61">
        <f t="shared" si="21"/>
        <v>11.721</v>
      </c>
      <c r="I168" s="59" t="s">
        <v>18</v>
      </c>
      <c r="J168" s="54">
        <f t="shared" si="22"/>
        <v>1693353</v>
      </c>
    </row>
    <row r="169" spans="1:10" x14ac:dyDescent="0.25">
      <c r="A169" s="19" t="s">
        <v>22</v>
      </c>
      <c r="C169" s="6">
        <v>7916923</v>
      </c>
      <c r="E169" s="30">
        <f t="shared" si="19"/>
        <v>11.9733</v>
      </c>
      <c r="F169" s="26" t="s">
        <v>18</v>
      </c>
      <c r="G169" s="7">
        <f t="shared" si="20"/>
        <v>947917</v>
      </c>
      <c r="H169" s="61">
        <f t="shared" si="21"/>
        <v>11.721</v>
      </c>
      <c r="I169" s="59" t="s">
        <v>18</v>
      </c>
      <c r="J169" s="54">
        <f t="shared" si="22"/>
        <v>927943</v>
      </c>
    </row>
    <row r="170" spans="1:10" x14ac:dyDescent="0.25">
      <c r="A170" s="19" t="s">
        <v>23</v>
      </c>
      <c r="B170" s="29"/>
      <c r="C170" s="6">
        <v>50047131</v>
      </c>
      <c r="D170" s="29"/>
      <c r="E170" s="30">
        <f t="shared" si="19"/>
        <v>8.2126000000000001</v>
      </c>
      <c r="F170" s="26" t="s">
        <v>18</v>
      </c>
      <c r="G170" s="7">
        <f t="shared" si="20"/>
        <v>4110171</v>
      </c>
      <c r="H170" s="61">
        <f t="shared" si="21"/>
        <v>7.9893000000000001</v>
      </c>
      <c r="I170" s="59" t="s">
        <v>18</v>
      </c>
      <c r="J170" s="54">
        <f t="shared" si="22"/>
        <v>3998415</v>
      </c>
    </row>
    <row r="171" spans="1:10" x14ac:dyDescent="0.25">
      <c r="A171" s="19" t="s">
        <v>24</v>
      </c>
      <c r="B171" s="29"/>
      <c r="C171" s="6">
        <v>47956842</v>
      </c>
      <c r="D171" s="29"/>
      <c r="E171" s="30">
        <f t="shared" si="19"/>
        <v>10.5959</v>
      </c>
      <c r="F171" s="26" t="s">
        <v>18</v>
      </c>
      <c r="G171" s="7">
        <f t="shared" si="20"/>
        <v>5081459</v>
      </c>
      <c r="H171" s="61">
        <f t="shared" si="21"/>
        <v>10.3725</v>
      </c>
      <c r="I171" s="59" t="s">
        <v>18</v>
      </c>
      <c r="J171" s="54">
        <f t="shared" si="22"/>
        <v>4974323</v>
      </c>
    </row>
    <row r="172" spans="1:10" x14ac:dyDescent="0.25">
      <c r="A172" s="19" t="s">
        <v>25</v>
      </c>
      <c r="C172" s="6">
        <v>7604</v>
      </c>
      <c r="E172" s="25"/>
      <c r="F172" s="26"/>
      <c r="H172" s="58"/>
      <c r="I172" s="59"/>
    </row>
    <row r="173" spans="1:10" x14ac:dyDescent="0.25">
      <c r="A173" s="19" t="s">
        <v>26</v>
      </c>
      <c r="C173" s="6">
        <v>52839</v>
      </c>
      <c r="E173" s="25"/>
      <c r="F173" s="26"/>
      <c r="H173" s="58"/>
      <c r="I173" s="59"/>
    </row>
    <row r="174" spans="1:10" x14ac:dyDescent="0.25">
      <c r="A174" s="19" t="s">
        <v>27</v>
      </c>
      <c r="C174" s="6">
        <v>24008563.894598663</v>
      </c>
      <c r="E174" s="30"/>
      <c r="F174" s="26"/>
      <c r="H174" s="61"/>
      <c r="I174" s="59"/>
    </row>
    <row r="175" spans="1:10" x14ac:dyDescent="0.25">
      <c r="A175" s="19" t="s">
        <v>28</v>
      </c>
      <c r="C175" s="6">
        <v>15166728</v>
      </c>
      <c r="E175" s="30"/>
      <c r="F175" s="26"/>
      <c r="H175" s="61"/>
      <c r="I175" s="59"/>
    </row>
    <row r="176" spans="1:10" x14ac:dyDescent="0.25">
      <c r="A176" s="19" t="s">
        <v>29</v>
      </c>
      <c r="C176" s="6">
        <v>8344047</v>
      </c>
      <c r="E176" s="30"/>
      <c r="F176" s="26"/>
      <c r="H176" s="61"/>
      <c r="I176" s="59"/>
    </row>
    <row r="177" spans="1:10" x14ac:dyDescent="0.25">
      <c r="A177" s="19" t="s">
        <v>30</v>
      </c>
      <c r="B177" s="29"/>
      <c r="C177" s="6">
        <v>47906710</v>
      </c>
      <c r="D177" s="29"/>
      <c r="E177" s="30"/>
      <c r="F177" s="26"/>
      <c r="H177" s="61"/>
      <c r="I177" s="59"/>
    </row>
    <row r="178" spans="1:10" x14ac:dyDescent="0.25">
      <c r="A178" s="19" t="s">
        <v>31</v>
      </c>
      <c r="B178" s="29"/>
      <c r="C178" s="6">
        <v>46908197</v>
      </c>
      <c r="D178" s="29"/>
      <c r="E178" s="30"/>
      <c r="F178" s="26"/>
      <c r="H178" s="61"/>
      <c r="I178" s="59"/>
    </row>
    <row r="179" spans="1:10" x14ac:dyDescent="0.25">
      <c r="A179" s="32" t="s">
        <v>32</v>
      </c>
      <c r="B179" s="33"/>
      <c r="C179" s="6">
        <v>0</v>
      </c>
      <c r="D179" s="33"/>
      <c r="E179" s="31">
        <f>E39</f>
        <v>12.243600000000001</v>
      </c>
      <c r="F179" s="35" t="s">
        <v>18</v>
      </c>
      <c r="G179" s="7">
        <f>ROUND($C179*E179/100,0)</f>
        <v>0</v>
      </c>
      <c r="H179" s="62">
        <f>H39</f>
        <v>11.912599999999999</v>
      </c>
      <c r="I179" s="63" t="s">
        <v>18</v>
      </c>
      <c r="J179" s="54">
        <f>ROUND($C179*H179/100,0)</f>
        <v>0</v>
      </c>
    </row>
    <row r="180" spans="1:10" x14ac:dyDescent="0.25">
      <c r="A180" s="19" t="s">
        <v>33</v>
      </c>
      <c r="C180" s="36">
        <v>0</v>
      </c>
      <c r="G180" s="37">
        <v>0</v>
      </c>
      <c r="J180" s="64">
        <v>0</v>
      </c>
    </row>
    <row r="181" spans="1:10" x14ac:dyDescent="0.25">
      <c r="A181" s="19" t="s">
        <v>34</v>
      </c>
      <c r="E181" s="23">
        <f>$E$41</f>
        <v>-3.0200000000000001E-2</v>
      </c>
      <c r="F181" s="24"/>
      <c r="G181" s="7">
        <f>E181*SUM(G167:G171,G179)</f>
        <v>-420017.2512</v>
      </c>
      <c r="H181" s="65">
        <f>$H$41</f>
        <v>-1.5100000000000001E-2</v>
      </c>
      <c r="I181" s="57"/>
      <c r="J181" s="54">
        <f>H181*SUM(J167:J171,J179)</f>
        <v>-205014.48180000001</v>
      </c>
    </row>
    <row r="182" spans="1:10" x14ac:dyDescent="0.25">
      <c r="A182" s="32" t="s">
        <v>35</v>
      </c>
      <c r="C182" s="6">
        <v>0</v>
      </c>
      <c r="E182" s="23"/>
      <c r="F182" s="24"/>
      <c r="H182" s="65"/>
      <c r="I182" s="57"/>
    </row>
    <row r="183" spans="1:10" ht="16.5" thickBot="1" x14ac:dyDescent="0.3">
      <c r="A183" s="19" t="s">
        <v>36</v>
      </c>
      <c r="C183" s="38">
        <v>142334245.89459866</v>
      </c>
      <c r="E183" s="41"/>
      <c r="G183" s="40">
        <f>SUM(G151:G180)</f>
        <v>17232241</v>
      </c>
      <c r="H183" s="68"/>
      <c r="J183" s="67">
        <f>SUM(J151:J180)</f>
        <v>17713233</v>
      </c>
    </row>
    <row r="184" spans="1:10" ht="16.5" thickTop="1" x14ac:dyDescent="0.25"/>
    <row r="185" spans="1:10" x14ac:dyDescent="0.25">
      <c r="A185" s="15" t="s">
        <v>46</v>
      </c>
    </row>
    <row r="186" spans="1:10" x14ac:dyDescent="0.25">
      <c r="A186" s="19" t="s">
        <v>7</v>
      </c>
      <c r="C186" s="6">
        <v>307354</v>
      </c>
      <c r="E186" s="20"/>
      <c r="F186" s="20"/>
      <c r="H186" s="55"/>
      <c r="I186" s="55"/>
    </row>
    <row r="187" spans="1:10" x14ac:dyDescent="0.25">
      <c r="A187" s="19" t="s">
        <v>8</v>
      </c>
      <c r="C187" s="6">
        <v>307354</v>
      </c>
      <c r="E187" s="20"/>
      <c r="F187" s="20"/>
      <c r="H187" s="55"/>
      <c r="I187" s="55"/>
    </row>
    <row r="188" spans="1:10" x14ac:dyDescent="0.25">
      <c r="A188" s="19" t="s">
        <v>9</v>
      </c>
      <c r="C188" s="6">
        <v>303609</v>
      </c>
      <c r="E188" s="20">
        <f>E11</f>
        <v>8</v>
      </c>
      <c r="F188" s="20"/>
      <c r="G188" s="7">
        <f>ROUND($C188*E188,0)</f>
        <v>2428872</v>
      </c>
      <c r="H188" s="55">
        <f>H11</f>
        <v>10</v>
      </c>
      <c r="I188" s="55"/>
      <c r="J188" s="54">
        <f>ROUND($C188*H188,0)</f>
        <v>3036090</v>
      </c>
    </row>
    <row r="189" spans="1:10" x14ac:dyDescent="0.25">
      <c r="A189" s="19" t="s">
        <v>10</v>
      </c>
      <c r="C189" s="6">
        <v>3745</v>
      </c>
      <c r="E189" s="20">
        <f>E12</f>
        <v>6</v>
      </c>
      <c r="F189" s="20"/>
      <c r="G189" s="7">
        <f>ROUND($C189*E189,0)</f>
        <v>22470</v>
      </c>
      <c r="H189" s="55">
        <f>H12</f>
        <v>6</v>
      </c>
      <c r="I189" s="55"/>
      <c r="J189" s="54">
        <f>ROUND($C189*H189,0)</f>
        <v>22470</v>
      </c>
    </row>
    <row r="190" spans="1:10" x14ac:dyDescent="0.25">
      <c r="A190" s="19" t="s">
        <v>11</v>
      </c>
      <c r="C190" s="6">
        <v>0</v>
      </c>
      <c r="E190" s="20"/>
      <c r="F190" s="20"/>
      <c r="H190" s="55"/>
      <c r="I190" s="55"/>
    </row>
    <row r="191" spans="1:10" x14ac:dyDescent="0.25">
      <c r="A191" s="19" t="s">
        <v>9</v>
      </c>
      <c r="E191" s="20">
        <f>E14</f>
        <v>16</v>
      </c>
      <c r="F191" s="20"/>
      <c r="G191" s="7">
        <f>ROUND($C191*E191,0)</f>
        <v>0</v>
      </c>
      <c r="H191" s="55">
        <f>H14</f>
        <v>20</v>
      </c>
      <c r="I191" s="55"/>
      <c r="J191" s="54">
        <f>ROUND($C191*H191,0)</f>
        <v>0</v>
      </c>
    </row>
    <row r="192" spans="1:10" x14ac:dyDescent="0.25">
      <c r="A192" s="19" t="s">
        <v>10</v>
      </c>
      <c r="E192" s="20">
        <f>E15</f>
        <v>12</v>
      </c>
      <c r="F192" s="20"/>
      <c r="G192" s="7">
        <f>ROUND($C192*E192,0)</f>
        <v>0</v>
      </c>
      <c r="H192" s="55">
        <f>H15</f>
        <v>12</v>
      </c>
      <c r="I192" s="55"/>
      <c r="J192" s="54">
        <f>ROUND($C192*H192,0)</f>
        <v>0</v>
      </c>
    </row>
    <row r="193" spans="1:10" x14ac:dyDescent="0.25">
      <c r="A193" s="19" t="s">
        <v>12</v>
      </c>
      <c r="C193" s="6">
        <v>1646</v>
      </c>
      <c r="E193" s="20">
        <f t="shared" ref="E193:E194" si="23">E16</f>
        <v>2</v>
      </c>
      <c r="F193" s="20"/>
      <c r="G193" s="7">
        <f>ROUND($C193*E193,0)</f>
        <v>3292</v>
      </c>
      <c r="H193" s="55">
        <f t="shared" ref="H193:H194" si="24">H16</f>
        <v>2</v>
      </c>
      <c r="I193" s="55"/>
      <c r="J193" s="54">
        <f>ROUND($C193*H193,0)</f>
        <v>3292</v>
      </c>
    </row>
    <row r="194" spans="1:10" x14ac:dyDescent="0.25">
      <c r="A194" s="19" t="s">
        <v>13</v>
      </c>
      <c r="C194" s="6">
        <v>0</v>
      </c>
      <c r="E194" s="20">
        <f t="shared" si="23"/>
        <v>22</v>
      </c>
      <c r="F194" s="20"/>
      <c r="G194" s="7">
        <f>ROUND($C194*E194,0)</f>
        <v>0</v>
      </c>
      <c r="H194" s="55">
        <f t="shared" si="24"/>
        <v>22</v>
      </c>
      <c r="I194" s="55"/>
      <c r="J194" s="54">
        <f>ROUND($C194*H194,0)</f>
        <v>0</v>
      </c>
    </row>
    <row r="195" spans="1:10" x14ac:dyDescent="0.25">
      <c r="A195" s="19" t="s">
        <v>14</v>
      </c>
      <c r="C195" s="6">
        <v>71571</v>
      </c>
      <c r="E195" s="20"/>
      <c r="F195" s="20"/>
      <c r="H195" s="55"/>
      <c r="I195" s="55"/>
    </row>
    <row r="196" spans="1:10" x14ac:dyDescent="0.25">
      <c r="A196" s="19" t="s">
        <v>9</v>
      </c>
      <c r="C196" s="6">
        <v>71054</v>
      </c>
      <c r="E196" s="20"/>
      <c r="F196" s="20"/>
      <c r="H196" s="55"/>
      <c r="I196" s="55"/>
    </row>
    <row r="197" spans="1:10" x14ac:dyDescent="0.25">
      <c r="A197" s="19" t="s">
        <v>10</v>
      </c>
      <c r="C197" s="6">
        <v>517</v>
      </c>
      <c r="E197" s="20"/>
      <c r="F197" s="20"/>
      <c r="H197" s="55"/>
      <c r="I197" s="55"/>
    </row>
    <row r="198" spans="1:10" x14ac:dyDescent="0.25">
      <c r="A198" s="19" t="s">
        <v>15</v>
      </c>
      <c r="C198" s="6">
        <v>0</v>
      </c>
      <c r="E198" s="20"/>
      <c r="F198" s="20"/>
      <c r="H198" s="55"/>
      <c r="I198" s="55"/>
    </row>
    <row r="199" spans="1:10" x14ac:dyDescent="0.25">
      <c r="A199" s="19" t="s">
        <v>9</v>
      </c>
      <c r="E199" s="20"/>
      <c r="F199" s="20"/>
      <c r="H199" s="55"/>
      <c r="I199" s="55"/>
    </row>
    <row r="200" spans="1:10" x14ac:dyDescent="0.25">
      <c r="A200" s="19" t="s">
        <v>10</v>
      </c>
      <c r="E200" s="20"/>
      <c r="F200" s="20"/>
      <c r="H200" s="55"/>
      <c r="I200" s="55"/>
    </row>
    <row r="201" spans="1:10" x14ac:dyDescent="0.25">
      <c r="A201" s="19" t="s">
        <v>16</v>
      </c>
      <c r="C201" s="6">
        <v>0</v>
      </c>
      <c r="E201" s="20"/>
      <c r="F201" s="20"/>
      <c r="H201" s="55"/>
      <c r="I201" s="55"/>
    </row>
    <row r="202" spans="1:10" x14ac:dyDescent="0.25">
      <c r="A202" s="19" t="s">
        <v>17</v>
      </c>
      <c r="C202" s="6">
        <v>5690</v>
      </c>
      <c r="E202" s="25">
        <f t="shared" ref="E202:E208" si="25">E25</f>
        <v>4.3559999999999999</v>
      </c>
      <c r="F202" s="26" t="s">
        <v>18</v>
      </c>
      <c r="G202" s="7">
        <f t="shared" ref="G202:G208" si="26">ROUND($C202*E202/100,0)</f>
        <v>248</v>
      </c>
      <c r="H202" s="58">
        <f t="shared" ref="H202:H208" si="27">H25</f>
        <v>4.3559999999999999</v>
      </c>
      <c r="I202" s="59" t="s">
        <v>18</v>
      </c>
      <c r="J202" s="54">
        <f t="shared" ref="J202:J208" si="28">ROUND($C202*H202/100,0)</f>
        <v>248</v>
      </c>
    </row>
    <row r="203" spans="1:10" x14ac:dyDescent="0.25">
      <c r="A203" s="19" t="s">
        <v>19</v>
      </c>
      <c r="C203" s="6">
        <v>35358</v>
      </c>
      <c r="E203" s="25">
        <f t="shared" si="25"/>
        <v>-1.6334</v>
      </c>
      <c r="F203" s="26" t="s">
        <v>18</v>
      </c>
      <c r="G203" s="7">
        <f t="shared" si="26"/>
        <v>-578</v>
      </c>
      <c r="H203" s="58">
        <f t="shared" si="27"/>
        <v>-1.6334</v>
      </c>
      <c r="I203" s="59" t="s">
        <v>18</v>
      </c>
      <c r="J203" s="54">
        <f t="shared" si="28"/>
        <v>-578</v>
      </c>
    </row>
    <row r="204" spans="1:10" x14ac:dyDescent="0.25">
      <c r="A204" s="19" t="s">
        <v>20</v>
      </c>
      <c r="C204" s="6">
        <v>38703048.189910412</v>
      </c>
      <c r="E204" s="30">
        <f t="shared" si="25"/>
        <v>9.2802000000000007</v>
      </c>
      <c r="F204" s="26" t="s">
        <v>18</v>
      </c>
      <c r="G204" s="7">
        <f t="shared" si="26"/>
        <v>3591720</v>
      </c>
      <c r="H204" s="61">
        <f t="shared" si="27"/>
        <v>9.0279000000000007</v>
      </c>
      <c r="I204" s="59" t="s">
        <v>18</v>
      </c>
      <c r="J204" s="54">
        <f t="shared" si="28"/>
        <v>3494072</v>
      </c>
    </row>
    <row r="205" spans="1:10" x14ac:dyDescent="0.25">
      <c r="A205" s="19" t="s">
        <v>21</v>
      </c>
      <c r="C205" s="6">
        <v>26842157</v>
      </c>
      <c r="E205" s="30">
        <f t="shared" si="25"/>
        <v>11.9733</v>
      </c>
      <c r="F205" s="26" t="s">
        <v>18</v>
      </c>
      <c r="G205" s="7">
        <f t="shared" si="26"/>
        <v>3213892</v>
      </c>
      <c r="H205" s="61">
        <f t="shared" si="27"/>
        <v>11.721</v>
      </c>
      <c r="I205" s="59" t="s">
        <v>18</v>
      </c>
      <c r="J205" s="54">
        <f t="shared" si="28"/>
        <v>3146169</v>
      </c>
    </row>
    <row r="206" spans="1:10" x14ac:dyDescent="0.25">
      <c r="A206" s="19" t="s">
        <v>22</v>
      </c>
      <c r="C206" s="6">
        <v>7600557</v>
      </c>
      <c r="E206" s="30">
        <f t="shared" si="25"/>
        <v>11.9733</v>
      </c>
      <c r="F206" s="26" t="s">
        <v>18</v>
      </c>
      <c r="G206" s="7">
        <f t="shared" si="26"/>
        <v>910037</v>
      </c>
      <c r="H206" s="61">
        <f t="shared" si="27"/>
        <v>11.721</v>
      </c>
      <c r="I206" s="59" t="s">
        <v>18</v>
      </c>
      <c r="J206" s="54">
        <f t="shared" si="28"/>
        <v>890861</v>
      </c>
    </row>
    <row r="207" spans="1:10" x14ac:dyDescent="0.25">
      <c r="A207" s="19" t="s">
        <v>23</v>
      </c>
      <c r="B207" s="29"/>
      <c r="C207" s="6">
        <v>68555364</v>
      </c>
      <c r="D207" s="29"/>
      <c r="E207" s="30">
        <f t="shared" si="25"/>
        <v>8.2126000000000001</v>
      </c>
      <c r="F207" s="26" t="s">
        <v>18</v>
      </c>
      <c r="G207" s="7">
        <f t="shared" si="26"/>
        <v>5630178</v>
      </c>
      <c r="H207" s="61">
        <f t="shared" si="27"/>
        <v>7.9893000000000001</v>
      </c>
      <c r="I207" s="59" t="s">
        <v>18</v>
      </c>
      <c r="J207" s="54">
        <f t="shared" si="28"/>
        <v>5477094</v>
      </c>
    </row>
    <row r="208" spans="1:10" x14ac:dyDescent="0.25">
      <c r="A208" s="19" t="s">
        <v>24</v>
      </c>
      <c r="B208" s="29"/>
      <c r="C208" s="6">
        <v>51108843</v>
      </c>
      <c r="D208" s="29"/>
      <c r="E208" s="30">
        <f t="shared" si="25"/>
        <v>10.5959</v>
      </c>
      <c r="F208" s="26" t="s">
        <v>18</v>
      </c>
      <c r="G208" s="7">
        <f t="shared" si="26"/>
        <v>5415442</v>
      </c>
      <c r="H208" s="61">
        <f t="shared" si="27"/>
        <v>10.3725</v>
      </c>
      <c r="I208" s="59" t="s">
        <v>18</v>
      </c>
      <c r="J208" s="54">
        <f t="shared" si="28"/>
        <v>5301265</v>
      </c>
    </row>
    <row r="209" spans="1:10" x14ac:dyDescent="0.25">
      <c r="A209" s="19" t="s">
        <v>25</v>
      </c>
      <c r="C209" s="6">
        <v>6621</v>
      </c>
      <c r="E209" s="25"/>
      <c r="F209" s="26"/>
      <c r="H209" s="58"/>
      <c r="I209" s="59"/>
    </row>
    <row r="210" spans="1:10" x14ac:dyDescent="0.25">
      <c r="A210" s="19" t="s">
        <v>26</v>
      </c>
      <c r="C210" s="6">
        <v>42635</v>
      </c>
      <c r="E210" s="25"/>
      <c r="F210" s="26"/>
      <c r="H210" s="58"/>
      <c r="I210" s="59"/>
    </row>
    <row r="211" spans="1:10" x14ac:dyDescent="0.25">
      <c r="A211" s="19" t="s">
        <v>27</v>
      </c>
      <c r="C211" s="6">
        <v>46944979.189910412</v>
      </c>
      <c r="E211" s="30"/>
      <c r="F211" s="26"/>
      <c r="H211" s="61"/>
      <c r="I211" s="59"/>
    </row>
    <row r="212" spans="1:10" x14ac:dyDescent="0.25">
      <c r="A212" s="19" t="s">
        <v>28</v>
      </c>
      <c r="C212" s="6">
        <v>29314016</v>
      </c>
      <c r="E212" s="30"/>
      <c r="F212" s="26"/>
      <c r="H212" s="61"/>
      <c r="I212" s="59"/>
    </row>
    <row r="213" spans="1:10" x14ac:dyDescent="0.25">
      <c r="A213" s="19" t="s">
        <v>29</v>
      </c>
      <c r="C213" s="6">
        <v>8306352</v>
      </c>
      <c r="E213" s="30"/>
      <c r="F213" s="26"/>
      <c r="H213" s="61"/>
      <c r="I213" s="59"/>
    </row>
    <row r="214" spans="1:10" x14ac:dyDescent="0.25">
      <c r="A214" s="19" t="s">
        <v>30</v>
      </c>
      <c r="B214" s="29"/>
      <c r="C214" s="6">
        <v>60622730</v>
      </c>
      <c r="D214" s="29"/>
      <c r="E214" s="30"/>
      <c r="F214" s="26"/>
      <c r="H214" s="61"/>
      <c r="I214" s="59"/>
    </row>
    <row r="215" spans="1:10" x14ac:dyDescent="0.25">
      <c r="A215" s="19" t="s">
        <v>31</v>
      </c>
      <c r="B215" s="29"/>
      <c r="C215" s="6">
        <v>47621892</v>
      </c>
      <c r="D215" s="29"/>
      <c r="E215" s="30"/>
      <c r="F215" s="26"/>
      <c r="H215" s="61"/>
      <c r="I215" s="59"/>
    </row>
    <row r="216" spans="1:10" x14ac:dyDescent="0.25">
      <c r="A216" s="32" t="s">
        <v>32</v>
      </c>
      <c r="B216" s="33"/>
      <c r="C216" s="6">
        <v>0</v>
      </c>
      <c r="D216" s="33"/>
      <c r="E216" s="30">
        <f t="shared" ref="E216" si="29">E39</f>
        <v>12.243600000000001</v>
      </c>
      <c r="F216" s="26" t="s">
        <v>18</v>
      </c>
      <c r="G216" s="7">
        <f>ROUND($C216*E216/100,0)</f>
        <v>0</v>
      </c>
      <c r="H216" s="61">
        <f t="shared" ref="H216" si="30">H39</f>
        <v>11.912599999999999</v>
      </c>
      <c r="I216" s="59" t="s">
        <v>18</v>
      </c>
      <c r="J216" s="54">
        <f>ROUND($C216*H216/100,0)</f>
        <v>0</v>
      </c>
    </row>
    <row r="217" spans="1:10" x14ac:dyDescent="0.25">
      <c r="A217" s="19" t="s">
        <v>33</v>
      </c>
      <c r="C217" s="36">
        <v>0</v>
      </c>
      <c r="G217" s="37">
        <v>0</v>
      </c>
      <c r="J217" s="64">
        <v>0</v>
      </c>
    </row>
    <row r="218" spans="1:10" x14ac:dyDescent="0.25">
      <c r="A218" s="19" t="s">
        <v>34</v>
      </c>
      <c r="E218" s="23">
        <f>$E$41</f>
        <v>-3.0200000000000001E-2</v>
      </c>
      <c r="F218" s="24"/>
      <c r="G218" s="7">
        <f>E218*SUM(G204:G208,G216)</f>
        <v>-566590.32380000001</v>
      </c>
      <c r="H218" s="65">
        <f>$H$41</f>
        <v>-1.5100000000000001E-2</v>
      </c>
      <c r="I218" s="57"/>
      <c r="J218" s="54">
        <f>H218*SUM(J204:J208,J216)</f>
        <v>-276472.86110000004</v>
      </c>
    </row>
    <row r="219" spans="1:10" x14ac:dyDescent="0.25">
      <c r="A219" s="32" t="s">
        <v>35</v>
      </c>
      <c r="C219" s="6">
        <v>0</v>
      </c>
      <c r="E219" s="23"/>
      <c r="F219" s="24"/>
      <c r="H219" s="65"/>
      <c r="I219" s="57"/>
    </row>
    <row r="220" spans="1:10" ht="16.5" thickBot="1" x14ac:dyDescent="0.3">
      <c r="A220" s="19" t="s">
        <v>36</v>
      </c>
      <c r="C220" s="38">
        <v>192809969.18991041</v>
      </c>
      <c r="E220" s="41"/>
      <c r="G220" s="40">
        <f>SUM(G188:G217)</f>
        <v>21215573</v>
      </c>
      <c r="H220" s="68"/>
      <c r="J220" s="67">
        <f>SUM(J188:J217)</f>
        <v>21370983</v>
      </c>
    </row>
    <row r="221" spans="1:10" ht="16.5" thickTop="1" x14ac:dyDescent="0.25"/>
    <row r="222" spans="1:10" ht="16.5" thickBot="1" x14ac:dyDescent="0.3">
      <c r="A222" s="73" t="s">
        <v>501</v>
      </c>
      <c r="B222" s="39"/>
      <c r="C222" s="38"/>
      <c r="D222" s="39"/>
      <c r="E222" s="39"/>
      <c r="F222" s="39"/>
      <c r="G222" s="251" t="s">
        <v>500</v>
      </c>
      <c r="H222" s="66"/>
      <c r="I222" s="66"/>
      <c r="J222" s="251" t="s">
        <v>499</v>
      </c>
    </row>
    <row r="223" spans="1:10" ht="16.5" thickTop="1" x14ac:dyDescent="0.25">
      <c r="A223" s="5" t="s">
        <v>494</v>
      </c>
      <c r="G223" s="7">
        <f>G41+G78+G107+G144+G181+G218</f>
        <v>-20299917.358800001</v>
      </c>
      <c r="J223" s="7">
        <f>J41+J78+J107+J144+J181+J218</f>
        <v>-9909088.5680999998</v>
      </c>
    </row>
    <row r="224" spans="1:10" x14ac:dyDescent="0.25">
      <c r="A224" s="5" t="s">
        <v>51</v>
      </c>
      <c r="G224" s="7">
        <f>'B-Sch197 Comparison'!M14*1000</f>
        <v>-19819000</v>
      </c>
      <c r="J224" s="54">
        <f>J223</f>
        <v>-9909088.5680999998</v>
      </c>
    </row>
    <row r="225" spans="1:10" x14ac:dyDescent="0.25">
      <c r="A225" s="5" t="s">
        <v>495</v>
      </c>
      <c r="G225" s="7">
        <f>G223-G224</f>
        <v>-480917.35880000144</v>
      </c>
      <c r="J225" s="7">
        <f>J223-J224</f>
        <v>0</v>
      </c>
    </row>
    <row r="226" spans="1:10" x14ac:dyDescent="0.25">
      <c r="A226" s="109" t="s">
        <v>52</v>
      </c>
      <c r="B226" s="109"/>
      <c r="C226" s="129"/>
      <c r="D226" s="109"/>
      <c r="E226" s="109"/>
      <c r="F226" s="109"/>
      <c r="G226" s="110"/>
      <c r="H226" s="210"/>
      <c r="I226" s="210"/>
      <c r="J226" s="211">
        <f>J224-G225</f>
        <v>-9428171.2092999984</v>
      </c>
    </row>
    <row r="227" spans="1:10" x14ac:dyDescent="0.25">
      <c r="A227" s="245" t="s">
        <v>496</v>
      </c>
      <c r="B227" s="245"/>
      <c r="C227" s="246"/>
      <c r="D227" s="245"/>
      <c r="E227" s="245"/>
      <c r="F227" s="245"/>
      <c r="G227" s="247"/>
      <c r="H227" s="248"/>
      <c r="I227" s="248"/>
      <c r="J227" s="249">
        <f>H41</f>
        <v>-1.5100000000000001E-2</v>
      </c>
    </row>
    <row r="228" spans="1:10" ht="16.5" thickBot="1" x14ac:dyDescent="0.3">
      <c r="A228" s="39" t="s">
        <v>53</v>
      </c>
      <c r="B228" s="39"/>
      <c r="C228" s="38"/>
      <c r="D228" s="39"/>
      <c r="E228" s="39"/>
      <c r="F228" s="39"/>
      <c r="G228" s="40"/>
      <c r="H228" s="66"/>
      <c r="I228" s="66"/>
      <c r="J228" s="250">
        <f>ROUND(J226/SUM(J27:J31,J39,J64:J68,J76,J100:J105,J130:J134,J142,J167:J171,J179,J204:J208,J216),4)</f>
        <v>-1.44E-2</v>
      </c>
    </row>
    <row r="229" spans="1:10" ht="16.5" thickTop="1" x14ac:dyDescent="0.25"/>
  </sheetData>
  <scenarios current="1" show="0">
    <scenario name="Present Energy" locked="1" count="1" user="Michael Reid" comment="Created by Michael Reid on 3/2/2001">
      <inputCells r="J616" undone="1" val="2.0165" numFmtId="165"/>
    </scenario>
    <scenario name="Proposed Energy" locked="1" count="1" user="Michael Reid" comment="Created by Michael Reid on 3/5/2001_x000a_Modified by Michael Reid on 3/5/2001">
      <inputCells r="J616" undone="1" val="2.3826" numFmtId="165"/>
    </scenario>
  </scenarios>
  <printOptions horizontalCentered="1"/>
  <pageMargins left="0.5" right="0.5" top="1" bottom="0.5" header="0.25" footer="0.25"/>
  <pageSetup scale="82" fitToHeight="88" orientation="portrait" r:id="rId1"/>
  <headerFooter alignWithMargins="0">
    <oddFooter>Page &amp;P of &amp;N</oddFooter>
  </headerFooter>
  <rowBreaks count="5" manualBreakCount="5">
    <brk id="43" max="9" man="1"/>
    <brk id="80" max="9" man="1"/>
    <brk id="110" max="9" man="1"/>
    <brk id="147" max="9" man="1"/>
    <brk id="18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Normal="100" workbookViewId="0">
      <selection activeCell="C7" sqref="C7"/>
    </sheetView>
  </sheetViews>
  <sheetFormatPr defaultColWidth="8.875" defaultRowHeight="15" x14ac:dyDescent="0.25"/>
  <cols>
    <col min="1" max="1" width="23" style="76" bestFit="1" customWidth="1"/>
    <col min="2" max="2" width="24.875" style="76" customWidth="1"/>
    <col min="3" max="3" width="26.375" style="76" customWidth="1"/>
    <col min="4" max="16384" width="8.875" style="76"/>
  </cols>
  <sheetData>
    <row r="1" spans="1:4" ht="20.100000000000001" customHeight="1" x14ac:dyDescent="0.25">
      <c r="A1" s="74" t="s">
        <v>54</v>
      </c>
      <c r="B1" s="75"/>
      <c r="C1" s="75"/>
      <c r="D1" s="75"/>
    </row>
    <row r="2" spans="1:4" x14ac:dyDescent="0.25">
      <c r="A2" s="77" t="s">
        <v>55</v>
      </c>
      <c r="B2" s="77" t="s">
        <v>56</v>
      </c>
      <c r="C2" s="77" t="s">
        <v>57</v>
      </c>
      <c r="D2" s="77" t="s">
        <v>58</v>
      </c>
    </row>
    <row r="3" spans="1:4" x14ac:dyDescent="0.25">
      <c r="A3" s="76" t="s">
        <v>59</v>
      </c>
      <c r="B3" s="78">
        <f>D3-C3</f>
        <v>4.1875999999999998</v>
      </c>
      <c r="C3" s="78">
        <v>7.7249999999999996</v>
      </c>
      <c r="D3" s="76">
        <f>'C-Res Sch197 Rate Design'!H39</f>
        <v>11.912599999999999</v>
      </c>
    </row>
    <row r="4" spans="1:4" x14ac:dyDescent="0.25">
      <c r="A4" s="79">
        <v>23</v>
      </c>
      <c r="B4" s="78">
        <f t="shared" ref="B4:B5" si="0">D4-C4</f>
        <v>2.9561000000000002</v>
      </c>
      <c r="C4" s="78">
        <v>7.4249999999999998</v>
      </c>
      <c r="D4" s="76">
        <v>10.3811</v>
      </c>
    </row>
    <row r="5" spans="1:4" x14ac:dyDescent="0.25">
      <c r="A5" s="76" t="s">
        <v>60</v>
      </c>
      <c r="B5" s="78">
        <f t="shared" si="0"/>
        <v>0</v>
      </c>
      <c r="C5" s="78">
        <v>7.125</v>
      </c>
      <c r="D5" s="78">
        <v>7.125</v>
      </c>
    </row>
    <row r="6" spans="1:4" x14ac:dyDescent="0.25">
      <c r="A6" s="76" t="s">
        <v>61</v>
      </c>
      <c r="B6" s="80" t="s">
        <v>62</v>
      </c>
      <c r="C6" s="78">
        <v>5.9249999999999998</v>
      </c>
    </row>
    <row r="7" spans="1:4" x14ac:dyDescent="0.25">
      <c r="A7" s="81" t="s">
        <v>63</v>
      </c>
      <c r="B7" s="82" t="s">
        <v>62</v>
      </c>
      <c r="C7" s="83">
        <v>5.9249999999999998</v>
      </c>
      <c r="D7" s="81"/>
    </row>
  </sheetData>
  <printOptions horizontalCentered="1"/>
  <pageMargins left="0.5" right="0.5" top="1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A-Blocking</vt:lpstr>
      <vt:lpstr>B-Sch197 Comparison</vt:lpstr>
      <vt:lpstr>C-Res Sch197 Rate Design</vt:lpstr>
      <vt:lpstr>D-Sch73</vt:lpstr>
      <vt:lpstr>E-RateSpread Order</vt:lpstr>
      <vt:lpstr>'A-Blocking'!Print_Area</vt:lpstr>
      <vt:lpstr>'C-Res Sch197 Rate Design'!Print_Area</vt:lpstr>
      <vt:lpstr>'A-Blocking'!Print_Titles</vt:lpstr>
      <vt:lpstr>'C-Res Sch197 Rate Design'!Print_Titles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James</dc:creator>
  <cp:lastModifiedBy>Fred Nass</cp:lastModifiedBy>
  <cp:lastPrinted>2021-10-19T21:25:03Z</cp:lastPrinted>
  <dcterms:created xsi:type="dcterms:W3CDTF">2021-09-30T17:56:20Z</dcterms:created>
  <dcterms:modified xsi:type="dcterms:W3CDTF">2021-10-20T17:04:04Z</dcterms:modified>
</cp:coreProperties>
</file>