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1docs\2106601\"/>
    </mc:Choice>
  </mc:AlternateContent>
  <bookViews>
    <workbookView xWindow="0" yWindow="0" windowWidth="19125" windowHeight="11025" tabRatio="685"/>
  </bookViews>
  <sheets>
    <sheet name="Financial Statements" sheetId="5" r:id="rId1"/>
    <sheet name="Cash Flow" sheetId="9" r:id="rId2"/>
  </sheets>
  <externalReferences>
    <externalReference r:id="rId3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'Cash Flow'!$A$1:$O$58</definedName>
    <definedName name="_xlnm.Print_Area" localSheetId="0">'Financial Statements'!$A$1:$AD$155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5" l="1"/>
  <c r="O51" i="9"/>
  <c r="O47" i="9"/>
  <c r="O46" i="9"/>
  <c r="O45" i="9"/>
  <c r="O44" i="9"/>
  <c r="O43" i="9"/>
  <c r="O40" i="9"/>
  <c r="O34" i="9"/>
  <c r="O31" i="9"/>
  <c r="O29" i="9"/>
  <c r="O26" i="9"/>
  <c r="O24" i="9"/>
  <c r="O23" i="9"/>
  <c r="O20" i="9"/>
  <c r="O15" i="9"/>
  <c r="O14" i="9"/>
  <c r="O10" i="9"/>
  <c r="O78" i="5"/>
  <c r="O80" i="5"/>
  <c r="O83" i="5"/>
  <c r="O84" i="5"/>
  <c r="O85" i="5"/>
  <c r="O86" i="5"/>
  <c r="O87" i="5"/>
  <c r="O88" i="5"/>
  <c r="O89" i="5"/>
  <c r="O90" i="5"/>
  <c r="O91" i="5"/>
  <c r="O94" i="5"/>
  <c r="O95" i="5"/>
  <c r="O97" i="5"/>
  <c r="O103" i="5"/>
  <c r="O101" i="5"/>
  <c r="O12" i="5" l="1"/>
  <c r="O13" i="5"/>
  <c r="O14" i="5"/>
  <c r="O15" i="5"/>
  <c r="O16" i="5"/>
  <c r="O17" i="5"/>
  <c r="O18" i="5"/>
  <c r="O21" i="5"/>
  <c r="O22" i="5"/>
  <c r="O33" i="5"/>
  <c r="O35" i="5"/>
  <c r="O36" i="5"/>
  <c r="O37" i="5"/>
  <c r="O38" i="5"/>
  <c r="O41" i="5"/>
  <c r="O42" i="5"/>
  <c r="O43" i="5"/>
  <c r="O44" i="5"/>
  <c r="O46" i="5"/>
  <c r="O47" i="5"/>
  <c r="O49" i="5"/>
  <c r="O51" i="5"/>
  <c r="O52" i="5"/>
  <c r="O55" i="5"/>
  <c r="O57" i="5"/>
  <c r="O63" i="5"/>
  <c r="O64" i="5"/>
  <c r="O66" i="5"/>
  <c r="O65" i="5"/>
  <c r="O24" i="5"/>
  <c r="O26" i="5"/>
  <c r="O105" i="5" l="1"/>
  <c r="O154" i="5" l="1"/>
  <c r="O153" i="5"/>
  <c r="O152" i="5"/>
  <c r="O149" i="5"/>
  <c r="O148" i="5"/>
  <c r="O133" i="5"/>
  <c r="O132" i="5"/>
  <c r="O131" i="5"/>
  <c r="O130" i="5"/>
  <c r="O129" i="5"/>
  <c r="O139" i="5"/>
  <c r="O138" i="5"/>
  <c r="O137" i="5"/>
  <c r="O136" i="5"/>
  <c r="O126" i="5"/>
  <c r="O125" i="5"/>
  <c r="O124" i="5"/>
  <c r="O123" i="5"/>
  <c r="O120" i="5"/>
  <c r="O119" i="5"/>
  <c r="O118" i="5"/>
  <c r="O62" i="5"/>
  <c r="N101" i="5"/>
  <c r="M101" i="5"/>
  <c r="N89" i="5"/>
  <c r="M89" i="5"/>
  <c r="N85" i="5"/>
  <c r="M85" i="5"/>
  <c r="M46" i="5"/>
  <c r="N46" i="5"/>
  <c r="N51" i="9"/>
  <c r="M51" i="9"/>
  <c r="N40" i="9"/>
  <c r="M40" i="9"/>
  <c r="N8" i="9"/>
  <c r="M8" i="9"/>
  <c r="L8" i="9"/>
  <c r="K8" i="9"/>
  <c r="L55" i="9"/>
  <c r="L51" i="9"/>
  <c r="L40" i="9"/>
  <c r="L12" i="9"/>
  <c r="L31" i="9" s="1"/>
  <c r="L10" i="9"/>
  <c r="L89" i="5"/>
  <c r="L97" i="5"/>
  <c r="L101" i="5"/>
  <c r="L85" i="5"/>
  <c r="L46" i="5"/>
  <c r="N98" i="5"/>
  <c r="M98" i="5"/>
  <c r="N91" i="5"/>
  <c r="M91" i="5"/>
  <c r="N80" i="5"/>
  <c r="M80" i="5"/>
  <c r="N76" i="5"/>
  <c r="N115" i="5" s="1"/>
  <c r="M76" i="5"/>
  <c r="M115" i="5" s="1"/>
  <c r="N65" i="5"/>
  <c r="N152" i="5" s="1"/>
  <c r="M65" i="5"/>
  <c r="M154" i="5" s="1"/>
  <c r="N55" i="5"/>
  <c r="M55" i="5"/>
  <c r="N47" i="5"/>
  <c r="N119" i="5" s="1"/>
  <c r="M47" i="5"/>
  <c r="N36" i="5"/>
  <c r="M36" i="5"/>
  <c r="N24" i="5"/>
  <c r="N28" i="5" s="1"/>
  <c r="M24" i="5"/>
  <c r="M28" i="5" s="1"/>
  <c r="N18" i="5"/>
  <c r="M18" i="5"/>
  <c r="M9" i="5"/>
  <c r="N9" i="5" s="1"/>
  <c r="L115" i="5"/>
  <c r="L98" i="5"/>
  <c r="L80" i="5"/>
  <c r="L137" i="5" s="1"/>
  <c r="L76" i="5"/>
  <c r="L9" i="5"/>
  <c r="L65" i="5"/>
  <c r="L154" i="5" s="1"/>
  <c r="L55" i="5"/>
  <c r="L47" i="5"/>
  <c r="L119" i="5" s="1"/>
  <c r="L36" i="5"/>
  <c r="L24" i="5"/>
  <c r="L28" i="5" s="1"/>
  <c r="L18" i="5"/>
  <c r="N92" i="5" l="1"/>
  <c r="N100" i="5" s="1"/>
  <c r="N103" i="5" s="1"/>
  <c r="N12" i="9" s="1"/>
  <c r="N31" i="9" s="1"/>
  <c r="N53" i="9" s="1"/>
  <c r="M92" i="5"/>
  <c r="M100" i="5" s="1"/>
  <c r="M103" i="5" s="1"/>
  <c r="M12" i="9" s="1"/>
  <c r="M31" i="9" s="1"/>
  <c r="M53" i="9" s="1"/>
  <c r="N136" i="5"/>
  <c r="N137" i="5"/>
  <c r="N10" i="9"/>
  <c r="N129" i="5"/>
  <c r="N120" i="5"/>
  <c r="M129" i="5"/>
  <c r="M137" i="5"/>
  <c r="M10" i="9"/>
  <c r="M136" i="5"/>
  <c r="M57" i="5"/>
  <c r="N118" i="5"/>
  <c r="N57" i="5"/>
  <c r="N66" i="5" s="1"/>
  <c r="N67" i="5" s="1"/>
  <c r="M119" i="5"/>
  <c r="N148" i="5"/>
  <c r="N124" i="5"/>
  <c r="M124" i="5"/>
  <c r="N154" i="5"/>
  <c r="N149" i="5"/>
  <c r="N153" i="5"/>
  <c r="M125" i="5"/>
  <c r="M152" i="5"/>
  <c r="M148" i="5"/>
  <c r="M153" i="5"/>
  <c r="M149" i="5"/>
  <c r="N138" i="5"/>
  <c r="N38" i="5"/>
  <c r="L53" i="9"/>
  <c r="L57" i="9" s="1"/>
  <c r="L91" i="5"/>
  <c r="L129" i="5"/>
  <c r="L136" i="5"/>
  <c r="L120" i="5"/>
  <c r="M120" i="5"/>
  <c r="L138" i="5"/>
  <c r="L153" i="5"/>
  <c r="L124" i="5"/>
  <c r="L152" i="5"/>
  <c r="L149" i="5"/>
  <c r="L125" i="5"/>
  <c r="L148" i="5"/>
  <c r="L118" i="5"/>
  <c r="L139" i="5"/>
  <c r="M138" i="5"/>
  <c r="N37" i="5"/>
  <c r="N125" i="5"/>
  <c r="M123" i="5"/>
  <c r="M66" i="5"/>
  <c r="N139" i="5"/>
  <c r="M37" i="5"/>
  <c r="M118" i="5"/>
  <c r="M139" i="5"/>
  <c r="M38" i="5"/>
  <c r="L57" i="5"/>
  <c r="L66" i="5" s="1"/>
  <c r="L37" i="5"/>
  <c r="L38" i="5"/>
  <c r="K101" i="5"/>
  <c r="K89" i="5"/>
  <c r="K85" i="5"/>
  <c r="K46" i="5"/>
  <c r="J51" i="9"/>
  <c r="J40" i="9"/>
  <c r="M126" i="5" l="1"/>
  <c r="N126" i="5"/>
  <c r="N123" i="5"/>
  <c r="M67" i="5"/>
  <c r="L58" i="9"/>
  <c r="M55" i="9"/>
  <c r="M57" i="9" s="1"/>
  <c r="L92" i="5"/>
  <c r="L100" i="5" s="1"/>
  <c r="L103" i="5" s="1"/>
  <c r="L123" i="5"/>
  <c r="L140" i="5"/>
  <c r="M133" i="5"/>
  <c r="M132" i="5"/>
  <c r="M130" i="5"/>
  <c r="N133" i="5"/>
  <c r="N132" i="5"/>
  <c r="N130" i="5"/>
  <c r="N140" i="5"/>
  <c r="M131" i="5"/>
  <c r="M140" i="5"/>
  <c r="N131" i="5"/>
  <c r="L67" i="5"/>
  <c r="Z9" i="5"/>
  <c r="Y9" i="5"/>
  <c r="X9" i="5"/>
  <c r="W9" i="5"/>
  <c r="V9" i="5"/>
  <c r="U9" i="5"/>
  <c r="J101" i="5"/>
  <c r="J98" i="5"/>
  <c r="J89" i="5"/>
  <c r="J85" i="5"/>
  <c r="J80" i="5"/>
  <c r="Y95" i="5" s="1"/>
  <c r="J76" i="5"/>
  <c r="J115" i="5" s="1"/>
  <c r="J65" i="5"/>
  <c r="J154" i="5" s="1"/>
  <c r="J55" i="5"/>
  <c r="J46" i="5"/>
  <c r="J47" i="5" s="1"/>
  <c r="J119" i="5" s="1"/>
  <c r="J36" i="5"/>
  <c r="J24" i="5"/>
  <c r="J28" i="5" s="1"/>
  <c r="J18" i="5"/>
  <c r="N55" i="9" l="1"/>
  <c r="N57" i="9" s="1"/>
  <c r="N58" i="9" s="1"/>
  <c r="M58" i="9"/>
  <c r="L131" i="5"/>
  <c r="L104" i="5"/>
  <c r="L126" i="5"/>
  <c r="L130" i="5"/>
  <c r="L132" i="5"/>
  <c r="L133" i="5"/>
  <c r="Y88" i="5"/>
  <c r="Y89" i="5"/>
  <c r="Y97" i="5"/>
  <c r="Y98" i="5"/>
  <c r="Y101" i="5"/>
  <c r="J91" i="5"/>
  <c r="Y91" i="5" s="1"/>
  <c r="Y84" i="5"/>
  <c r="Y78" i="5"/>
  <c r="Y85" i="5"/>
  <c r="Y94" i="5"/>
  <c r="J38" i="5"/>
  <c r="Y65" i="5" s="1"/>
  <c r="J57" i="5"/>
  <c r="Y57" i="5" s="1"/>
  <c r="Y80" i="5"/>
  <c r="Y86" i="5"/>
  <c r="Y90" i="5"/>
  <c r="Y76" i="5"/>
  <c r="J8" i="9"/>
  <c r="J137" i="5"/>
  <c r="J136" i="5"/>
  <c r="J10" i="9"/>
  <c r="J37" i="5"/>
  <c r="Y83" i="5"/>
  <c r="Y87" i="5"/>
  <c r="Y96" i="5"/>
  <c r="J129" i="5"/>
  <c r="J148" i="5"/>
  <c r="J92" i="5"/>
  <c r="J149" i="5"/>
  <c r="J152" i="5"/>
  <c r="J118" i="5"/>
  <c r="J124" i="5"/>
  <c r="J153" i="5"/>
  <c r="J125" i="5"/>
  <c r="AD8" i="5"/>
  <c r="J123" i="5" l="1"/>
  <c r="Y49" i="5"/>
  <c r="Y43" i="5"/>
  <c r="Y33" i="5"/>
  <c r="Y22" i="5"/>
  <c r="Y17" i="5"/>
  <c r="Y13" i="5"/>
  <c r="Y62" i="5"/>
  <c r="Y44" i="5"/>
  <c r="Y34" i="5"/>
  <c r="Y18" i="5"/>
  <c r="Y14" i="5"/>
  <c r="Y64" i="5"/>
  <c r="Y42" i="5"/>
  <c r="Y21" i="5"/>
  <c r="Y16" i="5"/>
  <c r="Y12" i="5"/>
  <c r="Y15" i="5"/>
  <c r="Y51" i="5"/>
  <c r="Y38" i="5"/>
  <c r="Y24" i="5"/>
  <c r="Y63" i="5"/>
  <c r="Y52" i="5"/>
  <c r="Y41" i="5"/>
  <c r="Y35" i="5"/>
  <c r="Y26" i="5"/>
  <c r="Y19" i="5"/>
  <c r="Y46" i="5"/>
  <c r="J66" i="5"/>
  <c r="Y37" i="5"/>
  <c r="Y55" i="5"/>
  <c r="Y36" i="5"/>
  <c r="J100" i="5"/>
  <c r="Y100" i="5" s="1"/>
  <c r="Y92" i="5"/>
  <c r="Y47" i="5"/>
  <c r="Y28" i="5"/>
  <c r="J126" i="5"/>
  <c r="K91" i="5"/>
  <c r="K51" i="9"/>
  <c r="K40" i="9"/>
  <c r="Z76" i="5"/>
  <c r="K65" i="5"/>
  <c r="K55" i="5"/>
  <c r="K47" i="5"/>
  <c r="K36" i="5"/>
  <c r="K24" i="5"/>
  <c r="K18" i="5"/>
  <c r="K98" i="5"/>
  <c r="K80" i="5"/>
  <c r="K76" i="5"/>
  <c r="K115" i="5" s="1"/>
  <c r="J67" i="5" l="1"/>
  <c r="Y66" i="5"/>
  <c r="J103" i="5"/>
  <c r="K137" i="5"/>
  <c r="K136" i="5"/>
  <c r="K120" i="5"/>
  <c r="K152" i="5"/>
  <c r="K119" i="5"/>
  <c r="K28" i="5"/>
  <c r="K125" i="5" s="1"/>
  <c r="K138" i="5"/>
  <c r="K153" i="5"/>
  <c r="J130" i="5"/>
  <c r="Z98" i="5"/>
  <c r="Z80" i="5"/>
  <c r="AD80" i="5" s="1"/>
  <c r="Z86" i="5"/>
  <c r="Z90" i="5"/>
  <c r="Z95" i="5"/>
  <c r="K10" i="9"/>
  <c r="K92" i="5"/>
  <c r="K129" i="5"/>
  <c r="Z83" i="5"/>
  <c r="Z87" i="5"/>
  <c r="Z91" i="5"/>
  <c r="Z96" i="5"/>
  <c r="Z101" i="5"/>
  <c r="Z84" i="5"/>
  <c r="Z88" i="5"/>
  <c r="Z97" i="5"/>
  <c r="Z78" i="5"/>
  <c r="AD78" i="5" s="1"/>
  <c r="Z85" i="5"/>
  <c r="Z89" i="5"/>
  <c r="Z94" i="5"/>
  <c r="K154" i="5"/>
  <c r="K148" i="5"/>
  <c r="K124" i="5"/>
  <c r="K57" i="5"/>
  <c r="K149" i="5"/>
  <c r="K118" i="5"/>
  <c r="J12" i="9" l="1"/>
  <c r="J31" i="9" s="1"/>
  <c r="J53" i="9" s="1"/>
  <c r="Y103" i="5"/>
  <c r="Y105" i="5"/>
  <c r="K37" i="5"/>
  <c r="Z37" i="5" s="1"/>
  <c r="K38" i="5"/>
  <c r="Z44" i="5" s="1"/>
  <c r="Z92" i="5"/>
  <c r="K123" i="5"/>
  <c r="K139" i="5"/>
  <c r="Z21" i="5"/>
  <c r="Z52" i="5"/>
  <c r="Z42" i="5"/>
  <c r="Z17" i="5"/>
  <c r="Z43" i="5"/>
  <c r="Z34" i="5"/>
  <c r="Z57" i="5"/>
  <c r="Z14" i="5"/>
  <c r="Z46" i="5"/>
  <c r="Z62" i="5"/>
  <c r="Z65" i="5"/>
  <c r="Z18" i="5"/>
  <c r="Z49" i="5"/>
  <c r="Z24" i="5"/>
  <c r="Z13" i="5"/>
  <c r="Z28" i="5"/>
  <c r="Z22" i="5"/>
  <c r="Z63" i="5"/>
  <c r="Z19" i="5"/>
  <c r="Z55" i="5"/>
  <c r="Z35" i="5"/>
  <c r="Z64" i="5"/>
  <c r="Z51" i="5"/>
  <c r="Z26" i="5"/>
  <c r="Z41" i="5"/>
  <c r="Z15" i="5"/>
  <c r="K100" i="5"/>
  <c r="K66" i="5"/>
  <c r="Z33" i="5" l="1"/>
  <c r="Z16" i="5"/>
  <c r="Z47" i="5"/>
  <c r="Z12" i="5"/>
  <c r="Z36" i="5"/>
  <c r="Z38" i="5"/>
  <c r="K140" i="5"/>
  <c r="K67" i="5"/>
  <c r="Z66" i="5"/>
  <c r="K103" i="5"/>
  <c r="Z100" i="5"/>
  <c r="K126" i="5"/>
  <c r="K132" i="5" l="1"/>
  <c r="K133" i="5"/>
  <c r="K131" i="5"/>
  <c r="K130" i="5"/>
  <c r="Z103" i="5"/>
  <c r="K12" i="9"/>
  <c r="K31" i="9" s="1"/>
  <c r="K53" i="9" s="1"/>
  <c r="Z105" i="5"/>
  <c r="H105" i="5"/>
  <c r="G105" i="5"/>
  <c r="I101" i="5"/>
  <c r="I89" i="5"/>
  <c r="I85" i="5"/>
  <c r="I46" i="5"/>
  <c r="H89" i="5"/>
  <c r="H85" i="5"/>
  <c r="P53" i="5" l="1"/>
  <c r="H46" i="5"/>
  <c r="H51" i="9"/>
  <c r="G51" i="9"/>
  <c r="H40" i="9"/>
  <c r="G40" i="9"/>
  <c r="H8" i="9"/>
  <c r="G8" i="9"/>
  <c r="W76" i="5"/>
  <c r="V76" i="5"/>
  <c r="G101" i="5"/>
  <c r="H98" i="5"/>
  <c r="G98" i="5"/>
  <c r="H91" i="5"/>
  <c r="G89" i="5"/>
  <c r="G85" i="5"/>
  <c r="H80" i="5"/>
  <c r="W85" i="5" s="1"/>
  <c r="G80" i="5"/>
  <c r="V96" i="5" s="1"/>
  <c r="H76" i="5"/>
  <c r="H115" i="5" s="1"/>
  <c r="H65" i="5"/>
  <c r="H154" i="5" s="1"/>
  <c r="G65" i="5"/>
  <c r="H55" i="5"/>
  <c r="G55" i="5"/>
  <c r="H47" i="5"/>
  <c r="H119" i="5" s="1"/>
  <c r="G46" i="5"/>
  <c r="H36" i="5"/>
  <c r="G36" i="5"/>
  <c r="H24" i="5"/>
  <c r="H28" i="5" s="1"/>
  <c r="G24" i="5"/>
  <c r="G28" i="5" s="1"/>
  <c r="H18" i="5"/>
  <c r="G18" i="5"/>
  <c r="G76" i="5"/>
  <c r="G115" i="5" s="1"/>
  <c r="G10" i="9" l="1"/>
  <c r="V95" i="5"/>
  <c r="G47" i="5"/>
  <c r="G118" i="5" s="1"/>
  <c r="W80" i="5"/>
  <c r="G91" i="5"/>
  <c r="V83" i="5"/>
  <c r="V86" i="5"/>
  <c r="V90" i="5"/>
  <c r="W95" i="5"/>
  <c r="W101" i="5"/>
  <c r="G154" i="5"/>
  <c r="V89" i="5"/>
  <c r="V101" i="5"/>
  <c r="V78" i="5"/>
  <c r="V84" i="5"/>
  <c r="V87" i="5"/>
  <c r="H139" i="5"/>
  <c r="H137" i="5"/>
  <c r="H138" i="5"/>
  <c r="H136" i="5"/>
  <c r="W89" i="5"/>
  <c r="V98" i="5"/>
  <c r="H120" i="5"/>
  <c r="G136" i="5"/>
  <c r="W91" i="5"/>
  <c r="G149" i="5"/>
  <c r="V80" i="5"/>
  <c r="W84" i="5"/>
  <c r="V88" i="5"/>
  <c r="V94" i="5"/>
  <c r="V97" i="5"/>
  <c r="G37" i="5"/>
  <c r="W78" i="5"/>
  <c r="W90" i="5"/>
  <c r="W86" i="5"/>
  <c r="W96" i="5"/>
  <c r="H129" i="5"/>
  <c r="W87" i="5"/>
  <c r="W97" i="5"/>
  <c r="W83" i="5"/>
  <c r="H10" i="9"/>
  <c r="W88" i="5"/>
  <c r="W94" i="5"/>
  <c r="W98" i="5"/>
  <c r="V85" i="5"/>
  <c r="H57" i="5"/>
  <c r="H123" i="5" s="1"/>
  <c r="H118" i="5"/>
  <c r="H149" i="5"/>
  <c r="H152" i="5"/>
  <c r="H153" i="5"/>
  <c r="H124" i="5"/>
  <c r="H38" i="5"/>
  <c r="W53" i="5" s="1"/>
  <c r="H37" i="5"/>
  <c r="G129" i="5"/>
  <c r="G152" i="5"/>
  <c r="G38" i="5"/>
  <c r="H140" i="5" s="1"/>
  <c r="G124" i="5"/>
  <c r="G153" i="5"/>
  <c r="G125" i="5"/>
  <c r="G148" i="5"/>
  <c r="H92" i="5"/>
  <c r="H125" i="5"/>
  <c r="H148" i="5"/>
  <c r="I105" i="5"/>
  <c r="I51" i="9"/>
  <c r="I40" i="9"/>
  <c r="I47" i="5"/>
  <c r="P16" i="5"/>
  <c r="F13" i="5"/>
  <c r="G137" i="5" s="1"/>
  <c r="I8" i="9"/>
  <c r="I76" i="5"/>
  <c r="I115" i="5" s="1"/>
  <c r="I98" i="5"/>
  <c r="I80" i="5"/>
  <c r="AD87" i="5" s="1"/>
  <c r="I65" i="5"/>
  <c r="I55" i="5"/>
  <c r="I36" i="5"/>
  <c r="I24" i="5"/>
  <c r="I28" i="5" s="1"/>
  <c r="J139" i="5" s="1"/>
  <c r="A3" i="9"/>
  <c r="E8" i="9"/>
  <c r="D8" i="9"/>
  <c r="C8" i="9"/>
  <c r="B8" i="9"/>
  <c r="F8" i="9"/>
  <c r="A10" i="9"/>
  <c r="P71" i="5"/>
  <c r="AD75" i="5"/>
  <c r="AD76" i="5"/>
  <c r="U76" i="5"/>
  <c r="T76" i="5"/>
  <c r="S76" i="5"/>
  <c r="R76" i="5"/>
  <c r="Q76" i="5"/>
  <c r="AD68" i="5"/>
  <c r="P105" i="5"/>
  <c r="P103" i="5"/>
  <c r="P102" i="5"/>
  <c r="P101" i="5"/>
  <c r="P100" i="5"/>
  <c r="P98" i="5"/>
  <c r="P97" i="5"/>
  <c r="P96" i="5"/>
  <c r="P95" i="5"/>
  <c r="P94" i="5"/>
  <c r="P92" i="5"/>
  <c r="P91" i="5"/>
  <c r="P90" i="5"/>
  <c r="P89" i="5"/>
  <c r="P88" i="5"/>
  <c r="P87" i="5"/>
  <c r="P86" i="5"/>
  <c r="P85" i="5"/>
  <c r="P84" i="5"/>
  <c r="P83" i="5"/>
  <c r="P82" i="5"/>
  <c r="P80" i="5"/>
  <c r="P78" i="5"/>
  <c r="C105" i="5"/>
  <c r="B105" i="5"/>
  <c r="F105" i="5"/>
  <c r="E105" i="5"/>
  <c r="D105" i="5"/>
  <c r="F76" i="5"/>
  <c r="F115" i="5" s="1"/>
  <c r="E76" i="5"/>
  <c r="E115" i="5" s="1"/>
  <c r="D76" i="5"/>
  <c r="D115" i="5" s="1"/>
  <c r="C76" i="5"/>
  <c r="C115" i="5" s="1"/>
  <c r="B76" i="5"/>
  <c r="B115" i="5" s="1"/>
  <c r="O68" i="5"/>
  <c r="O107" i="5" s="1"/>
  <c r="P66" i="5"/>
  <c r="P65" i="5"/>
  <c r="P64" i="5"/>
  <c r="P63" i="5"/>
  <c r="P62" i="5"/>
  <c r="P61" i="5"/>
  <c r="P59" i="5"/>
  <c r="P57" i="5"/>
  <c r="P55" i="5"/>
  <c r="P54" i="5"/>
  <c r="P52" i="5"/>
  <c r="P51" i="5"/>
  <c r="P50" i="5"/>
  <c r="P49" i="5"/>
  <c r="P47" i="5"/>
  <c r="P46" i="5"/>
  <c r="P45" i="5"/>
  <c r="P44" i="5"/>
  <c r="P43" i="5"/>
  <c r="P42" i="5"/>
  <c r="P41" i="5"/>
  <c r="P40" i="5"/>
  <c r="P38" i="5"/>
  <c r="P37" i="5"/>
  <c r="P36" i="5"/>
  <c r="P35" i="5"/>
  <c r="P34" i="5"/>
  <c r="P33" i="5"/>
  <c r="P32" i="5"/>
  <c r="P31" i="5"/>
  <c r="P30" i="5"/>
  <c r="P28" i="5"/>
  <c r="P26" i="5"/>
  <c r="P24" i="5"/>
  <c r="P23" i="5"/>
  <c r="P22" i="5"/>
  <c r="P21" i="5"/>
  <c r="P20" i="5"/>
  <c r="P18" i="5"/>
  <c r="P17" i="5"/>
  <c r="P15" i="5"/>
  <c r="P14" i="5"/>
  <c r="P13" i="5"/>
  <c r="P12" i="5"/>
  <c r="P11" i="5"/>
  <c r="C13" i="5"/>
  <c r="B13" i="5"/>
  <c r="E13" i="5"/>
  <c r="O6" i="9"/>
  <c r="F51" i="9"/>
  <c r="E51" i="9"/>
  <c r="D51" i="9"/>
  <c r="C51" i="9"/>
  <c r="B51" i="9"/>
  <c r="E40" i="9"/>
  <c r="D40" i="9"/>
  <c r="B40" i="9"/>
  <c r="C40" i="9"/>
  <c r="A5" i="9"/>
  <c r="F101" i="5"/>
  <c r="F89" i="5"/>
  <c r="F85" i="5"/>
  <c r="F46" i="5"/>
  <c r="B101" i="5"/>
  <c r="B89" i="5"/>
  <c r="B46" i="5"/>
  <c r="C46" i="5"/>
  <c r="B17" i="5"/>
  <c r="C101" i="5"/>
  <c r="C89" i="5"/>
  <c r="C85" i="5"/>
  <c r="C17" i="5"/>
  <c r="E101" i="5"/>
  <c r="D101" i="5"/>
  <c r="E89" i="5"/>
  <c r="D89" i="5"/>
  <c r="E85" i="5"/>
  <c r="D85" i="5"/>
  <c r="E46" i="5"/>
  <c r="D46" i="5"/>
  <c r="B65" i="5"/>
  <c r="E17" i="5"/>
  <c r="D17" i="5"/>
  <c r="F24" i="5"/>
  <c r="G57" i="5" l="1"/>
  <c r="AD98" i="5"/>
  <c r="AD94" i="5"/>
  <c r="I120" i="5"/>
  <c r="AD101" i="5"/>
  <c r="AD95" i="5"/>
  <c r="AD88" i="5"/>
  <c r="AD96" i="5"/>
  <c r="X101" i="5"/>
  <c r="I136" i="5"/>
  <c r="J120" i="5"/>
  <c r="I139" i="5"/>
  <c r="I137" i="5"/>
  <c r="V28" i="5"/>
  <c r="AD90" i="5"/>
  <c r="AD97" i="5"/>
  <c r="AD83" i="5"/>
  <c r="AD85" i="5"/>
  <c r="V91" i="5"/>
  <c r="I153" i="5"/>
  <c r="J132" i="5"/>
  <c r="J133" i="5"/>
  <c r="G92" i="5"/>
  <c r="V37" i="5"/>
  <c r="AD84" i="5"/>
  <c r="AD86" i="5"/>
  <c r="AD89" i="5"/>
  <c r="G119" i="5"/>
  <c r="V47" i="5"/>
  <c r="H100" i="5"/>
  <c r="W100" i="5" s="1"/>
  <c r="W92" i="5"/>
  <c r="G66" i="5"/>
  <c r="V57" i="5"/>
  <c r="V64" i="5"/>
  <c r="V49" i="5"/>
  <c r="V22" i="5"/>
  <c r="V12" i="5"/>
  <c r="V63" i="5"/>
  <c r="V36" i="5"/>
  <c r="V62" i="5"/>
  <c r="V46" i="5"/>
  <c r="V35" i="5"/>
  <c r="V18" i="5"/>
  <c r="V21" i="5"/>
  <c r="V34" i="5"/>
  <c r="V55" i="5"/>
  <c r="V43" i="5"/>
  <c r="V33" i="5"/>
  <c r="V16" i="5"/>
  <c r="V54" i="5"/>
  <c r="V42" i="5"/>
  <c r="V15" i="5"/>
  <c r="V52" i="5"/>
  <c r="V41" i="5"/>
  <c r="V26" i="5"/>
  <c r="V14" i="5"/>
  <c r="V65" i="5"/>
  <c r="V51" i="5"/>
  <c r="V38" i="5"/>
  <c r="V24" i="5"/>
  <c r="V13" i="5"/>
  <c r="V44" i="5"/>
  <c r="V17" i="5"/>
  <c r="H66" i="5"/>
  <c r="W62" i="5"/>
  <c r="W52" i="5"/>
  <c r="W46" i="5"/>
  <c r="W18" i="5"/>
  <c r="W65" i="5"/>
  <c r="W57" i="5"/>
  <c r="W51" i="5"/>
  <c r="W44" i="5"/>
  <c r="W38" i="5"/>
  <c r="W34" i="5"/>
  <c r="W24" i="5"/>
  <c r="W17" i="5"/>
  <c r="W13" i="5"/>
  <c r="W37" i="5"/>
  <c r="W16" i="5"/>
  <c r="W47" i="5"/>
  <c r="W36" i="5"/>
  <c r="W15" i="5"/>
  <c r="W35" i="5"/>
  <c r="W14" i="5"/>
  <c r="W55" i="5"/>
  <c r="W33" i="5"/>
  <c r="W54" i="5"/>
  <c r="W28" i="5"/>
  <c r="W26" i="5"/>
  <c r="W64" i="5"/>
  <c r="W49" i="5"/>
  <c r="W43" i="5"/>
  <c r="W22" i="5"/>
  <c r="W12" i="5"/>
  <c r="W63" i="5"/>
  <c r="W42" i="5"/>
  <c r="W21" i="5"/>
  <c r="W41" i="5"/>
  <c r="G123" i="5"/>
  <c r="I10" i="9"/>
  <c r="I91" i="5"/>
  <c r="I92" i="5" s="1"/>
  <c r="X76" i="5"/>
  <c r="X80" i="5"/>
  <c r="X84" i="5"/>
  <c r="X86" i="5"/>
  <c r="X88" i="5"/>
  <c r="X90" i="5"/>
  <c r="X95" i="5"/>
  <c r="X97" i="5"/>
  <c r="X78" i="5"/>
  <c r="X83" i="5"/>
  <c r="X85" i="5"/>
  <c r="X87" i="5"/>
  <c r="X89" i="5"/>
  <c r="X94" i="5"/>
  <c r="X96" i="5"/>
  <c r="X98" i="5"/>
  <c r="I37" i="5"/>
  <c r="I57" i="5"/>
  <c r="I66" i="5" s="1"/>
  <c r="I18" i="5"/>
  <c r="I119" i="5"/>
  <c r="I125" i="5"/>
  <c r="I129" i="5"/>
  <c r="I148" i="5"/>
  <c r="I152" i="5"/>
  <c r="I154" i="5"/>
  <c r="I124" i="5"/>
  <c r="I149" i="5"/>
  <c r="F40" i="9"/>
  <c r="D18" i="5"/>
  <c r="F36" i="5"/>
  <c r="O74" i="5"/>
  <c r="D80" i="5"/>
  <c r="D91" i="5"/>
  <c r="D98" i="5"/>
  <c r="E80" i="5"/>
  <c r="E98" i="5"/>
  <c r="C80" i="5"/>
  <c r="C91" i="5"/>
  <c r="C98" i="5"/>
  <c r="C47" i="5"/>
  <c r="C18" i="5"/>
  <c r="D24" i="5"/>
  <c r="D36" i="5"/>
  <c r="F80" i="5"/>
  <c r="F98" i="5"/>
  <c r="B80" i="5"/>
  <c r="P3" i="5"/>
  <c r="P70" i="5" s="1"/>
  <c r="B18" i="5"/>
  <c r="E18" i="5"/>
  <c r="C24" i="5"/>
  <c r="E24" i="5"/>
  <c r="C36" i="5"/>
  <c r="E36" i="5"/>
  <c r="F47" i="5"/>
  <c r="E47" i="5"/>
  <c r="D55" i="5"/>
  <c r="F55" i="5"/>
  <c r="E55" i="5"/>
  <c r="E65" i="5"/>
  <c r="C65" i="5"/>
  <c r="F65" i="5"/>
  <c r="A72" i="5"/>
  <c r="B98" i="5"/>
  <c r="A111" i="5"/>
  <c r="D65" i="5"/>
  <c r="D148" i="5" s="1"/>
  <c r="B148" i="5"/>
  <c r="B36" i="5"/>
  <c r="B24" i="5"/>
  <c r="B91" i="5"/>
  <c r="B55" i="5"/>
  <c r="F28" i="5"/>
  <c r="G139" i="5" s="1"/>
  <c r="C55" i="5"/>
  <c r="B47" i="5"/>
  <c r="D47" i="5"/>
  <c r="B149" i="5"/>
  <c r="A70" i="5"/>
  <c r="B154" i="5"/>
  <c r="B152" i="5"/>
  <c r="E91" i="5"/>
  <c r="F91" i="5"/>
  <c r="C120" i="5" l="1"/>
  <c r="F120" i="5"/>
  <c r="D120" i="5"/>
  <c r="B118" i="5"/>
  <c r="C118" i="5"/>
  <c r="E120" i="5"/>
  <c r="AD92" i="5"/>
  <c r="J138" i="5"/>
  <c r="S98" i="5"/>
  <c r="E136" i="5"/>
  <c r="E138" i="5"/>
  <c r="E137" i="5"/>
  <c r="V92" i="5"/>
  <c r="F137" i="5"/>
  <c r="F136" i="5"/>
  <c r="D137" i="5"/>
  <c r="D138" i="5"/>
  <c r="D136" i="5"/>
  <c r="G100" i="5"/>
  <c r="G103" i="5" s="1"/>
  <c r="AD91" i="5"/>
  <c r="G120" i="5"/>
  <c r="I138" i="5"/>
  <c r="D154" i="5"/>
  <c r="D129" i="5"/>
  <c r="D92" i="5"/>
  <c r="F153" i="5"/>
  <c r="C57" i="5"/>
  <c r="C66" i="5" s="1"/>
  <c r="E149" i="5"/>
  <c r="D149" i="5"/>
  <c r="C153" i="5"/>
  <c r="D124" i="5"/>
  <c r="W66" i="5"/>
  <c r="H126" i="5"/>
  <c r="H103" i="5"/>
  <c r="H67" i="5"/>
  <c r="G67" i="5"/>
  <c r="V66" i="5"/>
  <c r="D152" i="5"/>
  <c r="X91" i="5"/>
  <c r="C136" i="5"/>
  <c r="U91" i="5"/>
  <c r="B28" i="5"/>
  <c r="C154" i="5"/>
  <c r="I123" i="5"/>
  <c r="C129" i="5"/>
  <c r="C148" i="5"/>
  <c r="C137" i="5"/>
  <c r="E148" i="5"/>
  <c r="R98" i="5"/>
  <c r="I100" i="5"/>
  <c r="X100" i="5" s="1"/>
  <c r="X92" i="5"/>
  <c r="I118" i="5"/>
  <c r="I38" i="5"/>
  <c r="AD18" i="5" s="1"/>
  <c r="Q101" i="5"/>
  <c r="B129" i="5"/>
  <c r="U101" i="5"/>
  <c r="F129" i="5"/>
  <c r="T85" i="5"/>
  <c r="E129" i="5"/>
  <c r="E154" i="5"/>
  <c r="U98" i="5"/>
  <c r="R91" i="5"/>
  <c r="T98" i="5"/>
  <c r="E92" i="5"/>
  <c r="T92" i="5" s="1"/>
  <c r="T91" i="5"/>
  <c r="B92" i="5"/>
  <c r="B100" i="5" s="1"/>
  <c r="Q91" i="5"/>
  <c r="D10" i="9"/>
  <c r="S97" i="5"/>
  <c r="S96" i="5"/>
  <c r="S95" i="5"/>
  <c r="S94" i="5"/>
  <c r="S90" i="5"/>
  <c r="S88" i="5"/>
  <c r="S87" i="5"/>
  <c r="S86" i="5"/>
  <c r="S84" i="5"/>
  <c r="S83" i="5"/>
  <c r="S80" i="5"/>
  <c r="S78" i="5"/>
  <c r="U89" i="5"/>
  <c r="S101" i="5"/>
  <c r="S85" i="5"/>
  <c r="T101" i="5"/>
  <c r="Q98" i="5"/>
  <c r="Q97" i="5"/>
  <c r="Q95" i="5"/>
  <c r="Q90" i="5"/>
  <c r="Q88" i="5"/>
  <c r="Q86" i="5"/>
  <c r="Q84" i="5"/>
  <c r="Q80" i="5"/>
  <c r="Q96" i="5"/>
  <c r="Q94" i="5"/>
  <c r="Q87" i="5"/>
  <c r="Q85" i="5"/>
  <c r="Q83" i="5"/>
  <c r="Q78" i="5"/>
  <c r="F10" i="9"/>
  <c r="U97" i="5"/>
  <c r="U96" i="5"/>
  <c r="U95" i="5"/>
  <c r="U94" i="5"/>
  <c r="U90" i="5"/>
  <c r="U88" i="5"/>
  <c r="U87" i="5"/>
  <c r="U86" i="5"/>
  <c r="U84" i="5"/>
  <c r="U83" i="5"/>
  <c r="U80" i="5"/>
  <c r="U78" i="5"/>
  <c r="C10" i="9"/>
  <c r="R97" i="5"/>
  <c r="R96" i="5"/>
  <c r="R95" i="5"/>
  <c r="R94" i="5"/>
  <c r="R90" i="5"/>
  <c r="R88" i="5"/>
  <c r="R87" i="5"/>
  <c r="R86" i="5"/>
  <c r="R84" i="5"/>
  <c r="R83" i="5"/>
  <c r="R80" i="5"/>
  <c r="R78" i="5"/>
  <c r="T97" i="5"/>
  <c r="T96" i="5"/>
  <c r="T95" i="5"/>
  <c r="T94" i="5"/>
  <c r="T90" i="5"/>
  <c r="T88" i="5"/>
  <c r="T87" i="5"/>
  <c r="T86" i="5"/>
  <c r="T84" i="5"/>
  <c r="T83" i="5"/>
  <c r="T80" i="5"/>
  <c r="T78" i="5"/>
  <c r="C152" i="5"/>
  <c r="C149" i="5"/>
  <c r="S91" i="5"/>
  <c r="U85" i="5"/>
  <c r="R85" i="5"/>
  <c r="Q89" i="5"/>
  <c r="R89" i="5"/>
  <c r="S89" i="5"/>
  <c r="R101" i="5"/>
  <c r="T89" i="5"/>
  <c r="B119" i="5"/>
  <c r="C124" i="5"/>
  <c r="D153" i="5"/>
  <c r="F119" i="5"/>
  <c r="E118" i="5"/>
  <c r="D119" i="5"/>
  <c r="F125" i="5"/>
  <c r="B124" i="5"/>
  <c r="F149" i="5"/>
  <c r="E152" i="5"/>
  <c r="E119" i="5"/>
  <c r="C119" i="5"/>
  <c r="E57" i="5"/>
  <c r="E153" i="5"/>
  <c r="F124" i="5"/>
  <c r="D57" i="5"/>
  <c r="B10" i="9"/>
  <c r="E10" i="9"/>
  <c r="F57" i="5"/>
  <c r="B57" i="5"/>
  <c r="C138" i="5"/>
  <c r="F154" i="5"/>
  <c r="F152" i="5"/>
  <c r="F148" i="5"/>
  <c r="C92" i="5"/>
  <c r="B153" i="5"/>
  <c r="A109" i="5"/>
  <c r="F92" i="5"/>
  <c r="F18" i="5"/>
  <c r="G138" i="5" s="1"/>
  <c r="E124" i="5"/>
  <c r="E28" i="5"/>
  <c r="F139" i="5" s="1"/>
  <c r="C28" i="5"/>
  <c r="D118" i="5"/>
  <c r="F37" i="5"/>
  <c r="D28" i="5"/>
  <c r="E139" i="5" s="1"/>
  <c r="D139" i="5" l="1"/>
  <c r="F138" i="5"/>
  <c r="AD66" i="5"/>
  <c r="V100" i="5"/>
  <c r="AD100" i="5"/>
  <c r="G126" i="5"/>
  <c r="J140" i="5"/>
  <c r="J131" i="5"/>
  <c r="AD36" i="5"/>
  <c r="AD65" i="5"/>
  <c r="AD44" i="5"/>
  <c r="AD26" i="5"/>
  <c r="AD15" i="5"/>
  <c r="AD35" i="5"/>
  <c r="AD54" i="5"/>
  <c r="AD41" i="5"/>
  <c r="AD51" i="5"/>
  <c r="AD24" i="5"/>
  <c r="AD55" i="5"/>
  <c r="AD22" i="5"/>
  <c r="AD42" i="5"/>
  <c r="AD62" i="5"/>
  <c r="AD52" i="5"/>
  <c r="AD49" i="5"/>
  <c r="AD34" i="5"/>
  <c r="AD13" i="5"/>
  <c r="AD64" i="5"/>
  <c r="AD12" i="5"/>
  <c r="AD46" i="5"/>
  <c r="I140" i="5"/>
  <c r="AD28" i="5"/>
  <c r="AD16" i="5"/>
  <c r="AD33" i="5"/>
  <c r="AD53" i="5"/>
  <c r="AD63" i="5"/>
  <c r="AD38" i="5"/>
  <c r="AD14" i="5"/>
  <c r="AD21" i="5"/>
  <c r="AD47" i="5"/>
  <c r="AD45" i="5"/>
  <c r="AD43" i="5"/>
  <c r="AD17" i="5"/>
  <c r="G130" i="5"/>
  <c r="G133" i="5"/>
  <c r="G132" i="5"/>
  <c r="H130" i="5"/>
  <c r="H133" i="5"/>
  <c r="H132" i="5"/>
  <c r="H131" i="5"/>
  <c r="AD57" i="5"/>
  <c r="AD37" i="5"/>
  <c r="C123" i="5"/>
  <c r="S92" i="5"/>
  <c r="D100" i="5"/>
  <c r="D66" i="5"/>
  <c r="F123" i="5"/>
  <c r="X19" i="5"/>
  <c r="X45" i="5"/>
  <c r="X16" i="5"/>
  <c r="X53" i="5"/>
  <c r="H12" i="9"/>
  <c r="H31" i="9" s="1"/>
  <c r="H53" i="9" s="1"/>
  <c r="W103" i="5"/>
  <c r="W105" i="5"/>
  <c r="G12" i="9"/>
  <c r="G31" i="9" s="1"/>
  <c r="G53" i="9" s="1"/>
  <c r="V103" i="5"/>
  <c r="V105" i="5"/>
  <c r="I126" i="5"/>
  <c r="E100" i="5"/>
  <c r="T100" i="5" s="1"/>
  <c r="E66" i="5"/>
  <c r="B125" i="5"/>
  <c r="B38" i="5"/>
  <c r="Q18" i="5" s="1"/>
  <c r="B37" i="5"/>
  <c r="I103" i="5"/>
  <c r="AD103" i="5" s="1"/>
  <c r="X66" i="5"/>
  <c r="X64" i="5"/>
  <c r="X62" i="5"/>
  <c r="X55" i="5"/>
  <c r="X52" i="5"/>
  <c r="X49" i="5"/>
  <c r="X46" i="5"/>
  <c r="X43" i="5"/>
  <c r="X41" i="5"/>
  <c r="X35" i="5"/>
  <c r="X33" i="5"/>
  <c r="X26" i="5"/>
  <c r="X22" i="5"/>
  <c r="X18" i="5"/>
  <c r="X15" i="5"/>
  <c r="X13" i="5"/>
  <c r="X65" i="5"/>
  <c r="X63" i="5"/>
  <c r="X57" i="5"/>
  <c r="X54" i="5"/>
  <c r="X51" i="5"/>
  <c r="X47" i="5"/>
  <c r="X44" i="5"/>
  <c r="X42" i="5"/>
  <c r="X38" i="5"/>
  <c r="X36" i="5"/>
  <c r="X34" i="5"/>
  <c r="X21" i="5"/>
  <c r="X17" i="5"/>
  <c r="X14" i="5"/>
  <c r="X12" i="5"/>
  <c r="X37" i="5"/>
  <c r="X28" i="5"/>
  <c r="X24" i="5"/>
  <c r="I67" i="5"/>
  <c r="Q100" i="5"/>
  <c r="U92" i="5"/>
  <c r="Q92" i="5"/>
  <c r="E103" i="5"/>
  <c r="C100" i="5"/>
  <c r="C103" i="5" s="1"/>
  <c r="R92" i="5"/>
  <c r="D123" i="5"/>
  <c r="F38" i="5"/>
  <c r="G140" i="5" s="1"/>
  <c r="F66" i="5"/>
  <c r="E123" i="5"/>
  <c r="B66" i="5"/>
  <c r="B123" i="5"/>
  <c r="B103" i="5"/>
  <c r="B126" i="5"/>
  <c r="F100" i="5"/>
  <c r="F118" i="5"/>
  <c r="C37" i="5"/>
  <c r="C125" i="5"/>
  <c r="C139" i="5"/>
  <c r="C38" i="5"/>
  <c r="E37" i="5"/>
  <c r="E125" i="5"/>
  <c r="E38" i="5"/>
  <c r="D38" i="5"/>
  <c r="E140" i="5" s="1"/>
  <c r="D37" i="5"/>
  <c r="D125" i="5"/>
  <c r="Q43" i="5" l="1"/>
  <c r="O140" i="5"/>
  <c r="E126" i="5"/>
  <c r="E133" i="5"/>
  <c r="E132" i="5"/>
  <c r="E131" i="5"/>
  <c r="R53" i="5"/>
  <c r="D140" i="5"/>
  <c r="F140" i="5"/>
  <c r="C133" i="5"/>
  <c r="C132" i="5"/>
  <c r="C131" i="5"/>
  <c r="G131" i="5"/>
  <c r="I12" i="9"/>
  <c r="I31" i="9" s="1"/>
  <c r="I53" i="9" s="1"/>
  <c r="I133" i="5"/>
  <c r="I132" i="5"/>
  <c r="I131" i="5"/>
  <c r="AD105" i="5"/>
  <c r="U100" i="5"/>
  <c r="D103" i="5"/>
  <c r="S100" i="5"/>
  <c r="D126" i="5"/>
  <c r="T53" i="5"/>
  <c r="S53" i="5"/>
  <c r="Q41" i="5"/>
  <c r="Q53" i="5"/>
  <c r="Q45" i="5"/>
  <c r="X103" i="5"/>
  <c r="Q24" i="5"/>
  <c r="Q26" i="5"/>
  <c r="Q57" i="5"/>
  <c r="Q32" i="5"/>
  <c r="Q37" i="5"/>
  <c r="Q62" i="5"/>
  <c r="Q64" i="5"/>
  <c r="C130" i="5"/>
  <c r="Q12" i="5"/>
  <c r="Q44" i="5"/>
  <c r="Q36" i="5"/>
  <c r="Q28" i="5"/>
  <c r="Q22" i="5"/>
  <c r="Q52" i="5"/>
  <c r="I130" i="5"/>
  <c r="Q47" i="5"/>
  <c r="Q17" i="5"/>
  <c r="Q51" i="5"/>
  <c r="Q46" i="5"/>
  <c r="Q38" i="5"/>
  <c r="Q14" i="5"/>
  <c r="Q54" i="5"/>
  <c r="Q65" i="5"/>
  <c r="Q42" i="5"/>
  <c r="Q21" i="5"/>
  <c r="Q63" i="5"/>
  <c r="X105" i="5"/>
  <c r="Q34" i="5"/>
  <c r="Q33" i="5"/>
  <c r="U18" i="5"/>
  <c r="U16" i="5"/>
  <c r="Q13" i="5"/>
  <c r="Q15" i="5"/>
  <c r="Q49" i="5"/>
  <c r="Q35" i="5"/>
  <c r="Q55" i="5"/>
  <c r="F67" i="5"/>
  <c r="B130" i="5"/>
  <c r="E130" i="5"/>
  <c r="U66" i="5"/>
  <c r="C12" i="9"/>
  <c r="C31" i="9" s="1"/>
  <c r="C53" i="9" s="1"/>
  <c r="R103" i="5"/>
  <c r="R105" i="5"/>
  <c r="Q103" i="5"/>
  <c r="Q105" i="5"/>
  <c r="C126" i="5"/>
  <c r="R100" i="5"/>
  <c r="E12" i="9"/>
  <c r="E31" i="9" s="1"/>
  <c r="T103" i="5"/>
  <c r="T105" i="5"/>
  <c r="U57" i="5"/>
  <c r="B12" i="9"/>
  <c r="S64" i="5"/>
  <c r="S63" i="5"/>
  <c r="S62" i="5"/>
  <c r="S54" i="5"/>
  <c r="S52" i="5"/>
  <c r="S51" i="5"/>
  <c r="S49" i="5"/>
  <c r="S44" i="5"/>
  <c r="S43" i="5"/>
  <c r="S42" i="5"/>
  <c r="S41" i="5"/>
  <c r="S38" i="5"/>
  <c r="S35" i="5"/>
  <c r="S34" i="5"/>
  <c r="S33" i="5"/>
  <c r="S32" i="5"/>
  <c r="S26" i="5"/>
  <c r="S22" i="5"/>
  <c r="S21" i="5"/>
  <c r="S15" i="5"/>
  <c r="S14" i="5"/>
  <c r="S13" i="5"/>
  <c r="S12" i="5"/>
  <c r="S17" i="5"/>
  <c r="S46" i="5"/>
  <c r="S65" i="5"/>
  <c r="S36" i="5"/>
  <c r="S47" i="5"/>
  <c r="S24" i="5"/>
  <c r="S55" i="5"/>
  <c r="S18" i="5"/>
  <c r="R64" i="5"/>
  <c r="R63" i="5"/>
  <c r="R62" i="5"/>
  <c r="R54" i="5"/>
  <c r="R52" i="5"/>
  <c r="R51" i="5"/>
  <c r="R49" i="5"/>
  <c r="R44" i="5"/>
  <c r="R43" i="5"/>
  <c r="R42" i="5"/>
  <c r="R41" i="5"/>
  <c r="R38" i="5"/>
  <c r="R35" i="5"/>
  <c r="R34" i="5"/>
  <c r="R33" i="5"/>
  <c r="R32" i="5"/>
  <c r="R26" i="5"/>
  <c r="R22" i="5"/>
  <c r="R21" i="5"/>
  <c r="R15" i="5"/>
  <c r="R14" i="5"/>
  <c r="R12" i="5"/>
  <c r="R17" i="5"/>
  <c r="R13" i="5"/>
  <c r="R46" i="5"/>
  <c r="R36" i="5"/>
  <c r="R57" i="5"/>
  <c r="R24" i="5"/>
  <c r="R47" i="5"/>
  <c r="R55" i="5"/>
  <c r="R65" i="5"/>
  <c r="R18" i="5"/>
  <c r="R66" i="5"/>
  <c r="Q66" i="5"/>
  <c r="S37" i="5"/>
  <c r="R37" i="5"/>
  <c r="S66" i="5"/>
  <c r="U37" i="5"/>
  <c r="R28" i="5"/>
  <c r="S57" i="5"/>
  <c r="T64" i="5"/>
  <c r="T63" i="5"/>
  <c r="T62" i="5"/>
  <c r="T54" i="5"/>
  <c r="T52" i="5"/>
  <c r="T51" i="5"/>
  <c r="T49" i="5"/>
  <c r="T44" i="5"/>
  <c r="T43" i="5"/>
  <c r="T42" i="5"/>
  <c r="T41" i="5"/>
  <c r="T38" i="5"/>
  <c r="T35" i="5"/>
  <c r="T34" i="5"/>
  <c r="T33" i="5"/>
  <c r="T32" i="5"/>
  <c r="T26" i="5"/>
  <c r="T22" i="5"/>
  <c r="T21" i="5"/>
  <c r="T15" i="5"/>
  <c r="T14" i="5"/>
  <c r="T12" i="5"/>
  <c r="T46" i="5"/>
  <c r="T17" i="5"/>
  <c r="T13" i="5"/>
  <c r="T24" i="5"/>
  <c r="T18" i="5"/>
  <c r="T55" i="5"/>
  <c r="T65" i="5"/>
  <c r="T47" i="5"/>
  <c r="T36" i="5"/>
  <c r="U64" i="5"/>
  <c r="U63" i="5"/>
  <c r="U62" i="5"/>
  <c r="U54" i="5"/>
  <c r="U52" i="5"/>
  <c r="U51" i="5"/>
  <c r="U49" i="5"/>
  <c r="U44" i="5"/>
  <c r="U43" i="5"/>
  <c r="U42" i="5"/>
  <c r="U41" i="5"/>
  <c r="U38" i="5"/>
  <c r="U35" i="5"/>
  <c r="U34" i="5"/>
  <c r="U33" i="5"/>
  <c r="U26" i="5"/>
  <c r="U22" i="5"/>
  <c r="U21" i="5"/>
  <c r="U15" i="5"/>
  <c r="U14" i="5"/>
  <c r="U12" i="5"/>
  <c r="U46" i="5"/>
  <c r="U17" i="5"/>
  <c r="U24" i="5"/>
  <c r="U13" i="5"/>
  <c r="U47" i="5"/>
  <c r="U28" i="5"/>
  <c r="U65" i="5"/>
  <c r="U55" i="5"/>
  <c r="U36" i="5"/>
  <c r="T37" i="5"/>
  <c r="T57" i="5"/>
  <c r="T28" i="5"/>
  <c r="T66" i="5"/>
  <c r="S28" i="5"/>
  <c r="D67" i="5"/>
  <c r="E67" i="5"/>
  <c r="B67" i="5"/>
  <c r="C67" i="5"/>
  <c r="F103" i="5"/>
  <c r="F126" i="5"/>
  <c r="C140" i="5"/>
  <c r="F133" i="5" l="1"/>
  <c r="F132" i="5"/>
  <c r="F131" i="5"/>
  <c r="D133" i="5"/>
  <c r="D132" i="5"/>
  <c r="D131" i="5"/>
  <c r="D130" i="5"/>
  <c r="D12" i="9"/>
  <c r="S103" i="5"/>
  <c r="S105" i="5"/>
  <c r="F130" i="5"/>
  <c r="B31" i="9"/>
  <c r="U103" i="5"/>
  <c r="U105" i="5"/>
  <c r="E53" i="9"/>
  <c r="F12" i="9"/>
  <c r="F31" i="9" s="1"/>
  <c r="D31" i="9" l="1"/>
  <c r="B53" i="9"/>
  <c r="F53" i="9"/>
  <c r="D53" i="9" l="1"/>
  <c r="B57" i="9"/>
  <c r="B58" i="9" l="1"/>
  <c r="C55" i="9"/>
  <c r="C57" i="9" l="1"/>
  <c r="C58" i="9" s="1"/>
  <c r="D55" i="9" l="1"/>
  <c r="D57" i="9" l="1"/>
  <c r="E55" i="9" s="1"/>
  <c r="D58" i="9" l="1"/>
  <c r="E57" i="9"/>
  <c r="E58" i="9" s="1"/>
  <c r="F55" i="9" l="1"/>
  <c r="F57" i="9" l="1"/>
  <c r="G55" i="9" s="1"/>
  <c r="G57" i="9" s="1"/>
  <c r="G58" i="9" l="1"/>
  <c r="H55" i="9"/>
  <c r="H57" i="9" s="1"/>
  <c r="F58" i="9"/>
  <c r="H58" i="9" l="1"/>
  <c r="I55" i="9"/>
  <c r="I57" i="9" l="1"/>
  <c r="J55" i="9" s="1"/>
  <c r="J57" i="9" s="1"/>
  <c r="J58" i="9" l="1"/>
  <c r="K55" i="9"/>
  <c r="K57" i="9"/>
  <c r="K58" i="9" s="1"/>
  <c r="I58" i="9"/>
</calcChain>
</file>

<file path=xl/sharedStrings.xml><?xml version="1.0" encoding="utf-8"?>
<sst xmlns="http://schemas.openxmlformats.org/spreadsheetml/2006/main" count="172" uniqueCount="159">
  <si>
    <t>Account Name</t>
  </si>
  <si>
    <t>Asset-utilization Ratios:</t>
  </si>
  <si>
    <t>Average</t>
  </si>
  <si>
    <t>Avg. Annual</t>
  </si>
  <si>
    <t>Cash &amp; Equivalents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</si>
  <si>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</si>
  <si>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</si>
  <si>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</si>
  <si>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</si>
  <si>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</si>
  <si>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</si>
  <si>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</si>
  <si>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</si>
  <si>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</si>
  <si>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</si>
  <si>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Worth/Fixed Assets</t>
  </si>
  <si>
    <t>Net Worth/Non Current Debt</t>
  </si>
  <si>
    <t>Net Worth/Total Debt</t>
  </si>
  <si>
    <t>Operating Expenses:</t>
  </si>
  <si>
    <t>Other Current Assets</t>
  </si>
  <si>
    <t>Pct. Change</t>
  </si>
  <si>
    <t>Plant &amp; Equipment:</t>
  </si>
  <si>
    <t>Quick</t>
  </si>
  <si>
    <t>Ratio Group And Name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</si>
  <si>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</si>
  <si>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</si>
  <si>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</si>
  <si>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</si>
  <si>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</si>
  <si>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</si>
  <si>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</si>
  <si>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</si>
  <si>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</si>
  <si>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</si>
  <si>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</si>
  <si>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</si>
  <si>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</si>
  <si>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</si>
  <si>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</si>
  <si>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Common Size</t>
  </si>
  <si>
    <t>Historical Balance Sheets</t>
  </si>
  <si>
    <t xml:space="preserve">   Depreciation and amortization</t>
  </si>
  <si>
    <t xml:space="preserve">   Taxes, other than income taxes</t>
  </si>
  <si>
    <t xml:space="preserve">   Interest expense (net)</t>
  </si>
  <si>
    <t>Total Other Income/Expense</t>
  </si>
  <si>
    <t>Total Revenues</t>
  </si>
  <si>
    <t xml:space="preserve">   Loss (Gain) on Sale of Assets</t>
  </si>
  <si>
    <t>Other PP&amp;E</t>
  </si>
  <si>
    <t>Accumulated Depreciation &amp; Amort.</t>
  </si>
  <si>
    <t>Net Plant &amp; Equipment</t>
  </si>
  <si>
    <t>Regulatory Assets</t>
  </si>
  <si>
    <t>Long-Term Debt</t>
  </si>
  <si>
    <t>Other Deferred Credits</t>
  </si>
  <si>
    <t>Total LTD &amp; Deferrals</t>
  </si>
  <si>
    <t>Total Plant &amp; Equipment:</t>
  </si>
  <si>
    <t>Common Equity:</t>
  </si>
  <si>
    <t>Return On Total Capital</t>
  </si>
  <si>
    <t>Profitability Ratios:</t>
  </si>
  <si>
    <t>Other Assets:</t>
  </si>
  <si>
    <t>Total Other Assets</t>
  </si>
  <si>
    <t>Acounts Payable</t>
  </si>
  <si>
    <t xml:space="preserve">   Operating and Maintenance</t>
  </si>
  <si>
    <t>Years Ended December 31</t>
  </si>
  <si>
    <t>Exhibit 1</t>
  </si>
  <si>
    <t xml:space="preserve">   Interest and Other Income</t>
  </si>
  <si>
    <t>Plant in Service</t>
  </si>
  <si>
    <t>Capital Structure (Regulatory):</t>
  </si>
  <si>
    <t>Common Equity</t>
  </si>
  <si>
    <t>Capital Structure:</t>
  </si>
  <si>
    <t>Short-Term Debt</t>
  </si>
  <si>
    <t>Patrons Capital</t>
  </si>
  <si>
    <t>Operating Revenues</t>
  </si>
  <si>
    <t xml:space="preserve">   Other</t>
  </si>
  <si>
    <t>Current Portion of LTD</t>
  </si>
  <si>
    <t>Customer Deposits</t>
  </si>
  <si>
    <t>Cost of Purchased Power</t>
  </si>
  <si>
    <t xml:space="preserve">   Other (Income) Expense</t>
  </si>
  <si>
    <t>Total Patronage Equity</t>
  </si>
  <si>
    <t>Administrative and General Expenses</t>
  </si>
  <si>
    <t>Return of Patrons Capital</t>
  </si>
  <si>
    <t>Net Margin</t>
  </si>
  <si>
    <t>Loan Covenants:</t>
  </si>
  <si>
    <t>Return On Patrons Capital</t>
  </si>
  <si>
    <t>Other Current and Accrued Liabilities</t>
  </si>
  <si>
    <t>Other Deferred Credit</t>
  </si>
  <si>
    <t>Investment in CFC and Others</t>
  </si>
  <si>
    <t>Perpetual Line of Credit</t>
  </si>
  <si>
    <t>Accrued Expenses</t>
  </si>
  <si>
    <t>page 5 of 6</t>
  </si>
  <si>
    <t>Dixie Escalante Rural Electric Association, Inc</t>
  </si>
  <si>
    <t>Material and Supplies</t>
  </si>
  <si>
    <t>Notes Receivable Related Party</t>
  </si>
  <si>
    <t>Memberships</t>
  </si>
  <si>
    <t>Customer Advances for Construction</t>
  </si>
  <si>
    <t>Deferred Revenue - Impact Fees</t>
  </si>
  <si>
    <t xml:space="preserve">   Customer Service</t>
  </si>
  <si>
    <t xml:space="preserve">   Consumer Accounts</t>
  </si>
  <si>
    <t>Patronage Capital Credits</t>
  </si>
  <si>
    <t>Non-utility Property</t>
  </si>
  <si>
    <t>Construction Work in Progress</t>
  </si>
  <si>
    <t>Historical Cash Flow Statements</t>
  </si>
  <si>
    <t>(Thousands of dollars)</t>
  </si>
  <si>
    <t>Cash flows from operating activities:</t>
  </si>
  <si>
    <t xml:space="preserve">       Depreciation and amortization</t>
  </si>
  <si>
    <t xml:space="preserve">       Cumulative Affect of Accounting Chng and Other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</si>
  <si>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</si>
  <si>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</si>
  <si>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</si>
  <si>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</si>
  <si>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</si>
  <si>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</si>
  <si>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</si>
  <si>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Proceeds from long-term debt</t>
  </si>
  <si>
    <t xml:space="preserve">     Long-term debt repaid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</si>
  <si>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</si>
  <si>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</si>
  <si>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</si>
  <si>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</si>
  <si>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 xml:space="preserve">   Net Margin</t>
  </si>
  <si>
    <t xml:space="preserve">   Adjustments to reconcile net income to net cash</t>
  </si>
  <si>
    <t xml:space="preserve">       Accretion of deferred revenue</t>
  </si>
  <si>
    <t xml:space="preserve">       Accretion of deferred gain on debt restructuring</t>
  </si>
  <si>
    <t xml:space="preserve">      (increase)/decrease in CFC Investment</t>
  </si>
  <si>
    <t xml:space="preserve">      (increase)/decrease in Accounts Receivable</t>
  </si>
  <si>
    <t xml:space="preserve">      (increase)/decrease in Materials and Supplies</t>
  </si>
  <si>
    <t xml:space="preserve">      (increase)/decrease in Other Assets</t>
  </si>
  <si>
    <t xml:space="preserve">      (increase)/decrease in Notes Receivable</t>
  </si>
  <si>
    <t xml:space="preserve">      increase/(decrease) in Accounts Payable</t>
  </si>
  <si>
    <t xml:space="preserve">      increase/(decrease) in Customer Deposits</t>
  </si>
  <si>
    <t xml:space="preserve">      increase/(decrease) in Accrued Expenses</t>
  </si>
  <si>
    <t xml:space="preserve">      increase/(decrease) in Accrued Personal Leave</t>
  </si>
  <si>
    <t xml:space="preserve">      increase/(decrease) in Unclaimed Capital Credits</t>
  </si>
  <si>
    <t xml:space="preserve">   Changes in assets and liabilities: </t>
  </si>
  <si>
    <t xml:space="preserve">     Purchase of non utility property</t>
  </si>
  <si>
    <t xml:space="preserve">     Sale of non utility property</t>
  </si>
  <si>
    <t xml:space="preserve">     Customer advance for impact fees</t>
  </si>
  <si>
    <t xml:space="preserve">     Customer advance for construction</t>
  </si>
  <si>
    <t xml:space="preserve">     Refund of Capital Credits</t>
  </si>
  <si>
    <t xml:space="preserve">     Refund of customer advance</t>
  </si>
  <si>
    <t>Accounts Receivable - Customers</t>
  </si>
  <si>
    <t>Accounts Receivable - Other</t>
  </si>
  <si>
    <t xml:space="preserve">       Gain or Loss on sale of assets</t>
  </si>
  <si>
    <t xml:space="preserve">     Investments in joint projects</t>
  </si>
  <si>
    <t>Historical Balance Sheet</t>
  </si>
  <si>
    <t>Wt Average</t>
  </si>
  <si>
    <t>Financial Ratios</t>
  </si>
  <si>
    <t>Gross Margin</t>
  </si>
  <si>
    <t>Notes Receivable - Ft Pierce Indust</t>
  </si>
  <si>
    <t>Historical Income Statement</t>
  </si>
  <si>
    <t>page 6 of 6</t>
  </si>
  <si>
    <t>Notes Receivable - Related Party</t>
  </si>
  <si>
    <t>Other Equity</t>
  </si>
  <si>
    <t>Deferred Revenue - Grants</t>
  </si>
  <si>
    <t xml:space="preserve">5 Year </t>
  </si>
  <si>
    <t>page 2 of 4</t>
  </si>
  <si>
    <t>page 1 of 4</t>
  </si>
  <si>
    <t>page 4 of 4</t>
  </si>
  <si>
    <t>page 3 of 4</t>
  </si>
  <si>
    <t>2016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</si>
</sst>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3" fontId="6" fillId="2" borderId="0"/>
    <xf numFmtId="5" fontId="6" fillId="2" borderId="0"/>
    <xf numFmtId="0" fontId="6" fillId="2" borderId="0"/>
    <xf numFmtId="2" fontId="6" fillId="2" borderId="0"/>
    <xf numFmtId="0" fontId="1" fillId="2" borderId="0"/>
    <xf numFmtId="0" fontId="2" fillId="2" borderId="0"/>
    <xf numFmtId="0" fontId="6" fillId="0" borderId="0" applyFill="0" applyBorder="0"/>
    <xf numFmtId="10" fontId="5" fillId="2" borderId="0"/>
    <xf numFmtId="0" fontId="6" fillId="2" borderId="1"/>
  </cellStyleXfs>
  <cellXfs count="148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10" fontId="3" fillId="2" borderId="0" xfId="0" applyNumberFormat="1" applyFont="1" applyFill="1" applyAlignment="1">
      <alignment horizontal="centerContinuous"/>
    </xf>
    <xf numFmtId="5" fontId="6" fillId="2" borderId="0" xfId="0" applyNumberFormat="1" applyFont="1" applyFill="1"/>
    <xf numFmtId="5" fontId="8" fillId="2" borderId="0" xfId="0" applyNumberFormat="1" applyFont="1" applyFill="1"/>
    <xf numFmtId="5" fontId="6" fillId="2" borderId="0" xfId="0" applyNumberFormat="1" applyFont="1" applyFill="1" applyAlignment="1">
      <alignment horizontal="centerContinuous"/>
    </xf>
    <xf numFmtId="10" fontId="6" fillId="2" borderId="0" xfId="0" applyNumberFormat="1" applyFont="1" applyFill="1" applyAlignment="1">
      <alignment horizontal="centerContinuous"/>
    </xf>
    <xf numFmtId="10" fontId="7" fillId="2" borderId="0" xfId="0" quotePrefix="1" applyNumberFormat="1" applyFont="1" applyFill="1" applyAlignment="1">
      <alignment horizontal="right"/>
    </xf>
    <xf numFmtId="5" fontId="6" fillId="2" borderId="0" xfId="0" applyNumberFormat="1" applyFont="1" applyFill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0" fontId="7" fillId="2" borderId="6" xfId="0" applyNumberFormat="1" applyFont="1" applyFill="1" applyBorder="1" applyAlignment="1">
      <alignment horizontal="right"/>
    </xf>
    <xf numFmtId="164" fontId="7" fillId="2" borderId="0" xfId="0" quotePrefix="1" applyNumberFormat="1" applyFont="1" applyFill="1" applyAlignment="1">
      <alignment horizontal="centerContinuous"/>
    </xf>
    <xf numFmtId="5" fontId="9" fillId="2" borderId="0" xfId="0" applyNumberFormat="1" applyFont="1" applyFill="1"/>
    <xf numFmtId="10" fontId="6" fillId="2" borderId="0" xfId="0" applyNumberFormat="1" applyFont="1" applyFill="1"/>
    <xf numFmtId="5" fontId="6" fillId="2" borderId="0" xfId="0" quotePrefix="1" applyNumberFormat="1" applyFont="1" applyFill="1" applyAlignment="1">
      <alignment horizontal="left"/>
    </xf>
    <xf numFmtId="5" fontId="6" fillId="2" borderId="0" xfId="0" applyNumberFormat="1" applyFont="1" applyFill="1" applyAlignment="1">
      <alignment horizontal="left"/>
    </xf>
    <xf numFmtId="10" fontId="6" fillId="2" borderId="6" xfId="0" applyNumberFormat="1" applyFont="1" applyFill="1" applyBorder="1"/>
    <xf numFmtId="5" fontId="6" fillId="2" borderId="0" xfId="0" applyNumberFormat="1" applyFont="1" applyFill="1" applyBorder="1"/>
    <xf numFmtId="5" fontId="6" fillId="0" borderId="0" xfId="0" applyNumberFormat="1" applyFont="1" applyFill="1" applyAlignment="1">
      <alignment horizontal="left"/>
    </xf>
    <xf numFmtId="5" fontId="10" fillId="2" borderId="0" xfId="0" applyNumberFormat="1" applyFont="1" applyFill="1" applyAlignment="1">
      <alignment horizontal="centerContinuous"/>
    </xf>
    <xf numFmtId="5" fontId="2" fillId="2" borderId="0" xfId="0" applyNumberFormat="1" applyFont="1" applyFill="1" applyAlignment="1">
      <alignment horizontal="centerContinuous"/>
    </xf>
    <xf numFmtId="164" fontId="2" fillId="2" borderId="0" xfId="0" applyNumberFormat="1" applyFont="1" applyFill="1" applyAlignment="1">
      <alignment horizontal="centerContinuous"/>
    </xf>
    <xf numFmtId="10" fontId="6" fillId="2" borderId="0" xfId="0" applyNumberFormat="1" applyFont="1" applyFill="1" applyAlignment="1">
      <alignment horizontal="right"/>
    </xf>
    <xf numFmtId="0" fontId="6" fillId="2" borderId="0" xfId="0" applyFont="1" applyFill="1" applyBorder="1"/>
    <xf numFmtId="10" fontId="6" fillId="2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5" fontId="11" fillId="2" borderId="0" xfId="0" quotePrefix="1" applyNumberFormat="1" applyFont="1" applyFill="1" applyAlignment="1">
      <alignment horizontal="left"/>
    </xf>
    <xf numFmtId="37" fontId="6" fillId="2" borderId="0" xfId="8" applyNumberFormat="1" applyFont="1" applyFill="1" applyBorder="1" applyAlignment="1">
      <alignment horizontal="right"/>
    </xf>
    <xf numFmtId="0" fontId="6" fillId="2" borderId="3" xfId="0" applyFont="1" applyFill="1" applyBorder="1"/>
    <xf numFmtId="2" fontId="6" fillId="2" borderId="0" xfId="0" applyNumberFormat="1" applyFont="1" applyFill="1" applyBorder="1"/>
    <xf numFmtId="2" fontId="6" fillId="2" borderId="0" xfId="0" applyNumberFormat="1" applyFont="1" applyFill="1"/>
    <xf numFmtId="10" fontId="6" fillId="2" borderId="0" xfId="9" applyFont="1"/>
    <xf numFmtId="2" fontId="6" fillId="2" borderId="0" xfId="0" applyNumberFormat="1" applyFont="1" applyFill="1" applyAlignment="1">
      <alignment horizontal="right"/>
    </xf>
    <xf numFmtId="165" fontId="6" fillId="2" borderId="0" xfId="1" applyNumberFormat="1" applyFont="1" applyFill="1"/>
    <xf numFmtId="10" fontId="12" fillId="2" borderId="6" xfId="0" applyNumberFormat="1" applyFont="1" applyFill="1" applyBorder="1" applyAlignment="1">
      <alignment horizontal="right"/>
    </xf>
    <xf numFmtId="5" fontId="7" fillId="2" borderId="0" xfId="0" applyNumberFormat="1" applyFont="1" applyFill="1"/>
    <xf numFmtId="0" fontId="7" fillId="2" borderId="6" xfId="0" applyNumberFormat="1" applyFont="1" applyFill="1" applyBorder="1"/>
    <xf numFmtId="5" fontId="7" fillId="2" borderId="0" xfId="0" applyNumberFormat="1" applyFont="1" applyFill="1" applyAlignment="1">
      <alignment horizontal="right"/>
    </xf>
    <xf numFmtId="5" fontId="7" fillId="2" borderId="2" xfId="0" applyNumberFormat="1" applyFont="1" applyFill="1" applyBorder="1"/>
    <xf numFmtId="15" fontId="7" fillId="2" borderId="0" xfId="0" applyNumberFormat="1" applyFont="1" applyFill="1" applyAlignment="1">
      <alignment horizontal="right"/>
    </xf>
    <xf numFmtId="165" fontId="11" fillId="0" borderId="0" xfId="1" applyNumberFormat="1" applyFont="1" applyFill="1" applyBorder="1"/>
    <xf numFmtId="165" fontId="11" fillId="0" borderId="3" xfId="1" applyNumberFormat="1" applyFont="1" applyFill="1" applyBorder="1"/>
    <xf numFmtId="165" fontId="11" fillId="0" borderId="0" xfId="1" applyNumberFormat="1" applyFont="1" applyFill="1" applyBorder="1" applyAlignment="1">
      <alignment horizontal="right"/>
    </xf>
    <xf numFmtId="165" fontId="11" fillId="0" borderId="6" xfId="1" applyNumberFormat="1" applyFont="1" applyFill="1" applyBorder="1"/>
    <xf numFmtId="165" fontId="11" fillId="0" borderId="4" xfId="1" applyNumberFormat="1" applyFont="1" applyFill="1" applyBorder="1"/>
    <xf numFmtId="0" fontId="6" fillId="2" borderId="0" xfId="8" applyFont="1" applyFill="1"/>
    <xf numFmtId="0" fontId="6" fillId="2" borderId="0" xfId="8" applyFill="1"/>
    <xf numFmtId="0" fontId="3" fillId="2" borderId="0" xfId="8" applyFont="1" applyFill="1"/>
    <xf numFmtId="0" fontId="3" fillId="2" borderId="0" xfId="8" applyFont="1" applyFill="1" applyAlignment="1">
      <alignment horizontal="centerContinuous"/>
    </xf>
    <xf numFmtId="5" fontId="10" fillId="2" borderId="0" xfId="8" applyNumberFormat="1" applyFont="1" applyFill="1" applyAlignment="1">
      <alignment horizontal="centerContinuous"/>
    </xf>
    <xf numFmtId="0" fontId="13" fillId="2" borderId="0" xfId="8" applyFont="1" applyFill="1" applyAlignment="1">
      <alignment horizontal="centerContinuous"/>
    </xf>
    <xf numFmtId="0" fontId="14" fillId="2" borderId="0" xfId="8" applyFont="1" applyFill="1" applyAlignment="1">
      <alignment horizontal="centerContinuous"/>
    </xf>
    <xf numFmtId="37" fontId="7" fillId="2" borderId="0" xfId="8" applyNumberFormat="1" applyFont="1" applyFill="1" applyAlignment="1">
      <alignment horizontal="centerContinuous"/>
    </xf>
    <xf numFmtId="37" fontId="7" fillId="0" borderId="0" xfId="8" applyNumberFormat="1" applyFont="1" applyBorder="1" applyAlignment="1"/>
    <xf numFmtId="37" fontId="7" fillId="2" borderId="0" xfId="0" quotePrefix="1" applyNumberFormat="1" applyFont="1" applyFill="1" applyAlignment="1">
      <alignment horizontal="right"/>
    </xf>
    <xf numFmtId="0" fontId="7" fillId="0" borderId="0" xfId="8" applyNumberFormat="1" applyFont="1" applyFill="1" applyBorder="1" applyAlignment="1">
      <alignment horizontal="right"/>
    </xf>
    <xf numFmtId="0" fontId="7" fillId="0" borderId="6" xfId="8" applyNumberFormat="1" applyFont="1" applyFill="1" applyBorder="1" applyAlignment="1">
      <alignment horizontal="right"/>
    </xf>
    <xf numFmtId="37" fontId="6" fillId="0" borderId="0" xfId="8" applyNumberFormat="1" applyFont="1" applyBorder="1" applyAlignment="1"/>
    <xf numFmtId="37" fontId="6" fillId="0" borderId="0" xfId="8" applyNumberFormat="1" applyFont="1" applyFill="1" applyBorder="1" applyAlignment="1">
      <alignment horizontal="right"/>
    </xf>
    <xf numFmtId="37" fontId="6" fillId="2" borderId="0" xfId="0" applyNumberFormat="1" applyFont="1" applyFill="1" applyBorder="1" applyAlignment="1">
      <alignment horizontal="right"/>
    </xf>
    <xf numFmtId="37" fontId="6" fillId="0" borderId="0" xfId="8" applyNumberFormat="1" applyFont="1" applyFill="1" applyBorder="1" applyAlignment="1">
      <alignment vertical="center"/>
    </xf>
    <xf numFmtId="10" fontId="6" fillId="2" borderId="0" xfId="8" applyNumberFormat="1" applyFont="1" applyFill="1" applyBorder="1"/>
    <xf numFmtId="37" fontId="6" fillId="0" borderId="0" xfId="8" applyNumberFormat="1" applyFont="1" applyBorder="1" applyAlignment="1">
      <alignment vertical="center"/>
    </xf>
    <xf numFmtId="37" fontId="6" fillId="3" borderId="0" xfId="8" quotePrefix="1" applyNumberFormat="1" applyFont="1" applyFill="1" applyBorder="1" applyAlignment="1">
      <alignment horizontal="left"/>
    </xf>
    <xf numFmtId="37" fontId="6" fillId="0" borderId="0" xfId="8" quotePrefix="1" applyNumberFormat="1" applyFont="1" applyBorder="1" applyAlignment="1">
      <alignment horizontal="left" vertical="center"/>
    </xf>
    <xf numFmtId="37" fontId="6" fillId="0" borderId="0" xfId="8" applyNumberFormat="1" applyFont="1" applyBorder="1" applyAlignment="1">
      <alignment horizontal="left" vertical="center"/>
    </xf>
    <xf numFmtId="2" fontId="6" fillId="2" borderId="0" xfId="8" applyNumberFormat="1" applyFont="1" applyFill="1" applyBorder="1"/>
    <xf numFmtId="2" fontId="6" fillId="2" borderId="5" xfId="8" applyNumberFormat="1" applyFont="1" applyFill="1" applyBorder="1"/>
    <xf numFmtId="10" fontId="6" fillId="2" borderId="0" xfId="0" quotePrefix="1" applyNumberFormat="1" applyFont="1" applyFill="1" applyAlignment="1">
      <alignment horizontal="right"/>
    </xf>
    <xf numFmtId="37" fontId="12" fillId="2" borderId="0" xfId="8" applyNumberFormat="1" applyFont="1" applyFill="1" applyAlignment="1">
      <alignment horizontal="right"/>
    </xf>
    <xf numFmtId="37" fontId="12" fillId="2" borderId="0" xfId="0" applyNumberFormat="1" applyFont="1" applyFill="1" applyAlignment="1">
      <alignment horizontal="right"/>
    </xf>
    <xf numFmtId="37" fontId="12" fillId="2" borderId="2" xfId="0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/>
    <xf numFmtId="165" fontId="6" fillId="2" borderId="0" xfId="1" applyNumberFormat="1" applyFont="1" applyFill="1" applyBorder="1" applyAlignment="1">
      <alignment horizontal="right"/>
    </xf>
    <xf numFmtId="165" fontId="6" fillId="0" borderId="3" xfId="1" applyNumberFormat="1" applyFont="1" applyBorder="1" applyAlignment="1">
      <alignment horizontal="right"/>
    </xf>
    <xf numFmtId="165" fontId="6" fillId="0" borderId="6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5" fontId="6" fillId="3" borderId="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5" fontId="6" fillId="2" borderId="5" xfId="1" applyNumberFormat="1" applyFont="1" applyFill="1" applyBorder="1"/>
    <xf numFmtId="37" fontId="7" fillId="0" borderId="0" xfId="8" applyNumberFormat="1" applyFont="1" applyBorder="1" applyAlignment="1">
      <alignment vertical="center"/>
    </xf>
    <xf numFmtId="37" fontId="7" fillId="0" borderId="0" xfId="8" applyNumberFormat="1" applyFont="1" applyFill="1" applyBorder="1" applyAlignment="1">
      <alignment vertical="center"/>
    </xf>
    <xf numFmtId="165" fontId="6" fillId="0" borderId="0" xfId="1" applyNumberFormat="1" applyFont="1" applyFill="1"/>
    <xf numFmtId="165" fontId="6" fillId="0" borderId="0" xfId="1" applyNumberFormat="1" applyFont="1" applyFill="1" applyAlignment="1">
      <alignment horizontal="right"/>
    </xf>
    <xf numFmtId="165" fontId="6" fillId="0" borderId="6" xfId="1" applyNumberFormat="1" applyFont="1" applyFill="1" applyBorder="1"/>
    <xf numFmtId="10" fontId="0" fillId="2" borderId="0" xfId="0" applyNumberFormat="1" applyFill="1" applyAlignment="1">
      <alignment horizontal="right"/>
    </xf>
    <xf numFmtId="0" fontId="7" fillId="2" borderId="2" xfId="0" applyFont="1" applyFill="1" applyBorder="1" applyAlignment="1">
      <alignment horizontal="right"/>
    </xf>
    <xf numFmtId="5" fontId="9" fillId="2" borderId="0" xfId="0" applyNumberFormat="1" applyFont="1" applyFill="1" applyBorder="1"/>
    <xf numFmtId="5" fontId="6" fillId="0" borderId="0" xfId="0" applyNumberFormat="1" applyFont="1" applyFill="1"/>
    <xf numFmtId="165" fontId="6" fillId="0" borderId="3" xfId="1" applyNumberFormat="1" applyFont="1" applyFill="1" applyBorder="1" applyAlignment="1">
      <alignment horizontal="right"/>
    </xf>
    <xf numFmtId="165" fontId="6" fillId="2" borderId="0" xfId="0" applyNumberFormat="1" applyFont="1" applyFill="1" applyAlignment="1">
      <alignment horizontal="centerContinuous"/>
    </xf>
    <xf numFmtId="2" fontId="6" fillId="0" borderId="0" xfId="0" applyNumberFormat="1" applyFont="1" applyFill="1"/>
    <xf numFmtId="10" fontId="6" fillId="0" borderId="0" xfId="9" applyFont="1" applyFill="1"/>
    <xf numFmtId="10" fontId="6" fillId="0" borderId="0" xfId="0" applyNumberFormat="1" applyFont="1" applyFill="1"/>
    <xf numFmtId="2" fontId="6" fillId="0" borderId="0" xfId="0" applyNumberFormat="1" applyFont="1" applyFill="1" applyAlignment="1">
      <alignment horizontal="right"/>
    </xf>
    <xf numFmtId="10" fontId="5" fillId="0" borderId="0" xfId="9" applyNumberFormat="1" applyFill="1"/>
    <xf numFmtId="5" fontId="8" fillId="0" borderId="0" xfId="0" applyNumberFormat="1" applyFont="1" applyFill="1"/>
    <xf numFmtId="5" fontId="0" fillId="0" borderId="0" xfId="0" applyNumberFormat="1" applyFill="1"/>
    <xf numFmtId="165" fontId="6" fillId="0" borderId="0" xfId="1" applyNumberFormat="1" applyFont="1" applyFill="1" applyBorder="1"/>
    <xf numFmtId="10" fontId="6" fillId="0" borderId="6" xfId="0" applyNumberFormat="1" applyFont="1" applyFill="1" applyBorder="1"/>
    <xf numFmtId="10" fontId="6" fillId="0" borderId="6" xfId="9" applyFont="1" applyFill="1" applyBorder="1"/>
    <xf numFmtId="165" fontId="6" fillId="0" borderId="3" xfId="1" applyNumberFormat="1" applyFont="1" applyFill="1" applyBorder="1"/>
    <xf numFmtId="165" fontId="6" fillId="0" borderId="6" xfId="1" applyNumberFormat="1" applyFont="1" applyFill="1" applyBorder="1" applyAlignment="1">
      <alignment horizontal="right"/>
    </xf>
    <xf numFmtId="5" fontId="0" fillId="0" borderId="6" xfId="0" applyNumberFormat="1" applyFill="1" applyBorder="1"/>
    <xf numFmtId="165" fontId="6" fillId="0" borderId="7" xfId="1" applyNumberFormat="1" applyFont="1" applyFill="1" applyBorder="1"/>
    <xf numFmtId="10" fontId="6" fillId="0" borderId="7" xfId="0" applyNumberFormat="1" applyFont="1" applyFill="1" applyBorder="1"/>
    <xf numFmtId="165" fontId="6" fillId="0" borderId="4" xfId="1" applyNumberFormat="1" applyFont="1" applyFill="1" applyBorder="1"/>
    <xf numFmtId="10" fontId="6" fillId="0" borderId="4" xfId="0" applyNumberFormat="1" applyFont="1" applyFill="1" applyBorder="1"/>
    <xf numFmtId="10" fontId="6" fillId="0" borderId="8" xfId="9" applyFont="1" applyFill="1" applyBorder="1"/>
    <xf numFmtId="10" fontId="6" fillId="0" borderId="8" xfId="0" applyNumberFormat="1" applyFont="1" applyFill="1" applyBorder="1"/>
    <xf numFmtId="5" fontId="6" fillId="0" borderId="5" xfId="0" applyNumberFormat="1" applyFont="1" applyFill="1" applyBorder="1"/>
    <xf numFmtId="5" fontId="6" fillId="0" borderId="0" xfId="0" applyNumberFormat="1" applyFont="1" applyFill="1" applyBorder="1"/>
    <xf numFmtId="165" fontId="3" fillId="0" borderId="0" xfId="1" applyNumberFormat="1" applyFont="1" applyFill="1"/>
    <xf numFmtId="10" fontId="3" fillId="0" borderId="0" xfId="0" applyNumberFormat="1" applyFont="1" applyFill="1"/>
    <xf numFmtId="10" fontId="6" fillId="0" borderId="0" xfId="0" applyNumberFormat="1" applyFont="1" applyFill="1" applyAlignment="1">
      <alignment horizontal="right"/>
    </xf>
    <xf numFmtId="10" fontId="6" fillId="0" borderId="0" xfId="0" quotePrefix="1" applyNumberFormat="1" applyFont="1" applyFill="1" applyAlignment="1">
      <alignment horizontal="right"/>
    </xf>
    <xf numFmtId="5" fontId="6" fillId="0" borderId="0" xfId="0" applyNumberFormat="1" applyFont="1" applyFill="1" applyAlignment="1">
      <alignment horizontal="centerContinuous"/>
    </xf>
    <xf numFmtId="10" fontId="6" fillId="0" borderId="0" xfId="0" applyNumberFormat="1" applyFont="1" applyFill="1" applyAlignment="1">
      <alignment horizontal="centerContinuous"/>
    </xf>
    <xf numFmtId="5" fontId="10" fillId="0" borderId="0" xfId="0" applyNumberFormat="1" applyFont="1" applyFill="1" applyAlignment="1">
      <alignment horizontal="centerContinuous"/>
    </xf>
    <xf numFmtId="5" fontId="2" fillId="0" borderId="0" xfId="0" applyNumberFormat="1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Continuous"/>
    </xf>
    <xf numFmtId="10" fontId="6" fillId="0" borderId="0" xfId="0" applyNumberFormat="1" applyFont="1" applyFill="1" applyBorder="1" applyAlignment="1">
      <alignment horizontal="centerContinuous"/>
    </xf>
    <xf numFmtId="5" fontId="7" fillId="0" borderId="0" xfId="0" applyNumberFormat="1" applyFont="1" applyFill="1"/>
    <xf numFmtId="5" fontId="7" fillId="0" borderId="0" xfId="0" applyNumberFormat="1" applyFont="1" applyFill="1" applyAlignment="1">
      <alignment horizontal="right"/>
    </xf>
    <xf numFmtId="10" fontId="12" fillId="0" borderId="0" xfId="0" applyNumberFormat="1" applyFont="1" applyFill="1" applyAlignment="1">
      <alignment horizontal="right"/>
    </xf>
    <xf numFmtId="10" fontId="12" fillId="0" borderId="0" xfId="0" applyNumberFormat="1" applyFont="1" applyFill="1" applyBorder="1" applyAlignment="1">
      <alignment horizontal="right"/>
    </xf>
    <xf numFmtId="0" fontId="7" fillId="0" borderId="6" xfId="0" applyNumberFormat="1" applyFont="1" applyFill="1" applyBorder="1"/>
    <xf numFmtId="10" fontId="12" fillId="0" borderId="2" xfId="0" applyNumberFormat="1" applyFont="1" applyFill="1" applyBorder="1" applyAlignment="1">
      <alignment horizontal="right"/>
    </xf>
    <xf numFmtId="5" fontId="7" fillId="0" borderId="2" xfId="0" applyNumberFormat="1" applyFont="1" applyFill="1" applyBorder="1"/>
    <xf numFmtId="10" fontId="12" fillId="0" borderId="6" xfId="0" applyNumberFormat="1" applyFont="1" applyFill="1" applyBorder="1" applyAlignment="1">
      <alignment horizontal="right"/>
    </xf>
    <xf numFmtId="5" fontId="6" fillId="0" borderId="3" xfId="0" applyNumberFormat="1" applyFont="1" applyFill="1" applyBorder="1"/>
    <xf numFmtId="5" fontId="0" fillId="0" borderId="0" xfId="0" applyNumberFormat="1" applyFill="1" applyBorder="1"/>
    <xf numFmtId="10" fontId="0" fillId="0" borderId="0" xfId="0" applyNumberFormat="1" applyFill="1"/>
    <xf numFmtId="10" fontId="6" fillId="0" borderId="7" xfId="9" applyFont="1" applyFill="1" applyBorder="1"/>
    <xf numFmtId="165" fontId="11" fillId="0" borderId="5" xfId="1" applyNumberFormat="1" applyFont="1" applyFill="1" applyBorder="1"/>
    <xf numFmtId="37" fontId="6" fillId="0" borderId="0" xfId="0" applyNumberFormat="1" applyFont="1" applyFill="1"/>
    <xf numFmtId="10" fontId="3" fillId="0" borderId="0" xfId="9" applyFont="1" applyFill="1"/>
    <xf numFmtId="10" fontId="6" fillId="2" borderId="0" xfId="9" applyNumberFormat="1" applyFont="1"/>
    <xf numFmtId="10" fontId="7" fillId="0" borderId="0" xfId="0" applyNumberFormat="1" applyFont="1" applyFill="1" applyAlignment="1">
      <alignment horizontal="right"/>
    </xf>
    <xf numFmtId="10" fontId="7" fillId="0" borderId="2" xfId="0" applyNumberFormat="1" applyFont="1" applyFill="1" applyBorder="1" applyAlignment="1">
      <alignment horizontal="right"/>
    </xf>
    <xf numFmtId="10" fontId="12" fillId="0" borderId="0" xfId="0" quotePrefix="1" applyNumberFormat="1" applyFont="1" applyFill="1" applyAlignment="1">
      <alignment horizontal="right"/>
    </xf>
  </cellXfs>
  <cellStyles count="11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einfeldt\Downloads\Questar\QUESTAR%20GAS%20Financial%20Forecasting%20Exhib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- Exhibit 1"/>
      <sheetName val="Historical CF - Exhibit 1B"/>
    </sheetNames>
    <sheetDataSet>
      <sheetData sheetId="0">
        <row r="5">
          <cell r="A5" t="str">
            <v>Years Ended December 31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"/>
  <sheetViews>
    <sheetView showGridLines="0" tabSelected="1" zoomScale="130" zoomScaleNormal="130" workbookViewId="0">
      <selection activeCell="N148" sqref="N148"/>
    </sheetView>
  </sheetViews>
  <sheetFormatPr defaultColWidth="13.7109375" defaultRowHeight="12.75" x14ac:dyDescent="0.2"/>
  <cols>
    <col min="1" max="1" width="31.140625" customWidth="1"/>
    <col min="2" max="2" width="11.140625" hidden="1" customWidth="1"/>
    <col min="3" max="9" width="13.7109375" hidden="1" customWidth="1"/>
    <col min="10" max="14" width="13.7109375" customWidth="1"/>
    <col min="15" max="15" width="11.140625" style="1" customWidth="1"/>
    <col min="16" max="16" width="31.140625" hidden="1" customWidth="1"/>
    <col min="17" max="17" width="8" hidden="1" customWidth="1"/>
    <col min="18" max="30" width="11.7109375" hidden="1" customWidth="1"/>
  </cols>
  <sheetData>
    <row r="1" spans="1:30" x14ac:dyDescent="0.2">
      <c r="O1" s="92" t="s">
        <v>63</v>
      </c>
      <c r="AD1" s="92" t="s">
        <v>63</v>
      </c>
    </row>
    <row r="2" spans="1:30" x14ac:dyDescent="0.2">
      <c r="O2" s="74" t="s">
        <v>154</v>
      </c>
      <c r="AD2" s="74" t="s">
        <v>149</v>
      </c>
    </row>
    <row r="3" spans="1:30" ht="18" x14ac:dyDescent="0.25">
      <c r="A3" s="23" t="s">
        <v>89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23" t="str">
        <f>+A3</f>
        <v>Dixie Escalante Rural Electric Association, Inc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4"/>
    </row>
    <row r="4" spans="1:30" ht="15.75" x14ac:dyDescent="0.25">
      <c r="A4" s="24" t="s">
        <v>40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24" t="s">
        <v>39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</row>
    <row r="5" spans="1:30" ht="15.75" x14ac:dyDescent="0.25">
      <c r="A5" s="25" t="s">
        <v>62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25" t="s">
        <v>143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4"/>
    </row>
    <row r="6" spans="1:30" x14ac:dyDescent="0.2">
      <c r="A6" s="15"/>
      <c r="B6" s="7"/>
      <c r="C6" s="7"/>
      <c r="D6" s="7"/>
      <c r="E6" s="7"/>
      <c r="O6" s="8"/>
      <c r="P6" s="15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</row>
    <row r="7" spans="1:30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47" t="s">
        <v>158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30" x14ac:dyDescent="0.2">
      <c r="A8" s="5"/>
      <c r="B8" s="5"/>
      <c r="C8" s="10"/>
      <c r="D8" s="11"/>
      <c r="E8" s="11"/>
      <c r="F8" s="97"/>
      <c r="G8" s="97"/>
      <c r="H8" s="97"/>
      <c r="I8" s="97"/>
      <c r="J8" s="97"/>
      <c r="K8" s="97"/>
      <c r="L8" s="97"/>
      <c r="M8" s="97"/>
      <c r="N8" s="97"/>
      <c r="O8" s="132" t="s">
        <v>3</v>
      </c>
      <c r="P8" s="5"/>
      <c r="Q8" s="5"/>
      <c r="R8" s="10"/>
      <c r="S8" s="11"/>
      <c r="T8" s="11"/>
      <c r="U8" s="12"/>
      <c r="V8" s="12"/>
      <c r="W8" s="12"/>
      <c r="X8" s="12"/>
      <c r="Y8" s="12"/>
      <c r="Z8" s="12"/>
      <c r="AA8" s="12"/>
      <c r="AB8" s="12"/>
      <c r="AC8" s="12"/>
      <c r="AD8" s="9" t="str">
        <f>+O7</f>
        <v>2016 to 2020</v>
      </c>
    </row>
    <row r="9" spans="1:30" x14ac:dyDescent="0.2">
      <c r="A9" s="13" t="s">
        <v>0</v>
      </c>
      <c r="B9" s="93">
        <v>2008</v>
      </c>
      <c r="C9" s="93">
        <v>2009</v>
      </c>
      <c r="D9" s="14">
        <v>2010</v>
      </c>
      <c r="E9" s="14">
        <v>2011</v>
      </c>
      <c r="F9" s="14">
        <v>2012</v>
      </c>
      <c r="G9" s="14">
        <v>2013</v>
      </c>
      <c r="H9" s="14">
        <v>2014</v>
      </c>
      <c r="I9" s="14">
        <v>2015</v>
      </c>
      <c r="J9" s="14">
        <v>2016</v>
      </c>
      <c r="K9" s="14">
        <v>2017</v>
      </c>
      <c r="L9" s="14">
        <f>+K9+1</f>
        <v>2018</v>
      </c>
      <c r="M9" s="14">
        <f t="shared" ref="M9:N9" si="0">+L9+1</f>
        <v>2019</v>
      </c>
      <c r="N9" s="14">
        <f t="shared" si="0"/>
        <v>2020</v>
      </c>
      <c r="O9" s="136" t="s">
        <v>20</v>
      </c>
      <c r="P9" s="13" t="s">
        <v>0</v>
      </c>
      <c r="Q9" s="13">
        <v>2008</v>
      </c>
      <c r="R9" s="13">
        <v>2009</v>
      </c>
      <c r="S9" s="14">
        <v>2010</v>
      </c>
      <c r="T9" s="14">
        <v>2011</v>
      </c>
      <c r="U9" s="14">
        <f t="shared" ref="U9:Z9" si="1">F9</f>
        <v>2012</v>
      </c>
      <c r="V9" s="14">
        <f t="shared" si="1"/>
        <v>2013</v>
      </c>
      <c r="W9" s="14">
        <f t="shared" si="1"/>
        <v>2014</v>
      </c>
      <c r="X9" s="14">
        <f t="shared" si="1"/>
        <v>2015</v>
      </c>
      <c r="Y9" s="14">
        <f t="shared" si="1"/>
        <v>2016</v>
      </c>
      <c r="Z9" s="14">
        <f t="shared" si="1"/>
        <v>2017</v>
      </c>
      <c r="AA9" s="14"/>
      <c r="AB9" s="14"/>
      <c r="AC9" s="14"/>
      <c r="AD9" s="40" t="s">
        <v>144</v>
      </c>
    </row>
    <row r="10" spans="1:30" ht="7.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</row>
    <row r="11" spans="1:30" x14ac:dyDescent="0.2">
      <c r="A11" s="6" t="s">
        <v>6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102"/>
      <c r="P11" s="103" t="str">
        <f t="shared" ref="P11:P18" si="2">+A11</f>
        <v>Current Assets:</v>
      </c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</row>
    <row r="12" spans="1:30" x14ac:dyDescent="0.2">
      <c r="A12" s="5" t="s">
        <v>4</v>
      </c>
      <c r="B12" s="89">
        <v>891545</v>
      </c>
      <c r="C12" s="89">
        <v>2296391</v>
      </c>
      <c r="D12" s="89">
        <v>1148903</v>
      </c>
      <c r="E12" s="89">
        <v>1441772</v>
      </c>
      <c r="F12" s="89">
        <v>2712896</v>
      </c>
      <c r="G12" s="89">
        <v>4081524</v>
      </c>
      <c r="H12" s="89">
        <v>3282109</v>
      </c>
      <c r="I12" s="89">
        <v>945555</v>
      </c>
      <c r="J12" s="89">
        <v>10306050</v>
      </c>
      <c r="K12" s="89">
        <v>3347671</v>
      </c>
      <c r="L12" s="89">
        <v>3546885</v>
      </c>
      <c r="M12" s="89">
        <v>1103879</v>
      </c>
      <c r="N12" s="89">
        <v>3345253</v>
      </c>
      <c r="O12" s="100">
        <f>RATE(6,,-I12,N12)</f>
        <v>0.23440317156667723</v>
      </c>
      <c r="P12" s="104" t="str">
        <f t="shared" si="2"/>
        <v>Cash &amp; Equivalents</v>
      </c>
      <c r="Q12" s="99">
        <f t="shared" ref="Q12:Z15" si="3">+B12/B$38</f>
        <v>1.5834325792631845E-2</v>
      </c>
      <c r="R12" s="99">
        <f t="shared" si="3"/>
        <v>3.8651385204994948E-2</v>
      </c>
      <c r="S12" s="99">
        <f t="shared" si="3"/>
        <v>1.850056746304727E-2</v>
      </c>
      <c r="T12" s="99">
        <f t="shared" si="3"/>
        <v>2.6163765779771943E-2</v>
      </c>
      <c r="U12" s="99">
        <f t="shared" si="3"/>
        <v>4.6031720957193115E-2</v>
      </c>
      <c r="V12" s="99">
        <f t="shared" si="3"/>
        <v>6.6025709061231563E-2</v>
      </c>
      <c r="W12" s="99">
        <f t="shared" si="3"/>
        <v>4.9925717805910284E-2</v>
      </c>
      <c r="X12" s="99">
        <f t="shared" si="3"/>
        <v>1.3796276263853617E-2</v>
      </c>
      <c r="Y12" s="99">
        <f t="shared" si="3"/>
        <v>0.11274336959307039</v>
      </c>
      <c r="Z12" s="99">
        <f t="shared" si="3"/>
        <v>3.1496813381537606E-2</v>
      </c>
      <c r="AA12" s="99"/>
      <c r="AB12" s="99"/>
      <c r="AC12" s="99"/>
      <c r="AD12" s="100">
        <f t="shared" ref="AD12:AD18" si="4">SUM(G12:K12)/SUM(G$38:K$38)</f>
        <v>5.5772921646526571E-2</v>
      </c>
    </row>
    <row r="13" spans="1:30" x14ac:dyDescent="0.2">
      <c r="A13" s="18" t="s">
        <v>139</v>
      </c>
      <c r="B13" s="89">
        <f>1139356</f>
        <v>1139356</v>
      </c>
      <c r="C13" s="89">
        <f>1050797</f>
        <v>1050797</v>
      </c>
      <c r="D13" s="89">
        <v>1161294</v>
      </c>
      <c r="E13" s="89">
        <f>1231385</f>
        <v>1231385</v>
      </c>
      <c r="F13" s="89">
        <f>1233450</f>
        <v>1233450</v>
      </c>
      <c r="G13" s="89">
        <v>1394816</v>
      </c>
      <c r="H13" s="89">
        <v>1153781</v>
      </c>
      <c r="I13" s="89">
        <v>1660754</v>
      </c>
      <c r="J13" s="89">
        <v>1407667</v>
      </c>
      <c r="K13" s="89">
        <v>2498633</v>
      </c>
      <c r="L13" s="89">
        <v>4028837</v>
      </c>
      <c r="M13" s="89">
        <v>4949157</v>
      </c>
      <c r="N13" s="89">
        <v>4712950</v>
      </c>
      <c r="O13" s="100">
        <f t="shared" ref="O13:O18" si="5">RATE(5,,-J13,N13)</f>
        <v>0.2733816305340489</v>
      </c>
      <c r="P13" s="104" t="str">
        <f t="shared" si="2"/>
        <v>Accounts Receivable - Customers</v>
      </c>
      <c r="Q13" s="99">
        <f t="shared" si="3"/>
        <v>2.0235584404365285E-2</v>
      </c>
      <c r="R13" s="99">
        <f t="shared" si="3"/>
        <v>1.7686343318386581E-2</v>
      </c>
      <c r="S13" s="99">
        <f t="shared" si="3"/>
        <v>1.8700097389798807E-2</v>
      </c>
      <c r="T13" s="99">
        <f t="shared" si="3"/>
        <v>2.2345883208110904E-2</v>
      </c>
      <c r="U13" s="99">
        <f t="shared" si="3"/>
        <v>2.0928862077517846E-2</v>
      </c>
      <c r="V13" s="99">
        <f t="shared" si="3"/>
        <v>2.2563560917429556E-2</v>
      </c>
      <c r="W13" s="99">
        <f t="shared" si="3"/>
        <v>1.7550710416936479E-2</v>
      </c>
      <c r="X13" s="99">
        <f t="shared" si="3"/>
        <v>2.4231505296148769E-2</v>
      </c>
      <c r="Y13" s="99">
        <f t="shared" si="3"/>
        <v>1.5399218987387856E-2</v>
      </c>
      <c r="Z13" s="99">
        <f t="shared" si="3"/>
        <v>2.3508575756085781E-2</v>
      </c>
      <c r="AA13" s="99"/>
      <c r="AB13" s="99"/>
      <c r="AC13" s="99"/>
      <c r="AD13" s="100">
        <f t="shared" si="4"/>
        <v>2.0608998895982084E-2</v>
      </c>
    </row>
    <row r="14" spans="1:30" x14ac:dyDescent="0.2">
      <c r="A14" s="18" t="s">
        <v>140</v>
      </c>
      <c r="B14" s="89">
        <v>3505284</v>
      </c>
      <c r="C14" s="89">
        <v>1212103</v>
      </c>
      <c r="D14" s="89">
        <v>462755</v>
      </c>
      <c r="E14" s="89">
        <v>443033</v>
      </c>
      <c r="F14" s="89">
        <v>1187264</v>
      </c>
      <c r="G14" s="89">
        <v>1035955</v>
      </c>
      <c r="H14" s="89">
        <v>1362297</v>
      </c>
      <c r="I14" s="89">
        <v>1227255</v>
      </c>
      <c r="J14" s="89">
        <v>1356225</v>
      </c>
      <c r="K14" s="89">
        <v>1430673</v>
      </c>
      <c r="L14" s="89">
        <v>468969</v>
      </c>
      <c r="M14" s="89">
        <v>553933</v>
      </c>
      <c r="N14" s="89">
        <v>217893</v>
      </c>
      <c r="O14" s="100">
        <f t="shared" si="5"/>
        <v>-0.30628304914711862</v>
      </c>
      <c r="P14" s="104" t="str">
        <f t="shared" si="2"/>
        <v>Accounts Receivable - Other</v>
      </c>
      <c r="Q14" s="99">
        <f t="shared" si="3"/>
        <v>6.2255756974353205E-2</v>
      </c>
      <c r="R14" s="99">
        <f t="shared" si="3"/>
        <v>2.040134278575817E-2</v>
      </c>
      <c r="S14" s="99">
        <f t="shared" si="3"/>
        <v>7.4516561418696264E-3</v>
      </c>
      <c r="T14" s="99">
        <f t="shared" si="3"/>
        <v>8.0396981247448998E-3</v>
      </c>
      <c r="U14" s="99">
        <f t="shared" si="3"/>
        <v>2.0145189919009401E-2</v>
      </c>
      <c r="V14" s="99">
        <f t="shared" si="3"/>
        <v>1.6758363648119706E-2</v>
      </c>
      <c r="W14" s="99">
        <f t="shared" si="3"/>
        <v>2.072254626212541E-2</v>
      </c>
      <c r="X14" s="99">
        <f t="shared" si="3"/>
        <v>1.7906466600246067E-2</v>
      </c>
      <c r="Y14" s="99">
        <f t="shared" si="3"/>
        <v>1.4836467553171379E-2</v>
      </c>
      <c r="Z14" s="99">
        <f t="shared" si="3"/>
        <v>1.3460594093925164E-2</v>
      </c>
      <c r="AA14" s="99"/>
      <c r="AB14" s="99"/>
      <c r="AC14" s="99"/>
      <c r="AD14" s="100">
        <f t="shared" si="4"/>
        <v>1.6283751921514367E-2</v>
      </c>
    </row>
    <row r="15" spans="1:30" x14ac:dyDescent="0.2">
      <c r="A15" s="19" t="s">
        <v>90</v>
      </c>
      <c r="B15" s="89">
        <v>5410911</v>
      </c>
      <c r="C15" s="89">
        <v>5021390</v>
      </c>
      <c r="D15" s="89">
        <v>4414126</v>
      </c>
      <c r="E15" s="89">
        <v>4473755</v>
      </c>
      <c r="F15" s="89">
        <v>5034934</v>
      </c>
      <c r="G15" s="89">
        <v>3882899</v>
      </c>
      <c r="H15" s="89">
        <v>3682046</v>
      </c>
      <c r="I15" s="89">
        <v>3831440</v>
      </c>
      <c r="J15" s="89">
        <v>3373536</v>
      </c>
      <c r="K15" s="89">
        <v>5142138</v>
      </c>
      <c r="L15" s="89">
        <v>4651797</v>
      </c>
      <c r="M15" s="89">
        <v>4569131</v>
      </c>
      <c r="N15" s="89">
        <v>4474508</v>
      </c>
      <c r="O15" s="100">
        <f t="shared" si="5"/>
        <v>5.8112848474284683E-2</v>
      </c>
      <c r="P15" s="104" t="str">
        <f t="shared" si="2"/>
        <v>Material and Supplies</v>
      </c>
      <c r="Q15" s="99">
        <f t="shared" si="3"/>
        <v>9.6100732558575708E-2</v>
      </c>
      <c r="R15" s="99">
        <f t="shared" si="3"/>
        <v>8.4516826252371474E-2</v>
      </c>
      <c r="S15" s="99">
        <f t="shared" si="3"/>
        <v>7.1079835158747953E-2</v>
      </c>
      <c r="T15" s="99">
        <f t="shared" si="3"/>
        <v>8.118501259289515E-2</v>
      </c>
      <c r="U15" s="99">
        <f t="shared" si="3"/>
        <v>8.5431463987518941E-2</v>
      </c>
      <c r="V15" s="99">
        <f t="shared" si="3"/>
        <v>6.2812606195172913E-2</v>
      </c>
      <c r="W15" s="99">
        <f t="shared" si="3"/>
        <v>5.6009349337386646E-2</v>
      </c>
      <c r="X15" s="99">
        <f t="shared" si="3"/>
        <v>5.5903257587744025E-2</v>
      </c>
      <c r="Y15" s="99">
        <f t="shared" si="3"/>
        <v>3.6904906931707913E-2</v>
      </c>
      <c r="Z15" s="99">
        <f t="shared" si="3"/>
        <v>4.8380190576706311E-2</v>
      </c>
      <c r="AA15" s="99"/>
      <c r="AB15" s="99"/>
      <c r="AC15" s="99"/>
      <c r="AD15" s="100">
        <f t="shared" si="4"/>
        <v>5.0564964159711914E-2</v>
      </c>
    </row>
    <row r="16" spans="1:30" x14ac:dyDescent="0.2">
      <c r="A16" s="19" t="s">
        <v>150</v>
      </c>
      <c r="B16" s="89"/>
      <c r="C16" s="89"/>
      <c r="D16" s="89"/>
      <c r="E16" s="89"/>
      <c r="F16" s="89">
        <v>75348</v>
      </c>
      <c r="G16" s="89">
        <v>54267</v>
      </c>
      <c r="H16" s="89">
        <v>128392</v>
      </c>
      <c r="I16" s="89">
        <v>33905</v>
      </c>
      <c r="J16" s="89">
        <v>86761</v>
      </c>
      <c r="K16" s="89">
        <v>122507</v>
      </c>
      <c r="L16" s="89">
        <v>88678</v>
      </c>
      <c r="M16" s="89">
        <v>88560</v>
      </c>
      <c r="N16" s="89">
        <v>103555</v>
      </c>
      <c r="O16" s="100">
        <f t="shared" si="5"/>
        <v>3.6022780108638332E-2</v>
      </c>
      <c r="P16" s="104" t="str">
        <f t="shared" si="2"/>
        <v>Notes Receivable - Related Party</v>
      </c>
      <c r="Q16" s="99"/>
      <c r="R16" s="99"/>
      <c r="S16" s="99"/>
      <c r="T16" s="99"/>
      <c r="U16" s="99">
        <f t="shared" ref="U16:Z18" si="6">+F16/F$38</f>
        <v>1.2784854674423888E-3</v>
      </c>
      <c r="V16" s="99">
        <f t="shared" si="6"/>
        <v>8.7786257133998301E-4</v>
      </c>
      <c r="W16" s="99">
        <f t="shared" si="6"/>
        <v>1.9530316514583864E-3</v>
      </c>
      <c r="X16" s="99">
        <f t="shared" si="6"/>
        <v>4.9469649753420674E-4</v>
      </c>
      <c r="Y16" s="99">
        <f t="shared" si="6"/>
        <v>9.4912478488503162E-4</v>
      </c>
      <c r="Z16" s="99">
        <f t="shared" si="6"/>
        <v>1.1526162866458583E-3</v>
      </c>
      <c r="AA16" s="99"/>
      <c r="AB16" s="99"/>
      <c r="AC16" s="99"/>
      <c r="AD16" s="100">
        <f t="shared" si="4"/>
        <v>1.0813638016067772E-3</v>
      </c>
    </row>
    <row r="17" spans="1:30" x14ac:dyDescent="0.2">
      <c r="A17" s="5" t="s">
        <v>19</v>
      </c>
      <c r="B17" s="89">
        <f>23174+3430+15200</f>
        <v>41804</v>
      </c>
      <c r="C17" s="89">
        <f>26319+3430</f>
        <v>29749</v>
      </c>
      <c r="D17" s="91">
        <f>12775+685103</f>
        <v>697878</v>
      </c>
      <c r="E17" s="91">
        <f>42467+652585</f>
        <v>695052</v>
      </c>
      <c r="F17" s="105">
        <v>616637</v>
      </c>
      <c r="G17" s="105">
        <v>2676870</v>
      </c>
      <c r="H17" s="105">
        <v>2471119</v>
      </c>
      <c r="I17" s="105">
        <v>2268132</v>
      </c>
      <c r="J17" s="105">
        <v>2046240</v>
      </c>
      <c r="K17" s="105">
        <v>1852333</v>
      </c>
      <c r="L17" s="105">
        <v>1965764</v>
      </c>
      <c r="M17" s="105">
        <v>1595048</v>
      </c>
      <c r="N17" s="105">
        <v>1332048</v>
      </c>
      <c r="O17" s="106">
        <f t="shared" si="5"/>
        <v>-8.2274792162287683E-2</v>
      </c>
      <c r="P17" s="104" t="str">
        <f t="shared" si="2"/>
        <v>Other Current Assets</v>
      </c>
      <c r="Q17" s="107">
        <f t="shared" ref="Q17:T18" si="7">+B17/B$38</f>
        <v>7.424618560310267E-4</v>
      </c>
      <c r="R17" s="107">
        <f t="shared" si="7"/>
        <v>5.0071614915029488E-4</v>
      </c>
      <c r="S17" s="107">
        <f t="shared" si="7"/>
        <v>1.1237797290090201E-2</v>
      </c>
      <c r="T17" s="107">
        <f t="shared" si="7"/>
        <v>1.2613074558780479E-2</v>
      </c>
      <c r="U17" s="107">
        <f t="shared" si="6"/>
        <v>1.0462937877412438E-2</v>
      </c>
      <c r="V17" s="107">
        <f t="shared" si="6"/>
        <v>4.3303001480510445E-2</v>
      </c>
      <c r="W17" s="107">
        <f t="shared" si="6"/>
        <v>3.7589363990904387E-2</v>
      </c>
      <c r="X17" s="107">
        <f t="shared" si="6"/>
        <v>3.3093554235223581E-2</v>
      </c>
      <c r="Y17" s="107">
        <f t="shared" si="6"/>
        <v>2.2384909116113773E-2</v>
      </c>
      <c r="Z17" s="107">
        <f t="shared" si="6"/>
        <v>1.7427813790979966E-2</v>
      </c>
      <c r="AA17" s="107"/>
      <c r="AB17" s="107"/>
      <c r="AC17" s="107"/>
      <c r="AD17" s="106">
        <f t="shared" si="4"/>
        <v>2.8732693921211635E-2</v>
      </c>
    </row>
    <row r="18" spans="1:30" x14ac:dyDescent="0.2">
      <c r="A18" s="5" t="s">
        <v>33</v>
      </c>
      <c r="B18" s="108">
        <f t="shared" ref="B18:I18" si="8">SUM(B11:B17)</f>
        <v>10988900</v>
      </c>
      <c r="C18" s="108">
        <f t="shared" si="8"/>
        <v>9610430</v>
      </c>
      <c r="D18" s="108">
        <f t="shared" si="8"/>
        <v>7884956</v>
      </c>
      <c r="E18" s="108">
        <f t="shared" si="8"/>
        <v>8284997</v>
      </c>
      <c r="F18" s="108">
        <f t="shared" si="8"/>
        <v>10860529</v>
      </c>
      <c r="G18" s="108">
        <f t="shared" ref="G18" si="9">SUM(G11:G17)</f>
        <v>13126331</v>
      </c>
      <c r="H18" s="108">
        <f t="shared" ref="H18" si="10">SUM(H11:H17)</f>
        <v>12079744</v>
      </c>
      <c r="I18" s="108">
        <f t="shared" si="8"/>
        <v>9967041</v>
      </c>
      <c r="J18" s="108">
        <f t="shared" ref="J18:K18" si="11">SUM(J11:J17)</f>
        <v>18576479</v>
      </c>
      <c r="K18" s="108">
        <f t="shared" si="11"/>
        <v>14393955</v>
      </c>
      <c r="L18" s="108">
        <f t="shared" ref="L18:N18" si="12">SUM(L11:L17)</f>
        <v>14750930</v>
      </c>
      <c r="M18" s="108">
        <f t="shared" si="12"/>
        <v>12859708</v>
      </c>
      <c r="N18" s="108">
        <f t="shared" si="12"/>
        <v>14186207</v>
      </c>
      <c r="O18" s="100">
        <f t="shared" si="5"/>
        <v>-5.2497033549305225E-2</v>
      </c>
      <c r="P18" s="104" t="str">
        <f t="shared" si="2"/>
        <v>Total Current Assets</v>
      </c>
      <c r="Q18" s="99">
        <f t="shared" si="7"/>
        <v>0.19516886158595706</v>
      </c>
      <c r="R18" s="99">
        <f t="shared" si="7"/>
        <v>0.16175661371066147</v>
      </c>
      <c r="S18" s="99">
        <f t="shared" si="7"/>
        <v>0.12696995344355386</v>
      </c>
      <c r="T18" s="99">
        <f t="shared" si="7"/>
        <v>0.15034743426430336</v>
      </c>
      <c r="U18" s="99">
        <f t="shared" si="6"/>
        <v>0.18427866028609413</v>
      </c>
      <c r="V18" s="99">
        <f t="shared" si="6"/>
        <v>0.21234110387380417</v>
      </c>
      <c r="W18" s="99">
        <f t="shared" si="6"/>
        <v>0.1837507194647216</v>
      </c>
      <c r="X18" s="99">
        <f t="shared" si="6"/>
        <v>0.14542575648075026</v>
      </c>
      <c r="Y18" s="99">
        <f t="shared" si="6"/>
        <v>0.20321799696633636</v>
      </c>
      <c r="Z18" s="99">
        <f t="shared" si="6"/>
        <v>0.13542660388588068</v>
      </c>
      <c r="AA18" s="99"/>
      <c r="AB18" s="99"/>
      <c r="AC18" s="99"/>
      <c r="AD18" s="100">
        <f t="shared" si="4"/>
        <v>0.17304469434655334</v>
      </c>
    </row>
    <row r="19" spans="1:30" x14ac:dyDescent="0.2">
      <c r="A19" s="5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100"/>
      <c r="P19" s="104"/>
      <c r="Q19" s="89"/>
      <c r="R19" s="89"/>
      <c r="S19" s="89"/>
      <c r="T19" s="89"/>
      <c r="U19" s="89"/>
      <c r="V19" s="89"/>
      <c r="W19" s="89"/>
      <c r="X19" s="89">
        <f>+I19/I$38</f>
        <v>0</v>
      </c>
      <c r="Y19" s="89">
        <f>+J19/J$38</f>
        <v>0</v>
      </c>
      <c r="Z19" s="89">
        <f>+K19/K$38</f>
        <v>0</v>
      </c>
      <c r="AA19" s="89"/>
      <c r="AB19" s="89"/>
      <c r="AC19" s="89"/>
      <c r="AD19" s="104"/>
    </row>
    <row r="20" spans="1:30" x14ac:dyDescent="0.2">
      <c r="A20" s="6" t="s">
        <v>21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100"/>
      <c r="P20" s="103" t="str">
        <f>+A20</f>
        <v>Plant &amp; Equipment:</v>
      </c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104"/>
    </row>
    <row r="21" spans="1:30" x14ac:dyDescent="0.2">
      <c r="A21" s="5" t="s">
        <v>65</v>
      </c>
      <c r="B21" s="89">
        <v>48792755</v>
      </c>
      <c r="C21" s="89">
        <v>51464806</v>
      </c>
      <c r="D21" s="89">
        <v>53842555</v>
      </c>
      <c r="E21" s="89">
        <v>57374547</v>
      </c>
      <c r="F21" s="89">
        <v>61157429</v>
      </c>
      <c r="G21" s="89">
        <v>65547154</v>
      </c>
      <c r="H21" s="89">
        <v>68991616</v>
      </c>
      <c r="I21" s="89">
        <v>75952488</v>
      </c>
      <c r="J21" s="89">
        <v>80373527</v>
      </c>
      <c r="K21" s="89">
        <v>96906870</v>
      </c>
      <c r="L21" s="89">
        <v>109870341</v>
      </c>
      <c r="M21" s="89">
        <v>133853111</v>
      </c>
      <c r="N21" s="89">
        <v>152549676</v>
      </c>
      <c r="O21" s="100">
        <f>RATE(5,,-J21,N21)</f>
        <v>0.13673610055527624</v>
      </c>
      <c r="P21" s="104" t="str">
        <f>+A21</f>
        <v>Plant in Service</v>
      </c>
      <c r="Q21" s="99">
        <f t="shared" ref="Q21:Z22" si="13">+B21/B$38</f>
        <v>0.86658595919450665</v>
      </c>
      <c r="R21" s="99">
        <f t="shared" si="13"/>
        <v>0.86622271259830541</v>
      </c>
      <c r="S21" s="99">
        <f t="shared" si="13"/>
        <v>0.86701646802239452</v>
      </c>
      <c r="T21" s="99">
        <f t="shared" si="13"/>
        <v>1.0411730907719923</v>
      </c>
      <c r="U21" s="99">
        <f t="shared" si="13"/>
        <v>1.0377035117407192</v>
      </c>
      <c r="V21" s="99">
        <f t="shared" si="13"/>
        <v>1.0603385695626781</v>
      </c>
      <c r="W21" s="99">
        <f t="shared" si="13"/>
        <v>1.0494642168769304</v>
      </c>
      <c r="X21" s="99">
        <f t="shared" si="13"/>
        <v>1.1081973099132538</v>
      </c>
      <c r="Y21" s="99">
        <f t="shared" si="13"/>
        <v>0.87924881599251137</v>
      </c>
      <c r="Z21" s="99">
        <f t="shared" si="13"/>
        <v>0.91175554580450857</v>
      </c>
      <c r="AA21" s="99"/>
      <c r="AB21" s="99"/>
      <c r="AC21" s="99"/>
      <c r="AD21" s="100">
        <f>SUM(G21:K21)/SUM(G$38:K$38)</f>
        <v>0.98471282338140786</v>
      </c>
    </row>
    <row r="22" spans="1:30" x14ac:dyDescent="0.2">
      <c r="A22" s="5" t="s">
        <v>99</v>
      </c>
      <c r="B22" s="89">
        <v>7113411</v>
      </c>
      <c r="C22" s="90">
        <v>9687309</v>
      </c>
      <c r="D22" s="90">
        <v>13129589</v>
      </c>
      <c r="E22" s="90">
        <v>3808672</v>
      </c>
      <c r="F22" s="90">
        <v>4322285</v>
      </c>
      <c r="G22" s="90">
        <v>2430983</v>
      </c>
      <c r="H22" s="90">
        <v>6328305</v>
      </c>
      <c r="I22" s="90">
        <v>5582136</v>
      </c>
      <c r="J22" s="90">
        <v>16903646</v>
      </c>
      <c r="K22" s="90">
        <v>21207907</v>
      </c>
      <c r="L22" s="90">
        <v>29515530</v>
      </c>
      <c r="M22" s="90">
        <v>19383225</v>
      </c>
      <c r="N22" s="90">
        <v>15848470</v>
      </c>
      <c r="O22" s="100">
        <f>RATE(5,,-J22,N22)</f>
        <v>-1.2808537950826343E-2</v>
      </c>
      <c r="P22" s="104" t="str">
        <f>+A22</f>
        <v>Construction Work in Progress</v>
      </c>
      <c r="Q22" s="99">
        <f t="shared" si="13"/>
        <v>0.12633806175895898</v>
      </c>
      <c r="R22" s="99">
        <f t="shared" si="13"/>
        <v>0.16305059188910531</v>
      </c>
      <c r="S22" s="99">
        <f t="shared" si="13"/>
        <v>0.21142328556595583</v>
      </c>
      <c r="T22" s="99">
        <f t="shared" si="13"/>
        <v>6.9115784007440534E-2</v>
      </c>
      <c r="U22" s="99">
        <f t="shared" si="13"/>
        <v>7.3339419210121382E-2</v>
      </c>
      <c r="V22" s="99">
        <f t="shared" si="13"/>
        <v>3.9325354032170308E-2</v>
      </c>
      <c r="W22" s="99">
        <f t="shared" si="13"/>
        <v>9.626285099603063E-2</v>
      </c>
      <c r="X22" s="99">
        <f t="shared" si="13"/>
        <v>8.1447076477204158E-2</v>
      </c>
      <c r="Y22" s="99">
        <f t="shared" si="13"/>
        <v>0.18491798588677777</v>
      </c>
      <c r="Z22" s="99">
        <f t="shared" si="13"/>
        <v>0.19953618171917281</v>
      </c>
      <c r="AA22" s="99"/>
      <c r="AB22" s="99"/>
      <c r="AC22" s="99"/>
      <c r="AD22" s="100">
        <f>SUM(G22:K22)/SUM(G$38:K$38)</f>
        <v>0.13319983142251604</v>
      </c>
    </row>
    <row r="23" spans="1:30" x14ac:dyDescent="0.2">
      <c r="A23" s="5" t="s">
        <v>47</v>
      </c>
      <c r="B23" s="89"/>
      <c r="C23" s="90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6"/>
      <c r="P23" s="104" t="str">
        <f>+A23</f>
        <v>Other PP&amp;E</v>
      </c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10"/>
    </row>
    <row r="24" spans="1:30" ht="12.75" customHeight="1" x14ac:dyDescent="0.2">
      <c r="A24" s="5" t="s">
        <v>54</v>
      </c>
      <c r="B24" s="108">
        <f t="shared" ref="B24:I24" si="14">SUM(B21:B23)</f>
        <v>55906166</v>
      </c>
      <c r="C24" s="108">
        <f t="shared" si="14"/>
        <v>61152115</v>
      </c>
      <c r="D24" s="105">
        <f t="shared" si="14"/>
        <v>66972144</v>
      </c>
      <c r="E24" s="105">
        <f t="shared" si="14"/>
        <v>61183219</v>
      </c>
      <c r="F24" s="105">
        <f t="shared" si="14"/>
        <v>65479714</v>
      </c>
      <c r="G24" s="105">
        <f t="shared" ref="G24" si="15">SUM(G21:G23)</f>
        <v>67978137</v>
      </c>
      <c r="H24" s="105">
        <f t="shared" ref="H24" si="16">SUM(H21:H23)</f>
        <v>75319921</v>
      </c>
      <c r="I24" s="105">
        <f t="shared" si="14"/>
        <v>81534624</v>
      </c>
      <c r="J24" s="105">
        <f t="shared" ref="J24:K24" si="17">SUM(J21:J23)</f>
        <v>97277173</v>
      </c>
      <c r="K24" s="105">
        <f t="shared" si="17"/>
        <v>118114777</v>
      </c>
      <c r="L24" s="105">
        <f t="shared" ref="L24:N24" si="18">SUM(L21:L23)</f>
        <v>139385871</v>
      </c>
      <c r="M24" s="105">
        <f t="shared" si="18"/>
        <v>153236336</v>
      </c>
      <c r="N24" s="105">
        <f t="shared" si="18"/>
        <v>168398146</v>
      </c>
      <c r="O24" s="100">
        <f>RATE(5,,-J24,N24)</f>
        <v>0.11600277105360915</v>
      </c>
      <c r="P24" s="104" t="str">
        <f>+A24</f>
        <v>Total Plant &amp; Equipment:</v>
      </c>
      <c r="Q24" s="99">
        <f t="shared" ref="Q24:Z24" si="19">+B24/B$38</f>
        <v>0.99292402095346566</v>
      </c>
      <c r="R24" s="99">
        <f t="shared" si="19"/>
        <v>1.0292733044874107</v>
      </c>
      <c r="S24" s="99">
        <f t="shared" si="19"/>
        <v>1.0784397535883503</v>
      </c>
      <c r="T24" s="99">
        <f t="shared" si="19"/>
        <v>1.1102888747794328</v>
      </c>
      <c r="U24" s="99">
        <f t="shared" si="19"/>
        <v>1.1110429309508405</v>
      </c>
      <c r="V24" s="99">
        <f t="shared" si="19"/>
        <v>1.0996639235948484</v>
      </c>
      <c r="W24" s="99">
        <f t="shared" si="19"/>
        <v>1.145727067872961</v>
      </c>
      <c r="X24" s="99">
        <f t="shared" si="19"/>
        <v>1.189644386390458</v>
      </c>
      <c r="Y24" s="99">
        <f t="shared" si="19"/>
        <v>1.0641668018792891</v>
      </c>
      <c r="Z24" s="99">
        <f t="shared" si="19"/>
        <v>1.1112917275236813</v>
      </c>
      <c r="AA24" s="99"/>
      <c r="AB24" s="99"/>
      <c r="AC24" s="99"/>
      <c r="AD24" s="100">
        <f>SUM(G24:K24)/SUM(G$38:K$38)</f>
        <v>1.1179126548039238</v>
      </c>
    </row>
    <row r="25" spans="1:30" ht="7.5" customHeight="1" x14ac:dyDescent="0.2">
      <c r="A25" s="5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100"/>
      <c r="P25" s="104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104"/>
    </row>
    <row r="26" spans="1:30" ht="12.75" customHeight="1" x14ac:dyDescent="0.2">
      <c r="A26" s="5" t="s">
        <v>48</v>
      </c>
      <c r="B26" s="89">
        <v>15776694</v>
      </c>
      <c r="C26" s="89">
        <v>17192640</v>
      </c>
      <c r="D26" s="89">
        <v>18693511</v>
      </c>
      <c r="E26" s="89">
        <v>20194557</v>
      </c>
      <c r="F26" s="89">
        <v>21595483</v>
      </c>
      <c r="G26" s="89">
        <v>23405387</v>
      </c>
      <c r="H26" s="89">
        <v>25018204</v>
      </c>
      <c r="I26" s="89">
        <v>26396075</v>
      </c>
      <c r="J26" s="89">
        <v>27713444</v>
      </c>
      <c r="K26" s="89">
        <v>29703393</v>
      </c>
      <c r="L26" s="89">
        <v>32305065</v>
      </c>
      <c r="M26" s="89">
        <v>34151795</v>
      </c>
      <c r="N26" s="89">
        <v>38158125</v>
      </c>
      <c r="O26" s="100">
        <f>RATE(5,,-J26,N26)</f>
        <v>6.6054248632542001E-2</v>
      </c>
      <c r="P26" s="104" t="str">
        <f>+A26</f>
        <v>Accumulated Depreciation &amp; Amort.</v>
      </c>
      <c r="Q26" s="99">
        <f t="shared" ref="Q26:Z26" si="20">+B26/B$38</f>
        <v>0.28020269613610094</v>
      </c>
      <c r="R26" s="99">
        <f t="shared" si="20"/>
        <v>0.28937552504377712</v>
      </c>
      <c r="S26" s="99">
        <f t="shared" si="20"/>
        <v>0.30101806799766057</v>
      </c>
      <c r="T26" s="99">
        <f t="shared" si="20"/>
        <v>0.36646963554171808</v>
      </c>
      <c r="U26" s="99">
        <f t="shared" si="20"/>
        <v>0.36642659629849716</v>
      </c>
      <c r="V26" s="99">
        <f t="shared" si="20"/>
        <v>0.37862261070314207</v>
      </c>
      <c r="W26" s="99">
        <f t="shared" si="20"/>
        <v>0.38056377558292426</v>
      </c>
      <c r="X26" s="99">
        <f t="shared" si="20"/>
        <v>0.38513628819201406</v>
      </c>
      <c r="Y26" s="99">
        <f t="shared" si="20"/>
        <v>0.30317212313047764</v>
      </c>
      <c r="Z26" s="99">
        <f t="shared" si="20"/>
        <v>0.27946659815718761</v>
      </c>
      <c r="AA26" s="99"/>
      <c r="AB26" s="99"/>
      <c r="AC26" s="99"/>
      <c r="AD26" s="100">
        <f>SUM(G26:K26)/SUM(G$38:K$38)</f>
        <v>0.33580324540021889</v>
      </c>
    </row>
    <row r="27" spans="1:30" ht="7.5" customHeight="1" x14ac:dyDescent="0.2">
      <c r="A27" s="5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100"/>
      <c r="P27" s="104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104"/>
    </row>
    <row r="28" spans="1:30" x14ac:dyDescent="0.2">
      <c r="A28" s="5" t="s">
        <v>49</v>
      </c>
      <c r="B28" s="89">
        <f t="shared" ref="B28:F28" si="21">B24-B26</f>
        <v>40129472</v>
      </c>
      <c r="C28" s="89">
        <f t="shared" si="21"/>
        <v>43959475</v>
      </c>
      <c r="D28" s="89">
        <f t="shared" si="21"/>
        <v>48278633</v>
      </c>
      <c r="E28" s="89">
        <f t="shared" si="21"/>
        <v>40988662</v>
      </c>
      <c r="F28" s="89">
        <f t="shared" si="21"/>
        <v>43884231</v>
      </c>
      <c r="G28" s="89">
        <f t="shared" ref="G28:I28" si="22">G24-G26</f>
        <v>44572750</v>
      </c>
      <c r="H28" s="89">
        <f t="shared" si="22"/>
        <v>50301717</v>
      </c>
      <c r="I28" s="89">
        <f t="shared" si="22"/>
        <v>55138549</v>
      </c>
      <c r="J28" s="89">
        <f t="shared" ref="J28:K28" si="23">J24-J26</f>
        <v>69563729</v>
      </c>
      <c r="K28" s="89">
        <f t="shared" si="23"/>
        <v>88411384</v>
      </c>
      <c r="L28" s="89">
        <f t="shared" ref="L28:N28" si="24">L24-L26</f>
        <v>107080806</v>
      </c>
      <c r="M28" s="89">
        <f t="shared" si="24"/>
        <v>119084541</v>
      </c>
      <c r="N28" s="89">
        <f t="shared" si="24"/>
        <v>130240021</v>
      </c>
      <c r="O28" s="100">
        <f>RATE(5,,-J28,N28)</f>
        <v>0.13363258468450298</v>
      </c>
      <c r="P28" s="104" t="str">
        <f>+A28</f>
        <v>Net Plant &amp; Equipment</v>
      </c>
      <c r="Q28" s="99">
        <f t="shared" ref="Q28:Z28" si="25">+B28/B$38</f>
        <v>0.71272132481736472</v>
      </c>
      <c r="R28" s="99">
        <f t="shared" si="25"/>
        <v>0.73989777944363366</v>
      </c>
      <c r="S28" s="99">
        <f t="shared" si="25"/>
        <v>0.77742168559068969</v>
      </c>
      <c r="T28" s="99">
        <f t="shared" si="25"/>
        <v>0.74381923923771487</v>
      </c>
      <c r="U28" s="99">
        <f t="shared" si="25"/>
        <v>0.74461633465234345</v>
      </c>
      <c r="V28" s="99">
        <f t="shared" si="25"/>
        <v>0.72104131289170637</v>
      </c>
      <c r="W28" s="99">
        <f t="shared" si="25"/>
        <v>0.76516329229003666</v>
      </c>
      <c r="X28" s="99">
        <f t="shared" si="25"/>
        <v>0.80450809819844393</v>
      </c>
      <c r="Y28" s="99">
        <f t="shared" si="25"/>
        <v>0.76099467874881155</v>
      </c>
      <c r="Z28" s="99">
        <f t="shared" si="25"/>
        <v>0.83182512936649378</v>
      </c>
      <c r="AA28" s="99"/>
      <c r="AB28" s="99"/>
      <c r="AC28" s="99"/>
      <c r="AD28" s="100">
        <f>SUM(G28:K28)/SUM(G$38:K$38)</f>
        <v>0.78210940940370499</v>
      </c>
    </row>
    <row r="29" spans="1:30" ht="7.5" customHeight="1" x14ac:dyDescent="0.2">
      <c r="A29" s="5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100"/>
      <c r="P29" s="104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104"/>
    </row>
    <row r="30" spans="1:30" x14ac:dyDescent="0.2">
      <c r="A30" s="6" t="s">
        <v>58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100"/>
      <c r="P30" s="103" t="str">
        <f t="shared" ref="P30:P38" si="26">+A30</f>
        <v>Other Assets:</v>
      </c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104"/>
    </row>
    <row r="31" spans="1:30" x14ac:dyDescent="0.2">
      <c r="A31" s="5" t="s">
        <v>50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100"/>
      <c r="P31" s="104" t="str">
        <f t="shared" si="26"/>
        <v>Regulatory Assets</v>
      </c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104"/>
    </row>
    <row r="32" spans="1:30" x14ac:dyDescent="0.2">
      <c r="A32" s="5" t="s">
        <v>147</v>
      </c>
      <c r="B32" s="89">
        <v>1597873</v>
      </c>
      <c r="C32" s="89">
        <v>1597873</v>
      </c>
      <c r="D32" s="89">
        <v>1597873</v>
      </c>
      <c r="E32" s="89">
        <v>1597873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/>
      <c r="L32" s="89"/>
      <c r="M32" s="89"/>
      <c r="N32" s="89"/>
      <c r="O32" s="100"/>
      <c r="P32" s="104" t="str">
        <f t="shared" si="26"/>
        <v>Notes Receivable - Ft Pierce Indust</v>
      </c>
      <c r="Q32" s="99">
        <f t="shared" ref="Q32:T38" si="27">+B32/B$38</f>
        <v>2.8379096576448777E-2</v>
      </c>
      <c r="R32" s="99">
        <f t="shared" si="27"/>
        <v>2.6894376798925312E-2</v>
      </c>
      <c r="S32" s="99">
        <f t="shared" si="27"/>
        <v>2.5730246360120682E-2</v>
      </c>
      <c r="T32" s="99">
        <f t="shared" si="27"/>
        <v>2.8996522971608225E-2</v>
      </c>
      <c r="U32" s="99"/>
      <c r="V32" s="99"/>
      <c r="W32" s="99"/>
      <c r="X32" s="99"/>
      <c r="Y32" s="99"/>
      <c r="Z32" s="99"/>
      <c r="AA32" s="99"/>
      <c r="AB32" s="99"/>
      <c r="AC32" s="99"/>
      <c r="AD32" s="100"/>
    </row>
    <row r="33" spans="1:30" x14ac:dyDescent="0.2">
      <c r="A33" s="5" t="s">
        <v>91</v>
      </c>
      <c r="B33" s="89">
        <v>1832962</v>
      </c>
      <c r="C33" s="89">
        <v>1865180</v>
      </c>
      <c r="D33" s="89">
        <v>1903060</v>
      </c>
      <c r="E33" s="89">
        <v>1791541</v>
      </c>
      <c r="F33" s="89">
        <v>1706992</v>
      </c>
      <c r="G33" s="89">
        <v>1690399</v>
      </c>
      <c r="H33" s="89">
        <v>1522257</v>
      </c>
      <c r="I33" s="89">
        <v>1353735</v>
      </c>
      <c r="J33" s="89">
        <v>1147249</v>
      </c>
      <c r="K33" s="89">
        <v>1001126</v>
      </c>
      <c r="L33" s="89">
        <v>858799</v>
      </c>
      <c r="M33" s="89">
        <v>744596</v>
      </c>
      <c r="N33" s="89">
        <v>601383</v>
      </c>
      <c r="O33" s="100">
        <f>RATE(5,,-J33,N33)</f>
        <v>-0.12118250933103082</v>
      </c>
      <c r="P33" s="104" t="str">
        <f t="shared" si="26"/>
        <v>Notes Receivable Related Party</v>
      </c>
      <c r="Q33" s="99">
        <f t="shared" si="27"/>
        <v>3.2554405524694831E-2</v>
      </c>
      <c r="R33" s="99">
        <f t="shared" si="27"/>
        <v>3.1393517330738745E-2</v>
      </c>
      <c r="S33" s="99">
        <f t="shared" si="27"/>
        <v>3.0644614833651523E-2</v>
      </c>
      <c r="T33" s="99">
        <f t="shared" si="27"/>
        <v>3.2511006670165883E-2</v>
      </c>
      <c r="U33" s="99">
        <f t="shared" ref="U33:Z38" si="28">+F33/F$38</f>
        <v>2.896380083134812E-2</v>
      </c>
      <c r="V33" s="99">
        <f t="shared" si="28"/>
        <v>2.7345127107275803E-2</v>
      </c>
      <c r="W33" s="99">
        <f t="shared" si="28"/>
        <v>2.3155773744891341E-2</v>
      </c>
      <c r="X33" s="99">
        <f t="shared" si="28"/>
        <v>1.9751893912091711E-2</v>
      </c>
      <c r="Y33" s="99">
        <f t="shared" si="28"/>
        <v>1.2550367795836466E-2</v>
      </c>
      <c r="Z33" s="99">
        <f t="shared" si="28"/>
        <v>9.4191689665457604E-3</v>
      </c>
      <c r="AA33" s="99"/>
      <c r="AB33" s="99"/>
      <c r="AC33" s="99"/>
      <c r="AD33" s="100">
        <f t="shared" ref="AD33:AD38" si="29">SUM(G33:K33)/SUM(G$38:K$38)</f>
        <v>1.7051571719973919E-2</v>
      </c>
    </row>
    <row r="34" spans="1:30" x14ac:dyDescent="0.2">
      <c r="A34" s="5" t="s">
        <v>98</v>
      </c>
      <c r="B34" s="89">
        <v>1169693</v>
      </c>
      <c r="C34" s="90">
        <v>1169693</v>
      </c>
      <c r="D34" s="90">
        <v>1187147</v>
      </c>
      <c r="E34" s="90">
        <v>1169693</v>
      </c>
      <c r="F34" s="90">
        <v>1191065</v>
      </c>
      <c r="G34" s="90">
        <v>1045904</v>
      </c>
      <c r="H34" s="90">
        <v>733416</v>
      </c>
      <c r="I34" s="90">
        <v>738208</v>
      </c>
      <c r="J34" s="90">
        <v>633042</v>
      </c>
      <c r="K34" s="90">
        <v>633042</v>
      </c>
      <c r="L34" s="90">
        <v>633042</v>
      </c>
      <c r="M34" s="90">
        <v>514760</v>
      </c>
      <c r="N34" s="90"/>
      <c r="O34" s="100"/>
      <c r="P34" s="104" t="str">
        <f t="shared" si="26"/>
        <v>Non-utility Property</v>
      </c>
      <c r="Q34" s="99">
        <f t="shared" si="27"/>
        <v>2.0774386081870148E-2</v>
      </c>
      <c r="R34" s="99">
        <f t="shared" si="27"/>
        <v>1.9687524778918816E-2</v>
      </c>
      <c r="S34" s="99">
        <f t="shared" si="27"/>
        <v>1.9116403353506936E-2</v>
      </c>
      <c r="T34" s="99">
        <f t="shared" si="27"/>
        <v>2.1226361509474996E-2</v>
      </c>
      <c r="U34" s="99">
        <f t="shared" si="28"/>
        <v>2.0209684308531997E-2</v>
      </c>
      <c r="V34" s="99">
        <f t="shared" si="28"/>
        <v>1.6919305928368503E-2</v>
      </c>
      <c r="W34" s="99">
        <f t="shared" si="28"/>
        <v>1.1156338881597014E-2</v>
      </c>
      <c r="X34" s="99">
        <f t="shared" si="28"/>
        <v>1.0770945643761442E-2</v>
      </c>
      <c r="Y34" s="99">
        <f t="shared" si="28"/>
        <v>6.9251835741080689E-3</v>
      </c>
      <c r="Z34" s="99">
        <f t="shared" si="28"/>
        <v>5.9560230789331824E-3</v>
      </c>
      <c r="AA34" s="99"/>
      <c r="AB34" s="99"/>
      <c r="AC34" s="99"/>
      <c r="AD34" s="100">
        <f t="shared" si="29"/>
        <v>9.6081578090068884E-3</v>
      </c>
    </row>
    <row r="35" spans="1:30" x14ac:dyDescent="0.2">
      <c r="A35" s="5" t="s">
        <v>85</v>
      </c>
      <c r="B35" s="89">
        <v>585676</v>
      </c>
      <c r="C35" s="89">
        <v>1210252</v>
      </c>
      <c r="D35" s="91">
        <v>1249291</v>
      </c>
      <c r="E35" s="91">
        <v>1272910</v>
      </c>
      <c r="F35" s="105">
        <v>1292542</v>
      </c>
      <c r="G35" s="105">
        <v>1381809</v>
      </c>
      <c r="H35" s="105">
        <v>1102712</v>
      </c>
      <c r="I35" s="105">
        <v>1339439</v>
      </c>
      <c r="J35" s="105">
        <v>1491085</v>
      </c>
      <c r="K35" s="105">
        <v>1846515</v>
      </c>
      <c r="L35" s="105">
        <v>2350588</v>
      </c>
      <c r="M35" s="105">
        <v>2794563</v>
      </c>
      <c r="N35" s="105">
        <v>3281166</v>
      </c>
      <c r="O35" s="106">
        <f>RATE(5,,-J35,N35)</f>
        <v>0.17086051435609081</v>
      </c>
      <c r="P35" s="104" t="str">
        <f t="shared" si="26"/>
        <v>Investment in CFC and Others</v>
      </c>
      <c r="Q35" s="107">
        <f t="shared" si="27"/>
        <v>1.0401925413664423E-2</v>
      </c>
      <c r="R35" s="107">
        <f t="shared" si="27"/>
        <v>2.037018793712201E-2</v>
      </c>
      <c r="S35" s="107">
        <f t="shared" si="27"/>
        <v>2.0117096418477268E-2</v>
      </c>
      <c r="T35" s="107">
        <f t="shared" si="27"/>
        <v>2.3099435346732703E-2</v>
      </c>
      <c r="U35" s="107">
        <f t="shared" si="28"/>
        <v>2.1931519921682331E-2</v>
      </c>
      <c r="V35" s="107">
        <f t="shared" si="28"/>
        <v>2.2353150198845165E-2</v>
      </c>
      <c r="W35" s="107">
        <f t="shared" si="28"/>
        <v>1.6773875618753351E-2</v>
      </c>
      <c r="X35" s="107">
        <f t="shared" si="28"/>
        <v>1.9543305764952675E-2</v>
      </c>
      <c r="Y35" s="107">
        <f t="shared" si="28"/>
        <v>1.6311772914907589E-2</v>
      </c>
      <c r="Z35" s="107">
        <f t="shared" si="28"/>
        <v>1.7373074702146628E-2</v>
      </c>
      <c r="AA35" s="107"/>
      <c r="AB35" s="107"/>
      <c r="AC35" s="107"/>
      <c r="AD35" s="106">
        <f t="shared" si="29"/>
        <v>1.8186166720760844E-2</v>
      </c>
    </row>
    <row r="36" spans="1:30" x14ac:dyDescent="0.2">
      <c r="A36" s="5" t="s">
        <v>59</v>
      </c>
      <c r="B36" s="108">
        <f t="shared" ref="B36:I36" si="30">SUM(B31:B35)</f>
        <v>5186204</v>
      </c>
      <c r="C36" s="108">
        <f t="shared" si="30"/>
        <v>5842998</v>
      </c>
      <c r="D36" s="111">
        <f t="shared" si="30"/>
        <v>5937371</v>
      </c>
      <c r="E36" s="111">
        <f t="shared" si="30"/>
        <v>5832017</v>
      </c>
      <c r="F36" s="111">
        <f t="shared" si="30"/>
        <v>4190599</v>
      </c>
      <c r="G36" s="111">
        <f t="shared" ref="G36" si="31">SUM(G31:G35)</f>
        <v>4118112</v>
      </c>
      <c r="H36" s="111">
        <f t="shared" ref="H36" si="32">SUM(H31:H35)</f>
        <v>3358385</v>
      </c>
      <c r="I36" s="111">
        <f t="shared" si="30"/>
        <v>3431382</v>
      </c>
      <c r="J36" s="111">
        <f t="shared" ref="J36:K36" si="33">SUM(J31:J35)</f>
        <v>3271376</v>
      </c>
      <c r="K36" s="111">
        <f t="shared" si="33"/>
        <v>3480683</v>
      </c>
      <c r="L36" s="111">
        <f t="shared" ref="L36:N36" si="34">SUM(L31:L35)</f>
        <v>3842429</v>
      </c>
      <c r="M36" s="111">
        <f t="shared" si="34"/>
        <v>4053919</v>
      </c>
      <c r="N36" s="111">
        <f t="shared" si="34"/>
        <v>3882549</v>
      </c>
      <c r="O36" s="112">
        <f>RATE(5,,-J36,N36)</f>
        <v>3.4849743729345642E-2</v>
      </c>
      <c r="P36" s="104" t="str">
        <f t="shared" si="26"/>
        <v>Total Other Assets</v>
      </c>
      <c r="Q36" s="107">
        <f t="shared" si="27"/>
        <v>9.2109813596678178E-2</v>
      </c>
      <c r="R36" s="107">
        <f t="shared" si="27"/>
        <v>9.8345606845704883E-2</v>
      </c>
      <c r="S36" s="107">
        <f t="shared" si="27"/>
        <v>9.5608360965756409E-2</v>
      </c>
      <c r="T36" s="107">
        <f t="shared" si="27"/>
        <v>0.1058333264979818</v>
      </c>
      <c r="U36" s="107">
        <f t="shared" si="28"/>
        <v>7.1105005061562448E-2</v>
      </c>
      <c r="V36" s="107">
        <f t="shared" si="28"/>
        <v>6.6617583234489477E-2</v>
      </c>
      <c r="W36" s="107">
        <f t="shared" si="28"/>
        <v>5.1085988245241708E-2</v>
      </c>
      <c r="X36" s="107">
        <f t="shared" si="28"/>
        <v>5.0066145320805826E-2</v>
      </c>
      <c r="Y36" s="107">
        <f t="shared" si="28"/>
        <v>3.5787324284852123E-2</v>
      </c>
      <c r="Z36" s="107">
        <f t="shared" si="28"/>
        <v>3.2748266747625571E-2</v>
      </c>
      <c r="AA36" s="107"/>
      <c r="AB36" s="107"/>
      <c r="AC36" s="107"/>
      <c r="AD36" s="106">
        <f t="shared" si="29"/>
        <v>4.4845896249741647E-2</v>
      </c>
    </row>
    <row r="37" spans="1:30" x14ac:dyDescent="0.2">
      <c r="A37" s="5" t="s">
        <v>37</v>
      </c>
      <c r="B37" s="108">
        <f t="shared" ref="B37:I37" si="35">B28+B36</f>
        <v>45315676</v>
      </c>
      <c r="C37" s="108">
        <f t="shared" si="35"/>
        <v>49802473</v>
      </c>
      <c r="D37" s="111">
        <f t="shared" si="35"/>
        <v>54216004</v>
      </c>
      <c r="E37" s="111">
        <f t="shared" si="35"/>
        <v>46820679</v>
      </c>
      <c r="F37" s="111">
        <f t="shared" si="35"/>
        <v>48074830</v>
      </c>
      <c r="G37" s="111">
        <f t="shared" ref="G37" si="36">G28+G36</f>
        <v>48690862</v>
      </c>
      <c r="H37" s="111">
        <f t="shared" ref="H37" si="37">H28+H36</f>
        <v>53660102</v>
      </c>
      <c r="I37" s="111">
        <f t="shared" si="35"/>
        <v>58569931</v>
      </c>
      <c r="J37" s="111">
        <f t="shared" ref="J37:K37" si="38">J28+J36</f>
        <v>72835105</v>
      </c>
      <c r="K37" s="111">
        <f t="shared" si="38"/>
        <v>91892067</v>
      </c>
      <c r="L37" s="111">
        <f t="shared" ref="L37:N37" si="39">L28+L36</f>
        <v>110923235</v>
      </c>
      <c r="M37" s="111">
        <f t="shared" si="39"/>
        <v>123138460</v>
      </c>
      <c r="N37" s="111">
        <f t="shared" si="39"/>
        <v>134122570</v>
      </c>
      <c r="O37" s="112">
        <f>RATE(5,,-J37,N37)</f>
        <v>0.1298797448437129</v>
      </c>
      <c r="P37" s="104" t="str">
        <f t="shared" si="26"/>
        <v>Total Non-Current Assets</v>
      </c>
      <c r="Q37" s="107">
        <f t="shared" si="27"/>
        <v>0.80483113841404297</v>
      </c>
      <c r="R37" s="107">
        <f t="shared" si="27"/>
        <v>0.83824338628933848</v>
      </c>
      <c r="S37" s="107">
        <f t="shared" si="27"/>
        <v>0.87303004655644612</v>
      </c>
      <c r="T37" s="107">
        <f t="shared" si="27"/>
        <v>0.84965256573569659</v>
      </c>
      <c r="U37" s="107">
        <f t="shared" si="28"/>
        <v>0.81572133971390592</v>
      </c>
      <c r="V37" s="107">
        <f t="shared" si="28"/>
        <v>0.78765889612619588</v>
      </c>
      <c r="W37" s="107">
        <f t="shared" si="28"/>
        <v>0.81624928053527845</v>
      </c>
      <c r="X37" s="107">
        <f t="shared" si="28"/>
        <v>0.85457424351924971</v>
      </c>
      <c r="Y37" s="107">
        <f t="shared" si="28"/>
        <v>0.79678200303366364</v>
      </c>
      <c r="Z37" s="107">
        <f t="shared" si="28"/>
        <v>0.86457339611411932</v>
      </c>
      <c r="AA37" s="107"/>
      <c r="AB37" s="107"/>
      <c r="AC37" s="107"/>
      <c r="AD37" s="106">
        <f t="shared" si="29"/>
        <v>0.82695530565344666</v>
      </c>
    </row>
    <row r="38" spans="1:30" ht="13.5" thickBot="1" x14ac:dyDescent="0.25">
      <c r="A38" s="5" t="s">
        <v>32</v>
      </c>
      <c r="B38" s="108">
        <f t="shared" ref="B38:I38" si="40">B18+B28+B36</f>
        <v>56304576</v>
      </c>
      <c r="C38" s="108">
        <f t="shared" si="40"/>
        <v>59412903</v>
      </c>
      <c r="D38" s="113">
        <f t="shared" si="40"/>
        <v>62100960</v>
      </c>
      <c r="E38" s="113">
        <f t="shared" si="40"/>
        <v>55105676</v>
      </c>
      <c r="F38" s="113">
        <f t="shared" si="40"/>
        <v>58935359</v>
      </c>
      <c r="G38" s="113">
        <f t="shared" ref="G38:H38" si="41">G18+G28+G36</f>
        <v>61817193</v>
      </c>
      <c r="H38" s="113">
        <f t="shared" si="41"/>
        <v>65739846</v>
      </c>
      <c r="I38" s="113">
        <f t="shared" si="40"/>
        <v>68536972</v>
      </c>
      <c r="J38" s="113">
        <f t="shared" ref="J38:K38" si="42">J18+J28+J36</f>
        <v>91411584</v>
      </c>
      <c r="K38" s="113">
        <f t="shared" si="42"/>
        <v>106286022</v>
      </c>
      <c r="L38" s="113">
        <f t="shared" ref="L38:N38" si="43">L18+L28+L36</f>
        <v>125674165</v>
      </c>
      <c r="M38" s="113">
        <f t="shared" si="43"/>
        <v>135998168</v>
      </c>
      <c r="N38" s="113">
        <f t="shared" si="43"/>
        <v>148308777</v>
      </c>
      <c r="O38" s="114">
        <f>RATE(5,,-J38,N38)</f>
        <v>0.10162332757037863</v>
      </c>
      <c r="P38" s="104" t="str">
        <f t="shared" si="26"/>
        <v>Total Assets</v>
      </c>
      <c r="Q38" s="115">
        <f t="shared" si="27"/>
        <v>1</v>
      </c>
      <c r="R38" s="115">
        <f t="shared" si="27"/>
        <v>1</v>
      </c>
      <c r="S38" s="115">
        <f t="shared" si="27"/>
        <v>1</v>
      </c>
      <c r="T38" s="115">
        <f t="shared" si="27"/>
        <v>1</v>
      </c>
      <c r="U38" s="115">
        <f t="shared" si="28"/>
        <v>1</v>
      </c>
      <c r="V38" s="115">
        <f t="shared" si="28"/>
        <v>1</v>
      </c>
      <c r="W38" s="115">
        <f t="shared" si="28"/>
        <v>1</v>
      </c>
      <c r="X38" s="115">
        <f t="shared" si="28"/>
        <v>1</v>
      </c>
      <c r="Y38" s="115">
        <f t="shared" si="28"/>
        <v>1</v>
      </c>
      <c r="Z38" s="115">
        <f t="shared" si="28"/>
        <v>1</v>
      </c>
      <c r="AA38" s="115"/>
      <c r="AB38" s="115"/>
      <c r="AC38" s="115"/>
      <c r="AD38" s="116">
        <f t="shared" si="29"/>
        <v>1</v>
      </c>
    </row>
    <row r="39" spans="1:30" ht="13.5" thickTop="1" x14ac:dyDescent="0.2">
      <c r="A39" s="5"/>
      <c r="B39" s="117"/>
      <c r="C39" s="117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00"/>
      <c r="P39" s="104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04"/>
    </row>
    <row r="40" spans="1:30" x14ac:dyDescent="0.2">
      <c r="A40" s="6" t="s">
        <v>7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100"/>
      <c r="P40" s="103" t="str">
        <f t="shared" ref="P40:P47" si="44">+A40</f>
        <v>Current Liabilities:</v>
      </c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104"/>
    </row>
    <row r="41" spans="1:30" x14ac:dyDescent="0.2">
      <c r="A41" s="22" t="s">
        <v>73</v>
      </c>
      <c r="B41" s="89">
        <v>465707</v>
      </c>
      <c r="C41" s="89">
        <v>498206</v>
      </c>
      <c r="D41" s="89">
        <v>529350</v>
      </c>
      <c r="E41" s="89">
        <v>619115</v>
      </c>
      <c r="F41" s="89">
        <v>675182</v>
      </c>
      <c r="G41" s="89">
        <v>849164</v>
      </c>
      <c r="H41" s="89">
        <v>846798</v>
      </c>
      <c r="I41" s="89">
        <v>841036</v>
      </c>
      <c r="J41" s="89">
        <v>936330</v>
      </c>
      <c r="K41" s="89">
        <v>1081644</v>
      </c>
      <c r="L41" s="89">
        <v>1323309</v>
      </c>
      <c r="M41" s="89">
        <v>2411900</v>
      </c>
      <c r="N41" s="89">
        <v>3233825</v>
      </c>
      <c r="O41" s="100">
        <f>RATE(5,,-J41,N41)</f>
        <v>0.28131973473657512</v>
      </c>
      <c r="P41" s="104" t="str">
        <f t="shared" si="44"/>
        <v>Current Portion of LTD</v>
      </c>
      <c r="Q41" s="99">
        <f t="shared" ref="Q41:Z44" si="45">+B41/B$38</f>
        <v>8.271210496283642E-3</v>
      </c>
      <c r="R41" s="99">
        <f t="shared" si="45"/>
        <v>8.3854848836455616E-3</v>
      </c>
      <c r="S41" s="99">
        <f t="shared" si="45"/>
        <v>8.5240228170385766E-3</v>
      </c>
      <c r="T41" s="99">
        <f t="shared" si="45"/>
        <v>1.1235049543716694E-2</v>
      </c>
      <c r="U41" s="99">
        <f t="shared" si="45"/>
        <v>1.1456314366389114E-2</v>
      </c>
      <c r="V41" s="99">
        <f t="shared" si="45"/>
        <v>1.3736696197124318E-2</v>
      </c>
      <c r="W41" s="99">
        <f t="shared" si="45"/>
        <v>1.2881046298769851E-2</v>
      </c>
      <c r="X41" s="99">
        <f t="shared" si="45"/>
        <v>1.2271274546532344E-2</v>
      </c>
      <c r="Y41" s="99">
        <f t="shared" si="45"/>
        <v>1.0243012526727466E-2</v>
      </c>
      <c r="Z41" s="99">
        <f t="shared" si="45"/>
        <v>1.0176728601245421E-2</v>
      </c>
      <c r="AA41" s="99"/>
      <c r="AB41" s="99"/>
      <c r="AC41" s="99"/>
      <c r="AD41" s="100">
        <f t="shared" ref="AD41:AD47" si="46">SUM(G41:K41)/SUM(G$38:K$38)</f>
        <v>1.1566960299208198E-2</v>
      </c>
    </row>
    <row r="42" spans="1:30" x14ac:dyDescent="0.2">
      <c r="A42" s="5" t="s">
        <v>60</v>
      </c>
      <c r="B42" s="89">
        <v>2159056</v>
      </c>
      <c r="C42" s="89">
        <v>3404219</v>
      </c>
      <c r="D42" s="89">
        <v>2673463</v>
      </c>
      <c r="E42" s="89">
        <v>2056480</v>
      </c>
      <c r="F42" s="89">
        <v>2721206</v>
      </c>
      <c r="G42" s="89">
        <v>2686287</v>
      </c>
      <c r="H42" s="89">
        <v>2670658</v>
      </c>
      <c r="I42" s="89">
        <v>3327741</v>
      </c>
      <c r="J42" s="89">
        <v>6545628</v>
      </c>
      <c r="K42" s="89">
        <v>4617129</v>
      </c>
      <c r="L42" s="89">
        <v>4543659</v>
      </c>
      <c r="M42" s="89">
        <v>7718034</v>
      </c>
      <c r="N42" s="89">
        <v>5800549</v>
      </c>
      <c r="O42" s="100">
        <f>RATE(5,,-J42,N42)</f>
        <v>-2.3879225172283563E-2</v>
      </c>
      <c r="P42" s="104" t="str">
        <f t="shared" si="44"/>
        <v>Acounts Payable</v>
      </c>
      <c r="Q42" s="99">
        <f t="shared" si="45"/>
        <v>3.8346012942180756E-2</v>
      </c>
      <c r="R42" s="99">
        <f t="shared" si="45"/>
        <v>5.7297637854861257E-2</v>
      </c>
      <c r="S42" s="99">
        <f t="shared" si="45"/>
        <v>4.3050268466059138E-2</v>
      </c>
      <c r="T42" s="99">
        <f t="shared" si="45"/>
        <v>3.7318841710607085E-2</v>
      </c>
      <c r="U42" s="99">
        <f t="shared" si="45"/>
        <v>4.6172722897980481E-2</v>
      </c>
      <c r="V42" s="99">
        <f t="shared" si="45"/>
        <v>4.3455337740747953E-2</v>
      </c>
      <c r="W42" s="99">
        <f t="shared" si="45"/>
        <v>4.0624646428286428E-2</v>
      </c>
      <c r="X42" s="99">
        <f t="shared" si="45"/>
        <v>4.8553954207372921E-2</v>
      </c>
      <c r="Y42" s="99">
        <f t="shared" si="45"/>
        <v>7.1606110665361627E-2</v>
      </c>
      <c r="Z42" s="99">
        <f t="shared" si="45"/>
        <v>4.344060407115434E-2</v>
      </c>
      <c r="AA42" s="99"/>
      <c r="AB42" s="99"/>
      <c r="AC42" s="99"/>
      <c r="AD42" s="100">
        <f t="shared" si="46"/>
        <v>5.0400877375711126E-2</v>
      </c>
    </row>
    <row r="43" spans="1:30" x14ac:dyDescent="0.2">
      <c r="A43" s="5" t="s">
        <v>87</v>
      </c>
      <c r="B43" s="89">
        <v>407915</v>
      </c>
      <c r="C43" s="89">
        <v>445689</v>
      </c>
      <c r="D43" s="89">
        <v>495845</v>
      </c>
      <c r="E43" s="89">
        <v>497768</v>
      </c>
      <c r="F43" s="89">
        <v>557497</v>
      </c>
      <c r="G43" s="89">
        <v>595484</v>
      </c>
      <c r="H43" s="89">
        <v>621117</v>
      </c>
      <c r="I43" s="89">
        <v>647998</v>
      </c>
      <c r="J43" s="89">
        <v>715017</v>
      </c>
      <c r="K43" s="89">
        <v>812753</v>
      </c>
      <c r="L43" s="89">
        <v>784442</v>
      </c>
      <c r="M43" s="89">
        <v>1032747</v>
      </c>
      <c r="N43" s="89">
        <v>811207</v>
      </c>
      <c r="O43" s="100">
        <f>RATE(5,,-J43,N43)</f>
        <v>2.5564700980444492E-2</v>
      </c>
      <c r="P43" s="104" t="str">
        <f t="shared" si="44"/>
        <v>Accrued Expenses</v>
      </c>
      <c r="Q43" s="99">
        <f t="shared" si="45"/>
        <v>7.2447930342286922E-3</v>
      </c>
      <c r="R43" s="99">
        <f t="shared" si="45"/>
        <v>7.5015523143179856E-3</v>
      </c>
      <c r="S43" s="99">
        <f t="shared" si="45"/>
        <v>7.984498146244438E-3</v>
      </c>
      <c r="T43" s="99">
        <f t="shared" si="45"/>
        <v>9.0329714855507809E-3</v>
      </c>
      <c r="U43" s="99">
        <f t="shared" si="45"/>
        <v>9.4594655816044159E-3</v>
      </c>
      <c r="V43" s="99">
        <f t="shared" si="45"/>
        <v>9.632983497002201E-3</v>
      </c>
      <c r="W43" s="99">
        <f t="shared" si="45"/>
        <v>9.4481054914549081E-3</v>
      </c>
      <c r="X43" s="99">
        <f t="shared" si="45"/>
        <v>9.4547217522244782E-3</v>
      </c>
      <c r="Y43" s="99">
        <f t="shared" si="45"/>
        <v>7.8219517561362896E-3</v>
      </c>
      <c r="Z43" s="99">
        <f t="shared" si="45"/>
        <v>7.6468474847990828E-3</v>
      </c>
      <c r="AA43" s="99"/>
      <c r="AB43" s="99"/>
      <c r="AC43" s="99"/>
      <c r="AD43" s="100">
        <f t="shared" si="46"/>
        <v>8.6146298030513949E-3</v>
      </c>
    </row>
    <row r="44" spans="1:30" x14ac:dyDescent="0.2">
      <c r="A44" s="22" t="s">
        <v>74</v>
      </c>
      <c r="B44" s="89">
        <v>217516</v>
      </c>
      <c r="C44" s="89">
        <v>503076</v>
      </c>
      <c r="D44" s="89">
        <v>369390</v>
      </c>
      <c r="E44" s="89">
        <v>361566</v>
      </c>
      <c r="F44" s="89">
        <v>333886</v>
      </c>
      <c r="G44" s="89">
        <v>327004</v>
      </c>
      <c r="H44" s="89">
        <v>329665</v>
      </c>
      <c r="I44" s="89">
        <v>348870</v>
      </c>
      <c r="J44" s="89">
        <v>362208</v>
      </c>
      <c r="K44" s="89">
        <v>356819</v>
      </c>
      <c r="L44" s="89">
        <v>392455</v>
      </c>
      <c r="M44" s="89">
        <v>408536</v>
      </c>
      <c r="N44" s="89">
        <v>740100</v>
      </c>
      <c r="O44" s="100">
        <f>RATE(5,,-J44,N44)</f>
        <v>0.153629819102089</v>
      </c>
      <c r="P44" s="104" t="str">
        <f t="shared" si="44"/>
        <v>Customer Deposits</v>
      </c>
      <c r="Q44" s="99">
        <f t="shared" si="45"/>
        <v>3.8632028771515836E-3</v>
      </c>
      <c r="R44" s="99">
        <f t="shared" si="45"/>
        <v>8.4674536102031569E-3</v>
      </c>
      <c r="S44" s="99">
        <f t="shared" si="45"/>
        <v>5.9482172256274295E-3</v>
      </c>
      <c r="T44" s="99">
        <f t="shared" si="45"/>
        <v>6.5613204708712767E-3</v>
      </c>
      <c r="U44" s="99">
        <f t="shared" si="45"/>
        <v>5.6652916969590359E-3</v>
      </c>
      <c r="V44" s="99">
        <f t="shared" si="45"/>
        <v>5.2898552025809386E-3</v>
      </c>
      <c r="W44" s="99">
        <f t="shared" si="45"/>
        <v>5.0146907858591577E-3</v>
      </c>
      <c r="X44" s="99">
        <f t="shared" si="45"/>
        <v>5.0902453058474777E-3</v>
      </c>
      <c r="Y44" s="99">
        <f t="shared" si="45"/>
        <v>3.96238621135807E-3</v>
      </c>
      <c r="Z44" s="99">
        <f t="shared" si="45"/>
        <v>3.3571582912379581E-3</v>
      </c>
      <c r="AA44" s="99"/>
      <c r="AB44" s="99"/>
      <c r="AC44" s="99"/>
      <c r="AD44" s="100">
        <f t="shared" si="46"/>
        <v>4.3793872839096018E-3</v>
      </c>
    </row>
    <row r="45" spans="1:30" x14ac:dyDescent="0.2">
      <c r="A45" s="5" t="s">
        <v>86</v>
      </c>
      <c r="B45" s="89">
        <v>3000000</v>
      </c>
      <c r="C45" s="89"/>
      <c r="D45" s="89"/>
      <c r="E45" s="89"/>
      <c r="F45" s="89"/>
      <c r="G45" s="89"/>
      <c r="H45" s="89"/>
      <c r="I45" s="89">
        <v>1500000</v>
      </c>
      <c r="J45" s="89"/>
      <c r="K45" s="89"/>
      <c r="L45" s="89"/>
      <c r="M45" s="89"/>
      <c r="N45" s="89"/>
      <c r="O45" s="100"/>
      <c r="P45" s="104" t="str">
        <f t="shared" si="44"/>
        <v>Perpetual Line of Credit</v>
      </c>
      <c r="Q45" s="99">
        <f>+B45/B$38</f>
        <v>5.3281637357503589E-2</v>
      </c>
      <c r="R45" s="99"/>
      <c r="S45" s="99"/>
      <c r="T45" s="99"/>
      <c r="U45" s="99"/>
      <c r="V45" s="99"/>
      <c r="W45" s="99"/>
      <c r="X45" s="99">
        <f>+I45/I$38</f>
        <v>2.1885997531376204E-2</v>
      </c>
      <c r="Y45" s="99"/>
      <c r="Z45" s="99"/>
      <c r="AA45" s="99"/>
      <c r="AB45" s="99"/>
      <c r="AC45" s="99"/>
      <c r="AD45" s="100">
        <f t="shared" si="46"/>
        <v>3.8091212083877345E-3</v>
      </c>
    </row>
    <row r="46" spans="1:30" x14ac:dyDescent="0.2">
      <c r="A46" s="5" t="s">
        <v>83</v>
      </c>
      <c r="B46" s="89">
        <f>561420+74289</f>
        <v>635709</v>
      </c>
      <c r="C46" s="105">
        <f>604200+47561</f>
        <v>651761</v>
      </c>
      <c r="D46" s="91">
        <f>40185+592476</f>
        <v>632661</v>
      </c>
      <c r="E46" s="91">
        <f>639634+22223</f>
        <v>661857</v>
      </c>
      <c r="F46" s="105">
        <f>668880+46293</f>
        <v>715173</v>
      </c>
      <c r="G46" s="105">
        <f t="shared" ref="G46" si="47">68423+741938</f>
        <v>810361</v>
      </c>
      <c r="H46" s="105">
        <f>815314+95754</f>
        <v>911068</v>
      </c>
      <c r="I46" s="105">
        <f>765565+106927</f>
        <v>872492</v>
      </c>
      <c r="J46" s="105">
        <f>841018+118492</f>
        <v>959510</v>
      </c>
      <c r="K46" s="105">
        <f>912288+137267</f>
        <v>1049555</v>
      </c>
      <c r="L46" s="105">
        <f>953815+181265</f>
        <v>1135080</v>
      </c>
      <c r="M46" s="105">
        <f>1104316+205926</f>
        <v>1310242</v>
      </c>
      <c r="N46" s="105">
        <f>1228666+245095</f>
        <v>1473761</v>
      </c>
      <c r="O46" s="106">
        <f>RATE(5,,-J46,N46)</f>
        <v>8.9621115829400175E-2</v>
      </c>
      <c r="P46" s="104" t="str">
        <f t="shared" si="44"/>
        <v>Other Current and Accrued Liabilities</v>
      </c>
      <c r="Q46" s="107">
        <f>+B46/B$38</f>
        <v>1.1290538800967084E-2</v>
      </c>
      <c r="R46" s="107">
        <f t="shared" ref="R46:W47" si="48">+C46/C$38</f>
        <v>1.0970024474313264E-2</v>
      </c>
      <c r="S46" s="107">
        <f t="shared" si="48"/>
        <v>1.0187620287995547E-2</v>
      </c>
      <c r="T46" s="107">
        <f t="shared" si="48"/>
        <v>1.2010686521657044E-2</v>
      </c>
      <c r="U46" s="107">
        <f t="shared" si="48"/>
        <v>1.2134871359653548E-2</v>
      </c>
      <c r="V46" s="107">
        <f t="shared" si="48"/>
        <v>1.3108990568368253E-2</v>
      </c>
      <c r="W46" s="107">
        <f t="shared" si="48"/>
        <v>1.3858687773622104E-2</v>
      </c>
      <c r="X46" s="107">
        <f>+I46/I$38</f>
        <v>1.2730238505430324E-2</v>
      </c>
      <c r="Y46" s="107">
        <f>+J46/J$38</f>
        <v>1.0496590891587656E-2</v>
      </c>
      <c r="Z46" s="107">
        <f>+K46/K$38</f>
        <v>9.8748168409200608E-3</v>
      </c>
      <c r="AA46" s="107"/>
      <c r="AB46" s="107"/>
      <c r="AC46" s="107"/>
      <c r="AD46" s="106">
        <f t="shared" si="46"/>
        <v>1.168888772967455E-2</v>
      </c>
    </row>
    <row r="47" spans="1:30" x14ac:dyDescent="0.2">
      <c r="A47" s="5" t="s">
        <v>34</v>
      </c>
      <c r="B47" s="108">
        <f t="shared" ref="B47:I47" si="49">SUM(B40:B46)</f>
        <v>6885903</v>
      </c>
      <c r="C47" s="108">
        <f t="shared" si="49"/>
        <v>5502951</v>
      </c>
      <c r="D47" s="105">
        <f t="shared" si="49"/>
        <v>4700709</v>
      </c>
      <c r="E47" s="105">
        <f t="shared" si="49"/>
        <v>4196786</v>
      </c>
      <c r="F47" s="108">
        <f t="shared" si="49"/>
        <v>5002944</v>
      </c>
      <c r="G47" s="108">
        <f t="shared" ref="G47" si="50">SUM(G40:G46)</f>
        <v>5268300</v>
      </c>
      <c r="H47" s="108">
        <f t="shared" ref="H47" si="51">SUM(H40:H46)</f>
        <v>5379306</v>
      </c>
      <c r="I47" s="108">
        <f t="shared" si="49"/>
        <v>7538137</v>
      </c>
      <c r="J47" s="108">
        <f t="shared" ref="J47:K47" si="52">SUM(J40:J46)</f>
        <v>9518693</v>
      </c>
      <c r="K47" s="108">
        <f t="shared" si="52"/>
        <v>7917900</v>
      </c>
      <c r="L47" s="108">
        <f t="shared" ref="L47:N47" si="53">SUM(L40:L46)</f>
        <v>8178945</v>
      </c>
      <c r="M47" s="108">
        <f t="shared" si="53"/>
        <v>12881459</v>
      </c>
      <c r="N47" s="108">
        <f t="shared" si="53"/>
        <v>12059442</v>
      </c>
      <c r="O47" s="100">
        <f>RATE(5,,-J47,N47)</f>
        <v>4.8455442907393356E-2</v>
      </c>
      <c r="P47" s="104" t="str">
        <f t="shared" si="44"/>
        <v>Total Current Liabilities</v>
      </c>
      <c r="Q47" s="99">
        <f>+B47/B$38</f>
        <v>0.12229739550831535</v>
      </c>
      <c r="R47" s="99">
        <f t="shared" si="48"/>
        <v>9.262215313734122E-2</v>
      </c>
      <c r="S47" s="99">
        <f t="shared" si="48"/>
        <v>7.5694626942965137E-2</v>
      </c>
      <c r="T47" s="99">
        <f t="shared" si="48"/>
        <v>7.6158869732402878E-2</v>
      </c>
      <c r="U47" s="99">
        <f t="shared" si="48"/>
        <v>8.4888665902586591E-2</v>
      </c>
      <c r="V47" s="99">
        <f t="shared" si="48"/>
        <v>8.5223863205823661E-2</v>
      </c>
      <c r="W47" s="99">
        <f t="shared" si="48"/>
        <v>8.182717677799245E-2</v>
      </c>
      <c r="X47" s="99">
        <f>+I47/I$38</f>
        <v>0.10998643184878375</v>
      </c>
      <c r="Y47" s="99">
        <f>+J47/J$38</f>
        <v>0.10413005205117111</v>
      </c>
      <c r="Z47" s="99">
        <f>+K47/K$38</f>
        <v>7.4496155289356866E-2</v>
      </c>
      <c r="AA47" s="99"/>
      <c r="AB47" s="99"/>
      <c r="AC47" s="99"/>
      <c r="AD47" s="100">
        <f t="shared" si="46"/>
        <v>9.0459863699942605E-2</v>
      </c>
    </row>
    <row r="48" spans="1:30" x14ac:dyDescent="0.2">
      <c r="A48" s="5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100"/>
      <c r="P48" s="104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104"/>
    </row>
    <row r="49" spans="1:30" x14ac:dyDescent="0.2">
      <c r="A49" s="5" t="s">
        <v>51</v>
      </c>
      <c r="B49" s="89">
        <v>8301033</v>
      </c>
      <c r="C49" s="89">
        <v>8294453</v>
      </c>
      <c r="D49" s="89">
        <v>7765150</v>
      </c>
      <c r="E49" s="89">
        <v>9146007</v>
      </c>
      <c r="F49" s="89">
        <v>8470197</v>
      </c>
      <c r="G49" s="89">
        <v>9654960</v>
      </c>
      <c r="H49" s="89">
        <v>8816948</v>
      </c>
      <c r="I49" s="89">
        <v>7982352</v>
      </c>
      <c r="J49" s="89">
        <v>22923408</v>
      </c>
      <c r="K49" s="89">
        <v>29840894</v>
      </c>
      <c r="L49" s="89">
        <v>40518493</v>
      </c>
      <c r="M49" s="89">
        <v>39214427</v>
      </c>
      <c r="N49" s="89">
        <v>47466649</v>
      </c>
      <c r="O49" s="100">
        <f>RATE(5,,-J49,N49)</f>
        <v>0.15670304203940477</v>
      </c>
      <c r="P49" s="104" t="str">
        <f t="shared" ref="P49:P55" si="54">+A49</f>
        <v>Long-Term Debt</v>
      </c>
      <c r="Q49" s="99">
        <f t="shared" ref="Q49:Z49" si="55">+B49/B$38</f>
        <v>0.14743087666622337</v>
      </c>
      <c r="R49" s="99">
        <f t="shared" si="55"/>
        <v>0.1396069301646479</v>
      </c>
      <c r="S49" s="99">
        <f t="shared" si="55"/>
        <v>0.12504074011094193</v>
      </c>
      <c r="T49" s="99">
        <f t="shared" si="55"/>
        <v>0.16597214051053472</v>
      </c>
      <c r="U49" s="99">
        <f t="shared" si="55"/>
        <v>0.14372012224444072</v>
      </c>
      <c r="V49" s="99">
        <f t="shared" si="55"/>
        <v>0.15618567475232983</v>
      </c>
      <c r="W49" s="99">
        <f t="shared" si="55"/>
        <v>0.13411878086845533</v>
      </c>
      <c r="X49" s="99">
        <f t="shared" si="55"/>
        <v>0.1164678241110506</v>
      </c>
      <c r="Y49" s="99">
        <f t="shared" si="55"/>
        <v>0.25077136832023389</v>
      </c>
      <c r="Z49" s="99">
        <f t="shared" si="55"/>
        <v>0.2807602866160519</v>
      </c>
      <c r="AA49" s="99"/>
      <c r="AB49" s="99"/>
      <c r="AC49" s="99"/>
      <c r="AD49" s="100">
        <f>SUM(G49:K49)/SUM(G$38:K$38)</f>
        <v>0.20116873640811911</v>
      </c>
    </row>
    <row r="50" spans="1:30" x14ac:dyDescent="0.2">
      <c r="A50" s="5" t="s">
        <v>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100"/>
      <c r="P50" s="104" t="str">
        <f t="shared" si="54"/>
        <v>Deferred Income Taxes</v>
      </c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104"/>
    </row>
    <row r="51" spans="1:30" x14ac:dyDescent="0.2">
      <c r="A51" s="5" t="s">
        <v>93</v>
      </c>
      <c r="B51" s="89">
        <v>6135014</v>
      </c>
      <c r="C51" s="89">
        <v>9185487</v>
      </c>
      <c r="D51" s="89">
        <v>10717753</v>
      </c>
      <c r="E51" s="89">
        <v>1272379</v>
      </c>
      <c r="F51" s="89">
        <v>3313659</v>
      </c>
      <c r="G51" s="89">
        <v>2669833</v>
      </c>
      <c r="H51" s="89">
        <v>3823863</v>
      </c>
      <c r="I51" s="89">
        <v>3372674</v>
      </c>
      <c r="J51" s="89">
        <v>5142666</v>
      </c>
      <c r="K51" s="89">
        <v>7551369</v>
      </c>
      <c r="L51" s="89">
        <v>6938393</v>
      </c>
      <c r="M51" s="89">
        <v>6877994</v>
      </c>
      <c r="N51" s="89">
        <v>4710188</v>
      </c>
      <c r="O51" s="100">
        <f>RATE(5,,-J51,N51)</f>
        <v>-1.7415329128132432E-2</v>
      </c>
      <c r="P51" s="104" t="str">
        <f t="shared" si="54"/>
        <v>Customer Advances for Construction</v>
      </c>
      <c r="Q51" s="99">
        <f t="shared" ref="Q51:Z52" si="56">+B51/B$38</f>
        <v>0.10896119704373584</v>
      </c>
      <c r="R51" s="99">
        <f t="shared" si="56"/>
        <v>0.15460424480520671</v>
      </c>
      <c r="S51" s="99">
        <f t="shared" si="56"/>
        <v>0.17258594714155787</v>
      </c>
      <c r="T51" s="99">
        <f t="shared" si="56"/>
        <v>2.3089799315772843E-2</v>
      </c>
      <c r="U51" s="99">
        <f t="shared" si="56"/>
        <v>5.6225312888990804E-2</v>
      </c>
      <c r="V51" s="99">
        <f t="shared" si="56"/>
        <v>4.3189165836112937E-2</v>
      </c>
      <c r="W51" s="99">
        <f t="shared" si="56"/>
        <v>5.8166595035832609E-2</v>
      </c>
      <c r="X51" s="99">
        <f t="shared" si="56"/>
        <v>4.9209556558757805E-2</v>
      </c>
      <c r="Y51" s="99">
        <f t="shared" si="56"/>
        <v>5.6258362178692803E-2</v>
      </c>
      <c r="Z51" s="99">
        <f t="shared" si="56"/>
        <v>7.104762091858137E-2</v>
      </c>
      <c r="AA51" s="99"/>
      <c r="AB51" s="99"/>
      <c r="AC51" s="99"/>
      <c r="AD51" s="100">
        <f>SUM(G51:K51)/SUM(G$38:K$38)</f>
        <v>5.7290211436877791E-2</v>
      </c>
    </row>
    <row r="52" spans="1:30" x14ac:dyDescent="0.2">
      <c r="A52" s="5" t="s">
        <v>94</v>
      </c>
      <c r="B52" s="89">
        <v>17968453</v>
      </c>
      <c r="C52" s="89">
        <v>18062692</v>
      </c>
      <c r="D52" s="89">
        <v>18668208</v>
      </c>
      <c r="E52" s="89">
        <v>19226793</v>
      </c>
      <c r="F52" s="89">
        <v>20220814</v>
      </c>
      <c r="G52" s="89">
        <v>21524636</v>
      </c>
      <c r="H52" s="89">
        <v>23091709</v>
      </c>
      <c r="I52" s="89">
        <v>25412240</v>
      </c>
      <c r="J52" s="89">
        <v>28362100</v>
      </c>
      <c r="K52" s="89">
        <v>32756230</v>
      </c>
      <c r="L52" s="89">
        <v>36617211</v>
      </c>
      <c r="M52" s="89">
        <v>40895714</v>
      </c>
      <c r="N52" s="89">
        <v>45735023</v>
      </c>
      <c r="O52" s="100">
        <f>RATE(5,,-J52,N52)</f>
        <v>0.1002771746583403</v>
      </c>
      <c r="P52" s="104" t="str">
        <f t="shared" si="54"/>
        <v>Deferred Revenue - Impact Fees</v>
      </c>
      <c r="Q52" s="99">
        <f t="shared" si="56"/>
        <v>0.31912953220711582</v>
      </c>
      <c r="R52" s="99">
        <f t="shared" si="56"/>
        <v>0.30401968407434998</v>
      </c>
      <c r="S52" s="99">
        <f t="shared" si="56"/>
        <v>0.30061061857980942</v>
      </c>
      <c r="T52" s="99">
        <f t="shared" si="56"/>
        <v>0.34890766969268283</v>
      </c>
      <c r="U52" s="99">
        <f t="shared" si="56"/>
        <v>0.34310156658246538</v>
      </c>
      <c r="V52" s="99">
        <f t="shared" si="56"/>
        <v>0.34819821081167501</v>
      </c>
      <c r="W52" s="99">
        <f t="shared" si="56"/>
        <v>0.35125894575414734</v>
      </c>
      <c r="X52" s="99">
        <f t="shared" si="56"/>
        <v>0.37078148127115973</v>
      </c>
      <c r="Y52" s="99">
        <f t="shared" si="56"/>
        <v>0.31026811656605796</v>
      </c>
      <c r="Z52" s="99">
        <f t="shared" si="56"/>
        <v>0.30818944376335772</v>
      </c>
      <c r="AA52" s="99"/>
      <c r="AB52" s="99"/>
      <c r="AC52" s="99"/>
      <c r="AD52" s="100">
        <f>SUM(G52:K52)/SUM(G$38:K$38)</f>
        <v>0.33303633022741569</v>
      </c>
    </row>
    <row r="53" spans="1:30" x14ac:dyDescent="0.2">
      <c r="A53" s="5" t="s">
        <v>152</v>
      </c>
      <c r="B53" s="89">
        <v>0</v>
      </c>
      <c r="C53" s="89">
        <v>0</v>
      </c>
      <c r="D53" s="89">
        <v>0</v>
      </c>
      <c r="E53" s="89">
        <v>0</v>
      </c>
      <c r="F53" s="89">
        <v>0</v>
      </c>
      <c r="G53" s="89">
        <v>0</v>
      </c>
      <c r="H53" s="89">
        <v>1131551</v>
      </c>
      <c r="I53" s="89">
        <v>729169</v>
      </c>
      <c r="J53" s="89"/>
      <c r="K53" s="89"/>
      <c r="L53" s="89"/>
      <c r="M53" s="89"/>
      <c r="N53" s="89"/>
      <c r="O53" s="100"/>
      <c r="P53" s="104" t="str">
        <f t="shared" si="54"/>
        <v>Deferred Revenue - Grants</v>
      </c>
      <c r="Q53" s="99">
        <f t="shared" ref="Q53:T55" si="57">+B53/B$38</f>
        <v>0</v>
      </c>
      <c r="R53" s="99">
        <f t="shared" si="57"/>
        <v>0</v>
      </c>
      <c r="S53" s="99">
        <f t="shared" si="57"/>
        <v>0</v>
      </c>
      <c r="T53" s="99">
        <f t="shared" si="57"/>
        <v>0</v>
      </c>
      <c r="U53" s="99"/>
      <c r="V53" s="99"/>
      <c r="W53" s="99">
        <f t="shared" ref="W53:X55" si="58">+H53/H$38</f>
        <v>1.72125593357794E-2</v>
      </c>
      <c r="X53" s="99">
        <f t="shared" si="58"/>
        <v>1.0639060622637369E-2</v>
      </c>
      <c r="Y53" s="99"/>
      <c r="Z53" s="99"/>
      <c r="AA53" s="99"/>
      <c r="AB53" s="99"/>
      <c r="AC53" s="99"/>
      <c r="AD53" s="100">
        <f>SUM(G53:K53)/SUM(G$38:K$38)</f>
        <v>4.7251386765808168E-3</v>
      </c>
    </row>
    <row r="54" spans="1:30" x14ac:dyDescent="0.2">
      <c r="A54" s="5" t="s">
        <v>52</v>
      </c>
      <c r="B54" s="89">
        <v>156909</v>
      </c>
      <c r="C54" s="105">
        <v>136878</v>
      </c>
      <c r="D54" s="91">
        <v>116847</v>
      </c>
      <c r="E54" s="91">
        <v>96816</v>
      </c>
      <c r="F54" s="105">
        <v>76785</v>
      </c>
      <c r="G54" s="105">
        <v>56754</v>
      </c>
      <c r="H54" s="105">
        <v>36723</v>
      </c>
      <c r="I54" s="105">
        <v>16692</v>
      </c>
      <c r="J54" s="105"/>
      <c r="K54" s="105"/>
      <c r="L54" s="105"/>
      <c r="M54" s="105"/>
      <c r="N54" s="105"/>
      <c r="O54" s="106"/>
      <c r="P54" s="104" t="str">
        <f t="shared" si="54"/>
        <v>Other Deferred Credits</v>
      </c>
      <c r="Q54" s="107">
        <f t="shared" si="57"/>
        <v>2.7867894787095104E-3</v>
      </c>
      <c r="R54" s="107">
        <f t="shared" si="57"/>
        <v>2.3038429884498324E-3</v>
      </c>
      <c r="S54" s="107">
        <f t="shared" si="57"/>
        <v>1.8815651159015899E-3</v>
      </c>
      <c r="T54" s="107">
        <f t="shared" si="57"/>
        <v>1.7569152041615459E-3</v>
      </c>
      <c r="U54" s="107">
        <f>+F54/F$38</f>
        <v>1.3028681135207813E-3</v>
      </c>
      <c r="V54" s="107">
        <f>+G54/G$38</f>
        <v>9.1809409721984626E-4</v>
      </c>
      <c r="W54" s="107">
        <f t="shared" si="58"/>
        <v>5.5861098305584709E-4</v>
      </c>
      <c r="X54" s="107">
        <f t="shared" si="58"/>
        <v>2.435473805291544E-4</v>
      </c>
      <c r="Y54" s="107"/>
      <c r="Z54" s="107"/>
      <c r="AA54" s="107"/>
      <c r="AB54" s="107"/>
      <c r="AC54" s="107"/>
      <c r="AD54" s="106">
        <f>SUM(G54:K54)/SUM(G$38:K$38)</f>
        <v>2.7976471627124555E-4</v>
      </c>
    </row>
    <row r="55" spans="1:30" x14ac:dyDescent="0.2">
      <c r="A55" s="21" t="s">
        <v>53</v>
      </c>
      <c r="B55" s="108">
        <f t="shared" ref="B55:I55" si="59">SUM(B49:B54)</f>
        <v>32561409</v>
      </c>
      <c r="C55" s="108">
        <f t="shared" si="59"/>
        <v>35679510</v>
      </c>
      <c r="D55" s="105">
        <f t="shared" si="59"/>
        <v>37267958</v>
      </c>
      <c r="E55" s="105">
        <f t="shared" si="59"/>
        <v>29741995</v>
      </c>
      <c r="F55" s="108">
        <f t="shared" si="59"/>
        <v>32081455</v>
      </c>
      <c r="G55" s="108">
        <f t="shared" ref="G55" si="60">SUM(G49:G54)</f>
        <v>33906183</v>
      </c>
      <c r="H55" s="108">
        <f t="shared" ref="H55" si="61">SUM(H49:H54)</f>
        <v>36900794</v>
      </c>
      <c r="I55" s="108">
        <f t="shared" si="59"/>
        <v>37513127</v>
      </c>
      <c r="J55" s="108">
        <f t="shared" ref="J55:K55" si="62">SUM(J49:J54)</f>
        <v>56428174</v>
      </c>
      <c r="K55" s="108">
        <f t="shared" si="62"/>
        <v>70148493</v>
      </c>
      <c r="L55" s="108">
        <f t="shared" ref="L55:N55" si="63">SUM(L49:L54)</f>
        <v>84074097</v>
      </c>
      <c r="M55" s="108">
        <f t="shared" si="63"/>
        <v>86988135</v>
      </c>
      <c r="N55" s="108">
        <f t="shared" si="63"/>
        <v>97911860</v>
      </c>
      <c r="O55" s="100">
        <f>RATE(5,,-J55,N55)</f>
        <v>0.11652348067738839</v>
      </c>
      <c r="P55" s="104" t="str">
        <f t="shared" si="54"/>
        <v>Total LTD &amp; Deferrals</v>
      </c>
      <c r="Q55" s="99">
        <f t="shared" si="57"/>
        <v>0.57830839539578449</v>
      </c>
      <c r="R55" s="99">
        <f t="shared" si="57"/>
        <v>0.60053470203265447</v>
      </c>
      <c r="S55" s="99">
        <f t="shared" si="57"/>
        <v>0.60011887094821081</v>
      </c>
      <c r="T55" s="99">
        <f t="shared" si="57"/>
        <v>0.53972652472315197</v>
      </c>
      <c r="U55" s="99">
        <f>+F55/F$38</f>
        <v>0.54434986982941769</v>
      </c>
      <c r="V55" s="99">
        <f>+G55/G$38</f>
        <v>0.54849114549733757</v>
      </c>
      <c r="W55" s="99">
        <f t="shared" si="58"/>
        <v>0.56131549197727049</v>
      </c>
      <c r="X55" s="99">
        <f t="shared" si="58"/>
        <v>0.54734146994413468</v>
      </c>
      <c r="Y55" s="99">
        <f>+J55/J$38</f>
        <v>0.61729784706498469</v>
      </c>
      <c r="Z55" s="99">
        <f>+K55/K$38</f>
        <v>0.65999735129799098</v>
      </c>
      <c r="AA55" s="99"/>
      <c r="AB55" s="99"/>
      <c r="AC55" s="99"/>
      <c r="AD55" s="100">
        <f>SUM(G55:K55)/SUM(G$38:K$38)</f>
        <v>0.59650018146526462</v>
      </c>
    </row>
    <row r="56" spans="1:30" ht="7.5" customHeight="1" x14ac:dyDescent="0.2">
      <c r="A56" s="21"/>
      <c r="B56" s="89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0"/>
      <c r="P56" s="104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4"/>
    </row>
    <row r="57" spans="1:30" x14ac:dyDescent="0.2">
      <c r="A57" s="5" t="s">
        <v>35</v>
      </c>
      <c r="B57" s="89">
        <f t="shared" ref="B57:I57" si="64">B55+B47</f>
        <v>39447312</v>
      </c>
      <c r="C57" s="89">
        <f t="shared" si="64"/>
        <v>41182461</v>
      </c>
      <c r="D57" s="89">
        <f t="shared" si="64"/>
        <v>41968667</v>
      </c>
      <c r="E57" s="89">
        <f t="shared" si="64"/>
        <v>33938781</v>
      </c>
      <c r="F57" s="89">
        <f t="shared" si="64"/>
        <v>37084399</v>
      </c>
      <c r="G57" s="89">
        <f t="shared" ref="G57:H57" si="65">G55+G47</f>
        <v>39174483</v>
      </c>
      <c r="H57" s="89">
        <f t="shared" si="65"/>
        <v>42280100</v>
      </c>
      <c r="I57" s="89">
        <f t="shared" si="64"/>
        <v>45051264</v>
      </c>
      <c r="J57" s="89">
        <f t="shared" ref="J57:K57" si="66">J55+J47</f>
        <v>65946867</v>
      </c>
      <c r="K57" s="89">
        <f t="shared" si="66"/>
        <v>78066393</v>
      </c>
      <c r="L57" s="89">
        <f t="shared" ref="L57:N57" si="67">L55+L47</f>
        <v>92253042</v>
      </c>
      <c r="M57" s="89">
        <f t="shared" si="67"/>
        <v>99869594</v>
      </c>
      <c r="N57" s="89">
        <f t="shared" si="67"/>
        <v>109971302</v>
      </c>
      <c r="O57" s="100">
        <f>RATE(5,,-J57,N57)</f>
        <v>0.10768695154650343</v>
      </c>
      <c r="P57" s="104" t="str">
        <f>+A57</f>
        <v>Total Liabilities</v>
      </c>
      <c r="Q57" s="99">
        <f t="shared" ref="Q57:Z57" si="68">+B57/B$38</f>
        <v>0.70060579090409991</v>
      </c>
      <c r="R57" s="99">
        <f t="shared" si="68"/>
        <v>0.6931568551699957</v>
      </c>
      <c r="S57" s="99">
        <f t="shared" si="68"/>
        <v>0.67581349789117595</v>
      </c>
      <c r="T57" s="99">
        <f t="shared" si="68"/>
        <v>0.61588539445555479</v>
      </c>
      <c r="U57" s="99">
        <f t="shared" si="68"/>
        <v>0.62923853573200428</v>
      </c>
      <c r="V57" s="99">
        <f t="shared" si="68"/>
        <v>0.63371500870316122</v>
      </c>
      <c r="W57" s="99">
        <f t="shared" si="68"/>
        <v>0.64314266875526294</v>
      </c>
      <c r="X57" s="99">
        <f t="shared" si="68"/>
        <v>0.65732790179291845</v>
      </c>
      <c r="Y57" s="99">
        <f t="shared" si="68"/>
        <v>0.72142789911615579</v>
      </c>
      <c r="Z57" s="99">
        <f t="shared" si="68"/>
        <v>0.73449350658734791</v>
      </c>
      <c r="AA57" s="99"/>
      <c r="AB57" s="99"/>
      <c r="AC57" s="99"/>
      <c r="AD57" s="100">
        <f>SUM(G57:K57)/SUM(G$38:K$38)</f>
        <v>0.68696004516520726</v>
      </c>
    </row>
    <row r="58" spans="1:30" ht="7.5" customHeight="1" x14ac:dyDescent="0.2">
      <c r="A58" s="5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100"/>
      <c r="P58" s="104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104"/>
    </row>
    <row r="59" spans="1:30" hidden="1" x14ac:dyDescent="0.2">
      <c r="A59" s="5" t="s">
        <v>84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100"/>
      <c r="P59" s="104" t="str">
        <f>+A59</f>
        <v>Other Deferred Credit</v>
      </c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104"/>
    </row>
    <row r="60" spans="1:30" ht="7.5" hidden="1" customHeight="1" x14ac:dyDescent="0.2">
      <c r="A60" s="5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100"/>
      <c r="P60" s="104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104"/>
    </row>
    <row r="61" spans="1:30" x14ac:dyDescent="0.2">
      <c r="A61" s="6" t="s">
        <v>55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100"/>
      <c r="P61" s="103" t="str">
        <f t="shared" ref="P61:P66" si="69">+A61</f>
        <v>Common Equity:</v>
      </c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104"/>
    </row>
    <row r="62" spans="1:30" x14ac:dyDescent="0.2">
      <c r="A62" s="5" t="s">
        <v>92</v>
      </c>
      <c r="B62" s="89">
        <v>8595</v>
      </c>
      <c r="C62" s="89">
        <v>8595</v>
      </c>
      <c r="D62" s="89">
        <v>8595</v>
      </c>
      <c r="E62" s="89">
        <v>8595</v>
      </c>
      <c r="F62" s="89">
        <v>8595</v>
      </c>
      <c r="G62" s="89">
        <v>8595</v>
      </c>
      <c r="H62" s="89">
        <v>8595</v>
      </c>
      <c r="I62" s="89">
        <v>8595</v>
      </c>
      <c r="J62" s="89">
        <v>8595</v>
      </c>
      <c r="K62" s="89">
        <v>8595</v>
      </c>
      <c r="L62" s="89">
        <v>8595</v>
      </c>
      <c r="M62" s="89">
        <v>8595</v>
      </c>
      <c r="N62" s="89">
        <v>8595</v>
      </c>
      <c r="O62" s="100">
        <f t="shared" ref="O62" si="70">RATE(5,,-I62,N62)</f>
        <v>2.1174698793272619E-16</v>
      </c>
      <c r="P62" s="104" t="str">
        <f t="shared" si="69"/>
        <v>Memberships</v>
      </c>
      <c r="Q62" s="99">
        <f t="shared" ref="Q62:Z66" si="71">+B62/B$38</f>
        <v>1.5265189102924779E-4</v>
      </c>
      <c r="R62" s="99">
        <f t="shared" si="71"/>
        <v>1.4466554512577849E-4</v>
      </c>
      <c r="S62" s="99">
        <f t="shared" si="71"/>
        <v>1.3840365752799957E-4</v>
      </c>
      <c r="T62" s="99">
        <f t="shared" si="71"/>
        <v>1.5597304350281447E-4</v>
      </c>
      <c r="U62" s="99">
        <f t="shared" si="71"/>
        <v>1.4583774742086495E-4</v>
      </c>
      <c r="V62" s="99">
        <f t="shared" si="71"/>
        <v>1.3903898871629451E-4</v>
      </c>
      <c r="W62" s="99">
        <f t="shared" si="71"/>
        <v>1.3074262449595637E-4</v>
      </c>
      <c r="X62" s="99">
        <f t="shared" si="71"/>
        <v>1.2540676585478565E-4</v>
      </c>
      <c r="Y62" s="99">
        <f t="shared" si="71"/>
        <v>9.4025282397469445E-5</v>
      </c>
      <c r="Z62" s="99">
        <f t="shared" si="71"/>
        <v>8.0866701361727506E-5</v>
      </c>
      <c r="AA62" s="99"/>
      <c r="AB62" s="99"/>
      <c r="AC62" s="99"/>
      <c r="AD62" s="100">
        <f>SUM(G62:K62)/SUM(G$38:K$38)</f>
        <v>1.091313226203086E-4</v>
      </c>
    </row>
    <row r="63" spans="1:30" x14ac:dyDescent="0.2">
      <c r="A63" s="19" t="s">
        <v>70</v>
      </c>
      <c r="B63" s="89">
        <v>8062822</v>
      </c>
      <c r="C63" s="89">
        <v>8359631</v>
      </c>
      <c r="D63" s="89">
        <v>9107936</v>
      </c>
      <c r="E63" s="89">
        <v>10261482</v>
      </c>
      <c r="F63" s="89">
        <v>10954960</v>
      </c>
      <c r="G63" s="89">
        <v>11402983</v>
      </c>
      <c r="H63" s="89">
        <v>12152503</v>
      </c>
      <c r="I63" s="89">
        <v>13588931</v>
      </c>
      <c r="J63" s="89">
        <v>12946483</v>
      </c>
      <c r="K63" s="89">
        <v>14835116</v>
      </c>
      <c r="L63" s="89">
        <v>17278767</v>
      </c>
      <c r="M63" s="89">
        <v>22387606</v>
      </c>
      <c r="N63" s="89">
        <v>24910698</v>
      </c>
      <c r="O63" s="100">
        <f>RATE(5,,-J63,N63)</f>
        <v>0.13984767641796333</v>
      </c>
      <c r="P63" s="104" t="str">
        <f t="shared" si="69"/>
        <v>Patrons Capital</v>
      </c>
      <c r="Q63" s="99">
        <f t="shared" si="71"/>
        <v>0.14320011929403392</v>
      </c>
      <c r="R63" s="99">
        <f t="shared" si="71"/>
        <v>0.14070396459166454</v>
      </c>
      <c r="S63" s="99">
        <f t="shared" si="71"/>
        <v>0.14666336881104575</v>
      </c>
      <c r="T63" s="99">
        <f t="shared" si="71"/>
        <v>0.18621461063285025</v>
      </c>
      <c r="U63" s="99">
        <f t="shared" si="71"/>
        <v>0.18588094118507023</v>
      </c>
      <c r="V63" s="99">
        <f t="shared" si="71"/>
        <v>0.18446296971135523</v>
      </c>
      <c r="W63" s="99">
        <f t="shared" si="71"/>
        <v>0.1848574911477584</v>
      </c>
      <c r="X63" s="99">
        <f t="shared" si="71"/>
        <v>0.19827154021336105</v>
      </c>
      <c r="Y63" s="99">
        <f t="shared" si="71"/>
        <v>0.14162847238266871</v>
      </c>
      <c r="Z63" s="99">
        <f t="shared" si="71"/>
        <v>0.13957730020227871</v>
      </c>
      <c r="AA63" s="99"/>
      <c r="AB63" s="99"/>
      <c r="AC63" s="99"/>
      <c r="AD63" s="100">
        <f>SUM(G63:K63)/SUM(G$38:K$38)</f>
        <v>0.16487404301448094</v>
      </c>
    </row>
    <row r="64" spans="1:30" x14ac:dyDescent="0.2">
      <c r="A64" s="19" t="s">
        <v>151</v>
      </c>
      <c r="B64" s="89">
        <v>8785847</v>
      </c>
      <c r="C64" s="89">
        <v>9862216</v>
      </c>
      <c r="D64" s="89">
        <v>11015762</v>
      </c>
      <c r="E64" s="89">
        <v>10896818</v>
      </c>
      <c r="F64" s="89">
        <v>10887405</v>
      </c>
      <c r="G64" s="89">
        <v>11231132</v>
      </c>
      <c r="H64" s="89">
        <v>11298648</v>
      </c>
      <c r="I64" s="89">
        <v>9888182</v>
      </c>
      <c r="J64" s="89">
        <v>12509639</v>
      </c>
      <c r="K64" s="89">
        <v>13375918</v>
      </c>
      <c r="L64" s="89">
        <v>16133761</v>
      </c>
      <c r="M64" s="89">
        <v>13732373</v>
      </c>
      <c r="N64" s="89">
        <v>13418182</v>
      </c>
      <c r="O64" s="106">
        <f>RATE(5,,-J64,N64)</f>
        <v>1.4121009852859462E-2</v>
      </c>
      <c r="P64" s="104" t="str">
        <f t="shared" si="69"/>
        <v>Other Equity</v>
      </c>
      <c r="Q64" s="107">
        <f t="shared" si="71"/>
        <v>0.15604143791083694</v>
      </c>
      <c r="R64" s="107">
        <f t="shared" si="71"/>
        <v>0.16599451469321402</v>
      </c>
      <c r="S64" s="107">
        <f t="shared" si="71"/>
        <v>0.17738472964025032</v>
      </c>
      <c r="T64" s="107">
        <f t="shared" si="71"/>
        <v>0.19774402186809215</v>
      </c>
      <c r="U64" s="107">
        <f t="shared" si="71"/>
        <v>0.18473468533550461</v>
      </c>
      <c r="V64" s="107">
        <f t="shared" si="71"/>
        <v>0.18168298259676721</v>
      </c>
      <c r="W64" s="107">
        <f t="shared" si="71"/>
        <v>0.17186909747248266</v>
      </c>
      <c r="X64" s="107">
        <f t="shared" si="71"/>
        <v>0.14427515122786574</v>
      </c>
      <c r="Y64" s="107">
        <f t="shared" si="71"/>
        <v>0.13684960321877804</v>
      </c>
      <c r="Z64" s="107">
        <f t="shared" si="71"/>
        <v>0.1258483265090117</v>
      </c>
      <c r="AA64" s="107"/>
      <c r="AB64" s="107"/>
      <c r="AC64" s="107"/>
      <c r="AD64" s="106">
        <f>SUM(G64:K64)/SUM(G$38:K$38)</f>
        <v>0.1480567804976915</v>
      </c>
    </row>
    <row r="65" spans="1:30" x14ac:dyDescent="0.2">
      <c r="A65" s="5" t="s">
        <v>77</v>
      </c>
      <c r="B65" s="108">
        <f t="shared" ref="B65:I65" si="72">SUM(B61:B64)</f>
        <v>16857264</v>
      </c>
      <c r="C65" s="108">
        <f t="shared" si="72"/>
        <v>18230442</v>
      </c>
      <c r="D65" s="108">
        <f t="shared" si="72"/>
        <v>20132293</v>
      </c>
      <c r="E65" s="108">
        <f t="shared" si="72"/>
        <v>21166895</v>
      </c>
      <c r="F65" s="108">
        <f t="shared" si="72"/>
        <v>21850960</v>
      </c>
      <c r="G65" s="108">
        <f t="shared" ref="G65" si="73">SUM(G61:G64)</f>
        <v>22642710</v>
      </c>
      <c r="H65" s="108">
        <f t="shared" ref="H65" si="74">SUM(H61:H64)</f>
        <v>23459746</v>
      </c>
      <c r="I65" s="108">
        <f t="shared" si="72"/>
        <v>23485708</v>
      </c>
      <c r="J65" s="108">
        <f t="shared" ref="J65:K65" si="75">SUM(J61:J64)</f>
        <v>25464717</v>
      </c>
      <c r="K65" s="108">
        <f t="shared" si="75"/>
        <v>28219629</v>
      </c>
      <c r="L65" s="108">
        <f t="shared" ref="L65:N65" si="76">SUM(L61:L64)</f>
        <v>33421123</v>
      </c>
      <c r="M65" s="108">
        <f t="shared" si="76"/>
        <v>36128574</v>
      </c>
      <c r="N65" s="108">
        <f t="shared" si="76"/>
        <v>38337475</v>
      </c>
      <c r="O65" s="112">
        <f>RATE(5,,-J65,N65)</f>
        <v>8.526783175190368E-2</v>
      </c>
      <c r="P65" s="104" t="str">
        <f t="shared" si="69"/>
        <v>Total Patronage Equity</v>
      </c>
      <c r="Q65" s="107">
        <f t="shared" si="71"/>
        <v>0.29939420909590014</v>
      </c>
      <c r="R65" s="107">
        <f t="shared" si="71"/>
        <v>0.30684314483000436</v>
      </c>
      <c r="S65" s="107">
        <f t="shared" si="71"/>
        <v>0.3241865021088241</v>
      </c>
      <c r="T65" s="107">
        <f t="shared" si="71"/>
        <v>0.38411460554444521</v>
      </c>
      <c r="U65" s="107">
        <f t="shared" si="71"/>
        <v>0.37076146426799572</v>
      </c>
      <c r="V65" s="107">
        <f t="shared" si="71"/>
        <v>0.36628499129683872</v>
      </c>
      <c r="W65" s="107">
        <f t="shared" si="71"/>
        <v>0.35685733124473701</v>
      </c>
      <c r="X65" s="107">
        <f t="shared" si="71"/>
        <v>0.34267209820708155</v>
      </c>
      <c r="Y65" s="107">
        <f t="shared" si="71"/>
        <v>0.27857210088384421</v>
      </c>
      <c r="Z65" s="107">
        <f t="shared" si="71"/>
        <v>0.26550649341265214</v>
      </c>
      <c r="AA65" s="107"/>
      <c r="AB65" s="107"/>
      <c r="AC65" s="107"/>
      <c r="AD65" s="106">
        <f>SUM(G65:K65)/SUM(G$38:K$38)</f>
        <v>0.31303995483479274</v>
      </c>
    </row>
    <row r="66" spans="1:30" ht="13.5" thickBot="1" x14ac:dyDescent="0.25">
      <c r="A66" s="5" t="s">
        <v>36</v>
      </c>
      <c r="B66" s="113">
        <f t="shared" ref="B66:I66" si="77">B65+B57+B59</f>
        <v>56304576</v>
      </c>
      <c r="C66" s="113">
        <f t="shared" si="77"/>
        <v>59412903</v>
      </c>
      <c r="D66" s="113">
        <f t="shared" si="77"/>
        <v>62100960</v>
      </c>
      <c r="E66" s="113">
        <f t="shared" si="77"/>
        <v>55105676</v>
      </c>
      <c r="F66" s="113">
        <f t="shared" si="77"/>
        <v>58935359</v>
      </c>
      <c r="G66" s="113">
        <f t="shared" ref="G66" si="78">G65+G57+G59</f>
        <v>61817193</v>
      </c>
      <c r="H66" s="113">
        <f t="shared" ref="H66" si="79">H65+H57+H59</f>
        <v>65739846</v>
      </c>
      <c r="I66" s="113">
        <f t="shared" si="77"/>
        <v>68536972</v>
      </c>
      <c r="J66" s="113">
        <f t="shared" ref="J66:K66" si="80">J65+J57+J59</f>
        <v>91411584</v>
      </c>
      <c r="K66" s="113">
        <f t="shared" si="80"/>
        <v>106286022</v>
      </c>
      <c r="L66" s="113">
        <f t="shared" ref="L66:N66" si="81">L65+L57+L59</f>
        <v>125674165</v>
      </c>
      <c r="M66" s="113">
        <f t="shared" si="81"/>
        <v>135998168</v>
      </c>
      <c r="N66" s="113">
        <f t="shared" si="81"/>
        <v>148308777</v>
      </c>
      <c r="O66" s="114">
        <f>RATE(5,,-J66,N66)</f>
        <v>0.10162332757037863</v>
      </c>
      <c r="P66" s="104" t="str">
        <f t="shared" si="69"/>
        <v>Total Liabilities &amp; Equity</v>
      </c>
      <c r="Q66" s="115">
        <f t="shared" si="71"/>
        <v>1</v>
      </c>
      <c r="R66" s="115">
        <f t="shared" si="71"/>
        <v>1</v>
      </c>
      <c r="S66" s="115">
        <f t="shared" si="71"/>
        <v>1</v>
      </c>
      <c r="T66" s="115">
        <f t="shared" si="71"/>
        <v>1</v>
      </c>
      <c r="U66" s="115">
        <f t="shared" si="71"/>
        <v>1</v>
      </c>
      <c r="V66" s="115">
        <f t="shared" si="71"/>
        <v>1</v>
      </c>
      <c r="W66" s="115">
        <f t="shared" si="71"/>
        <v>1</v>
      </c>
      <c r="X66" s="115">
        <f t="shared" si="71"/>
        <v>1</v>
      </c>
      <c r="Y66" s="115">
        <f t="shared" si="71"/>
        <v>1</v>
      </c>
      <c r="Z66" s="115">
        <f t="shared" si="71"/>
        <v>1</v>
      </c>
      <c r="AA66" s="115"/>
      <c r="AB66" s="115"/>
      <c r="AC66" s="115"/>
      <c r="AD66" s="116">
        <f>SUM(G66:K66)/SUM(G$38:K$38)</f>
        <v>1</v>
      </c>
    </row>
    <row r="67" spans="1:30" ht="13.5" thickTop="1" x14ac:dyDescent="0.2">
      <c r="A67" s="2"/>
      <c r="B67" s="119">
        <f t="shared" ref="B67:C67" si="82">+B66-B38</f>
        <v>0</v>
      </c>
      <c r="C67" s="119">
        <f t="shared" si="82"/>
        <v>0</v>
      </c>
      <c r="D67" s="119">
        <f>+D66-D38</f>
        <v>0</v>
      </c>
      <c r="E67" s="119">
        <f>+E66-E38</f>
        <v>0</v>
      </c>
      <c r="F67" s="119">
        <f>+F66-F38</f>
        <v>0</v>
      </c>
      <c r="G67" s="119">
        <f t="shared" ref="G67:H67" si="83">+G66-G38</f>
        <v>0</v>
      </c>
      <c r="H67" s="119">
        <f t="shared" si="83"/>
        <v>0</v>
      </c>
      <c r="I67" s="119">
        <f>+I66-I38</f>
        <v>0</v>
      </c>
      <c r="J67" s="119">
        <f>+J66-J38</f>
        <v>0</v>
      </c>
      <c r="K67" s="119">
        <f>+K66-K38</f>
        <v>0</v>
      </c>
      <c r="L67" s="119">
        <f>+L66-L38</f>
        <v>0</v>
      </c>
      <c r="M67" s="119">
        <f t="shared" ref="M67:N67" si="84">+M66-M38</f>
        <v>0</v>
      </c>
      <c r="N67" s="119">
        <f t="shared" si="84"/>
        <v>0</v>
      </c>
      <c r="O67" s="120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</row>
    <row r="68" spans="1:30" x14ac:dyDescent="0.2">
      <c r="A68" s="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121" t="str">
        <f>+O1</f>
        <v>Exhibit 1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121" t="str">
        <f>+AD1</f>
        <v>Exhibit 1</v>
      </c>
    </row>
    <row r="69" spans="1:30" x14ac:dyDescent="0.2">
      <c r="A69" s="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122" t="s">
        <v>155</v>
      </c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122" t="s">
        <v>88</v>
      </c>
    </row>
    <row r="70" spans="1:30" ht="18" x14ac:dyDescent="0.25">
      <c r="A70" s="23" t="str">
        <f>A3</f>
        <v>Dixie Escalante Rural Electric Association, Inc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4"/>
      <c r="P70" s="125" t="str">
        <f>P3</f>
        <v>Dixie Escalante Rural Electric Association, Inc</v>
      </c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4"/>
    </row>
    <row r="71" spans="1:30" ht="15.75" x14ac:dyDescent="0.25">
      <c r="A71" s="24" t="s">
        <v>12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4"/>
      <c r="P71" s="126" t="str">
        <f>+P4</f>
        <v>Common Size</v>
      </c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4"/>
    </row>
    <row r="72" spans="1:30" ht="15.75" x14ac:dyDescent="0.25">
      <c r="A72" s="25" t="str">
        <f>A5</f>
        <v>Years Ended December 31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4"/>
      <c r="P72" s="127" t="s">
        <v>148</v>
      </c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4"/>
    </row>
    <row r="73" spans="1:30" ht="15.75" x14ac:dyDescent="0.25">
      <c r="A73" s="24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4"/>
      <c r="P73" s="126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8"/>
    </row>
    <row r="74" spans="1:30" x14ac:dyDescent="0.2">
      <c r="A74" s="41"/>
      <c r="B74" s="129"/>
      <c r="C74" s="129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1" t="str">
        <f>+O7</f>
        <v>2016 to 2020</v>
      </c>
      <c r="P74" s="129"/>
      <c r="Q74" s="129"/>
      <c r="R74" s="129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2"/>
    </row>
    <row r="75" spans="1:30" x14ac:dyDescent="0.2">
      <c r="A75" s="41"/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1" t="s">
        <v>3</v>
      </c>
      <c r="P75" s="129"/>
      <c r="Q75" s="129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2" t="str">
        <f>+AD8</f>
        <v>2016 to 2020</v>
      </c>
    </row>
    <row r="76" spans="1:30" x14ac:dyDescent="0.2">
      <c r="A76" s="44" t="s">
        <v>0</v>
      </c>
      <c r="B76" s="133">
        <f>+B9</f>
        <v>2008</v>
      </c>
      <c r="C76" s="133">
        <f t="shared" ref="C76:F76" si="85">+C9</f>
        <v>2009</v>
      </c>
      <c r="D76" s="133">
        <f t="shared" si="85"/>
        <v>2010</v>
      </c>
      <c r="E76" s="133">
        <f t="shared" si="85"/>
        <v>2011</v>
      </c>
      <c r="F76" s="133">
        <f t="shared" si="85"/>
        <v>2012</v>
      </c>
      <c r="G76" s="133">
        <f t="shared" ref="G76:I76" si="86">+G9</f>
        <v>2013</v>
      </c>
      <c r="H76" s="133">
        <f t="shared" si="86"/>
        <v>2014</v>
      </c>
      <c r="I76" s="133">
        <f t="shared" si="86"/>
        <v>2015</v>
      </c>
      <c r="J76" s="133">
        <f t="shared" ref="J76:K76" si="87">+J9</f>
        <v>2016</v>
      </c>
      <c r="K76" s="133">
        <f t="shared" si="87"/>
        <v>2017</v>
      </c>
      <c r="L76" s="133">
        <f t="shared" ref="L76:N76" si="88">+L9</f>
        <v>2018</v>
      </c>
      <c r="M76" s="133">
        <f t="shared" si="88"/>
        <v>2019</v>
      </c>
      <c r="N76" s="133">
        <f t="shared" si="88"/>
        <v>2020</v>
      </c>
      <c r="O76" s="134" t="s">
        <v>20</v>
      </c>
      <c r="P76" s="135" t="s">
        <v>0</v>
      </c>
      <c r="Q76" s="133">
        <f>+Q9</f>
        <v>2008</v>
      </c>
      <c r="R76" s="133">
        <f t="shared" ref="R76:U76" si="89">+R9</f>
        <v>2009</v>
      </c>
      <c r="S76" s="133">
        <f t="shared" si="89"/>
        <v>2010</v>
      </c>
      <c r="T76" s="133">
        <f t="shared" si="89"/>
        <v>2011</v>
      </c>
      <c r="U76" s="133">
        <f t="shared" si="89"/>
        <v>2012</v>
      </c>
      <c r="V76" s="133">
        <f t="shared" ref="V76:X76" si="90">+V9</f>
        <v>2013</v>
      </c>
      <c r="W76" s="133">
        <f t="shared" si="90"/>
        <v>2014</v>
      </c>
      <c r="X76" s="133">
        <f t="shared" si="90"/>
        <v>2015</v>
      </c>
      <c r="Y76" s="133">
        <f t="shared" ref="Y76:Z76" si="91">+Y9</f>
        <v>2016</v>
      </c>
      <c r="Z76" s="133">
        <f t="shared" si="91"/>
        <v>2017</v>
      </c>
      <c r="AA76" s="133"/>
      <c r="AB76" s="133"/>
      <c r="AC76" s="133"/>
      <c r="AD76" s="136" t="str">
        <f>+AD9</f>
        <v>Wt Average</v>
      </c>
    </row>
    <row r="77" spans="1:30" x14ac:dyDescent="0.2">
      <c r="A77" s="5"/>
      <c r="B77" s="95"/>
      <c r="C77" s="137"/>
      <c r="D77" s="137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00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38"/>
    </row>
    <row r="78" spans="1:30" x14ac:dyDescent="0.2">
      <c r="A78" s="5" t="s">
        <v>71</v>
      </c>
      <c r="B78" s="89">
        <v>20304909</v>
      </c>
      <c r="C78" s="89">
        <v>20501053</v>
      </c>
      <c r="D78" s="46">
        <v>20741304</v>
      </c>
      <c r="E78" s="46">
        <v>20814289</v>
      </c>
      <c r="F78" s="46">
        <v>22746854</v>
      </c>
      <c r="G78" s="46">
        <v>24380635</v>
      </c>
      <c r="H78" s="46">
        <v>24741027</v>
      </c>
      <c r="I78" s="46">
        <v>26048448</v>
      </c>
      <c r="J78" s="46">
        <v>30975941</v>
      </c>
      <c r="K78" s="46">
        <v>34731775</v>
      </c>
      <c r="L78" s="46">
        <v>38613897</v>
      </c>
      <c r="M78" s="46">
        <v>37994061</v>
      </c>
      <c r="N78" s="46">
        <v>41659577</v>
      </c>
      <c r="O78" s="100">
        <f>RATE(5,,-J78,N78)</f>
        <v>6.1055423335413792E-2</v>
      </c>
      <c r="P78" s="104" t="str">
        <f t="shared" ref="P78:P103" si="92">+A78</f>
        <v>Operating Revenues</v>
      </c>
      <c r="Q78" s="99">
        <f>+B78/B$80</f>
        <v>1</v>
      </c>
      <c r="R78" s="99">
        <f>+C78/C$80</f>
        <v>1</v>
      </c>
      <c r="S78" s="99">
        <f>+D78/D$80</f>
        <v>1</v>
      </c>
      <c r="T78" s="99">
        <f>+E78/E$80</f>
        <v>1</v>
      </c>
      <c r="U78" s="99">
        <f>+F78/F$80</f>
        <v>1</v>
      </c>
      <c r="V78" s="99">
        <f t="shared" ref="V78" si="93">+G78/G$80</f>
        <v>1</v>
      </c>
      <c r="W78" s="99">
        <f t="shared" ref="W78" si="94">+H78/H$80</f>
        <v>1</v>
      </c>
      <c r="X78" s="99">
        <f>+I78/I$80</f>
        <v>1</v>
      </c>
      <c r="Y78" s="99">
        <f t="shared" ref="Y78:Z78" si="95">+J78/J$80</f>
        <v>1</v>
      </c>
      <c r="Z78" s="99">
        <f t="shared" si="95"/>
        <v>1</v>
      </c>
      <c r="AA78" s="99"/>
      <c r="AB78" s="99"/>
      <c r="AC78" s="99"/>
      <c r="AD78" s="139">
        <f>+Z78</f>
        <v>1</v>
      </c>
    </row>
    <row r="79" spans="1:30" x14ac:dyDescent="0.2">
      <c r="A79" s="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106"/>
      <c r="P79" s="104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</row>
    <row r="80" spans="1:30" x14ac:dyDescent="0.2">
      <c r="A80" s="5" t="s">
        <v>45</v>
      </c>
      <c r="B80" s="47">
        <f t="shared" ref="B80:I80" si="96">SUM(B77:B79)</f>
        <v>20304909</v>
      </c>
      <c r="C80" s="47">
        <f t="shared" si="96"/>
        <v>20501053</v>
      </c>
      <c r="D80" s="47">
        <f t="shared" si="96"/>
        <v>20741304</v>
      </c>
      <c r="E80" s="47">
        <f t="shared" si="96"/>
        <v>20814289</v>
      </c>
      <c r="F80" s="47">
        <f t="shared" si="96"/>
        <v>22746854</v>
      </c>
      <c r="G80" s="47">
        <f t="shared" ref="G80" si="97">SUM(G77:G79)</f>
        <v>24380635</v>
      </c>
      <c r="H80" s="47">
        <f t="shared" ref="H80" si="98">SUM(H77:H79)</f>
        <v>24741027</v>
      </c>
      <c r="I80" s="47">
        <f t="shared" si="96"/>
        <v>26048448</v>
      </c>
      <c r="J80" s="47">
        <f t="shared" ref="J80:K80" si="99">SUM(J77:J79)</f>
        <v>30975941</v>
      </c>
      <c r="K80" s="47">
        <f t="shared" si="99"/>
        <v>34731775</v>
      </c>
      <c r="L80" s="47">
        <f t="shared" ref="L80:N80" si="100">SUM(L77:L79)</f>
        <v>38613897</v>
      </c>
      <c r="M80" s="47">
        <f t="shared" si="100"/>
        <v>37994061</v>
      </c>
      <c r="N80" s="47">
        <f t="shared" si="100"/>
        <v>41659577</v>
      </c>
      <c r="O80" s="100">
        <f>RATE(5,,-J80,N80)</f>
        <v>6.1055423335413792E-2</v>
      </c>
      <c r="P80" s="104" t="str">
        <f t="shared" si="92"/>
        <v>Total Revenues</v>
      </c>
      <c r="Q80" s="99">
        <f>+B80/B$80</f>
        <v>1</v>
      </c>
      <c r="R80" s="99">
        <f>+C80/C$80</f>
        <v>1</v>
      </c>
      <c r="S80" s="99">
        <f>+D80/D$80</f>
        <v>1</v>
      </c>
      <c r="T80" s="99">
        <f>+E80/E$80</f>
        <v>1</v>
      </c>
      <c r="U80" s="99">
        <f>+F80/F$80</f>
        <v>1</v>
      </c>
      <c r="V80" s="99">
        <f t="shared" ref="V80" si="101">+G80/G$80</f>
        <v>1</v>
      </c>
      <c r="W80" s="99">
        <f t="shared" ref="W80" si="102">+H80/H$80</f>
        <v>1</v>
      </c>
      <c r="X80" s="99">
        <f>+I80/I$80</f>
        <v>1</v>
      </c>
      <c r="Y80" s="99">
        <f t="shared" ref="Y80:Z80" si="103">+J80/J$80</f>
        <v>1</v>
      </c>
      <c r="Z80" s="99">
        <f t="shared" si="103"/>
        <v>1</v>
      </c>
      <c r="AA80" s="99"/>
      <c r="AB80" s="99"/>
      <c r="AC80" s="99"/>
      <c r="AD80" s="139">
        <f>+Z80</f>
        <v>1</v>
      </c>
    </row>
    <row r="81" spans="1:30" x14ac:dyDescent="0.2">
      <c r="A81" s="5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100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</row>
    <row r="82" spans="1:30" x14ac:dyDescent="0.2">
      <c r="A82" s="5" t="s">
        <v>18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100"/>
      <c r="P82" s="104" t="str">
        <f t="shared" si="92"/>
        <v>Operating Expenses:</v>
      </c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</row>
    <row r="83" spans="1:30" x14ac:dyDescent="0.2">
      <c r="A83" s="29" t="s">
        <v>75</v>
      </c>
      <c r="B83" s="46">
        <v>12418095</v>
      </c>
      <c r="C83" s="46">
        <v>12623963</v>
      </c>
      <c r="D83" s="46">
        <v>12123785</v>
      </c>
      <c r="E83" s="46">
        <v>12947928</v>
      </c>
      <c r="F83" s="46">
        <v>14162532</v>
      </c>
      <c r="G83" s="46">
        <v>14473238</v>
      </c>
      <c r="H83" s="46">
        <v>14234256</v>
      </c>
      <c r="I83" s="46">
        <v>17086768</v>
      </c>
      <c r="J83" s="46">
        <v>19069846</v>
      </c>
      <c r="K83" s="46">
        <v>21456132</v>
      </c>
      <c r="L83" s="46">
        <v>21946886</v>
      </c>
      <c r="M83" s="46">
        <v>21509385</v>
      </c>
      <c r="N83" s="46">
        <v>24531973</v>
      </c>
      <c r="O83" s="100">
        <f t="shared" ref="O83:O91" si="104">RATE(5,,-J83,N83)</f>
        <v>5.1664122996436974E-2</v>
      </c>
      <c r="P83" s="104" t="str">
        <f t="shared" si="92"/>
        <v>Cost of Purchased Power</v>
      </c>
      <c r="Q83" s="99">
        <f t="shared" ref="Q83:Q92" si="105">+B83/B$80</f>
        <v>0.61158092360817773</v>
      </c>
      <c r="R83" s="99">
        <f t="shared" ref="R83:R92" si="106">+C83/C$80</f>
        <v>0.61577144354487545</v>
      </c>
      <c r="S83" s="99">
        <f t="shared" ref="S83:S92" si="107">+D83/D$80</f>
        <v>0.58452375993331951</v>
      </c>
      <c r="T83" s="99">
        <f t="shared" ref="T83:T92" si="108">+E83/E$80</f>
        <v>0.62206919486896717</v>
      </c>
      <c r="U83" s="99">
        <f t="shared" ref="U83:U92" si="109">+F83/F$80</f>
        <v>0.62261497787781994</v>
      </c>
      <c r="V83" s="99">
        <f t="shared" ref="V83:V92" si="110">+G83/G$80</f>
        <v>0.59363663005495959</v>
      </c>
      <c r="W83" s="99">
        <f t="shared" ref="W83:W92" si="111">+H83/H$80</f>
        <v>0.57533003783553527</v>
      </c>
      <c r="X83" s="99">
        <f t="shared" ref="X83:X92" si="112">+I83/I$80</f>
        <v>0.65596107683651628</v>
      </c>
      <c r="Y83" s="99">
        <f t="shared" ref="Y83:Z92" si="113">+J83/J$80</f>
        <v>0.61563411423078318</v>
      </c>
      <c r="Z83" s="99">
        <f t="shared" si="113"/>
        <v>0.61776664164155159</v>
      </c>
      <c r="AA83" s="99"/>
      <c r="AB83" s="99"/>
      <c r="AC83" s="99"/>
      <c r="AD83" s="100">
        <f>SUM(G83:K83)/SUM(G$80:K$80)</f>
        <v>0.61273120441253826</v>
      </c>
    </row>
    <row r="84" spans="1:30" x14ac:dyDescent="0.2">
      <c r="A84" s="29" t="s">
        <v>78</v>
      </c>
      <c r="B84" s="46">
        <v>1742717</v>
      </c>
      <c r="C84" s="48">
        <v>1737684</v>
      </c>
      <c r="D84" s="48">
        <v>1832671</v>
      </c>
      <c r="E84" s="48">
        <v>1815518</v>
      </c>
      <c r="F84" s="48">
        <v>1939571</v>
      </c>
      <c r="G84" s="48">
        <v>2127824</v>
      </c>
      <c r="H84" s="48">
        <v>2235431</v>
      </c>
      <c r="I84" s="48">
        <v>2205660</v>
      </c>
      <c r="J84" s="48">
        <v>2103362</v>
      </c>
      <c r="K84" s="48">
        <v>2142804</v>
      </c>
      <c r="L84" s="48">
        <v>2524664</v>
      </c>
      <c r="M84" s="48">
        <v>2949300</v>
      </c>
      <c r="N84" s="48">
        <v>3048657</v>
      </c>
      <c r="O84" s="100">
        <f t="shared" si="104"/>
        <v>7.7057547360750378E-2</v>
      </c>
      <c r="P84" s="104" t="str">
        <f t="shared" si="92"/>
        <v>Administrative and General Expenses</v>
      </c>
      <c r="Q84" s="99">
        <f t="shared" si="105"/>
        <v>8.5827373075151439E-2</v>
      </c>
      <c r="R84" s="99">
        <f t="shared" si="106"/>
        <v>8.4760719364024864E-2</v>
      </c>
      <c r="S84" s="99">
        <f t="shared" si="107"/>
        <v>8.8358523649236326E-2</v>
      </c>
      <c r="T84" s="99">
        <f t="shared" si="108"/>
        <v>8.7224598447729826E-2</v>
      </c>
      <c r="U84" s="99">
        <f t="shared" si="109"/>
        <v>8.5267659431058032E-2</v>
      </c>
      <c r="V84" s="99">
        <f t="shared" si="110"/>
        <v>8.7275167361309497E-2</v>
      </c>
      <c r="W84" s="99">
        <f t="shared" si="111"/>
        <v>9.0353201586983428E-2</v>
      </c>
      <c r="X84" s="99">
        <f t="shared" si="112"/>
        <v>8.4675294282407915E-2</v>
      </c>
      <c r="Y84" s="99">
        <f t="shared" si="113"/>
        <v>6.7903086463136017E-2</v>
      </c>
      <c r="Z84" s="99">
        <f t="shared" si="113"/>
        <v>6.1695781456605661E-2</v>
      </c>
      <c r="AA84" s="99"/>
      <c r="AB84" s="99"/>
      <c r="AC84" s="99"/>
      <c r="AD84" s="100">
        <f>SUM(G84:K84)/SUM(G$80:K$80)</f>
        <v>7.6769221296756812E-2</v>
      </c>
    </row>
    <row r="85" spans="1:30" x14ac:dyDescent="0.2">
      <c r="A85" s="30" t="s">
        <v>61</v>
      </c>
      <c r="B85" s="46">
        <v>2058008</v>
      </c>
      <c r="C85" s="46">
        <f>1200314+813211</f>
        <v>2013525</v>
      </c>
      <c r="D85" s="46">
        <f>1204210+809135</f>
        <v>2013345</v>
      </c>
      <c r="E85" s="46">
        <f>1190622+899605</f>
        <v>2090227</v>
      </c>
      <c r="F85" s="46">
        <f>1472295+974476</f>
        <v>2446771</v>
      </c>
      <c r="G85" s="46">
        <f t="shared" ref="G85" si="114">1674830+947935</f>
        <v>2622765</v>
      </c>
      <c r="H85" s="46">
        <f>1858315+1090777</f>
        <v>2949092</v>
      </c>
      <c r="I85" s="46">
        <f>1767310+1170636</f>
        <v>2937946</v>
      </c>
      <c r="J85" s="46">
        <f>1829862+1418516</f>
        <v>3248378</v>
      </c>
      <c r="K85" s="46">
        <f>1794617+1249282</f>
        <v>3043899</v>
      </c>
      <c r="L85" s="46">
        <f>1516473+1392556</f>
        <v>2909029</v>
      </c>
      <c r="M85" s="46">
        <f>1863548+1570679</f>
        <v>3434227</v>
      </c>
      <c r="N85" s="46">
        <f>1934110+1791601</f>
        <v>3725711</v>
      </c>
      <c r="O85" s="100">
        <f t="shared" si="104"/>
        <v>2.7799780746175194E-2</v>
      </c>
      <c r="P85" s="104" t="str">
        <f t="shared" si="92"/>
        <v xml:space="preserve">   Operating and Maintenance</v>
      </c>
      <c r="Q85" s="99">
        <f t="shared" si="105"/>
        <v>0.10135519445076065</v>
      </c>
      <c r="R85" s="99">
        <f t="shared" si="106"/>
        <v>9.8215686774723227E-2</v>
      </c>
      <c r="S85" s="99">
        <f t="shared" si="107"/>
        <v>9.7069354945089281E-2</v>
      </c>
      <c r="T85" s="99">
        <f t="shared" si="108"/>
        <v>0.10042269519751551</v>
      </c>
      <c r="U85" s="99">
        <f t="shared" si="109"/>
        <v>0.10756524836357591</v>
      </c>
      <c r="V85" s="99">
        <f t="shared" si="110"/>
        <v>0.10757574607880394</v>
      </c>
      <c r="W85" s="99">
        <f t="shared" si="111"/>
        <v>0.11919844717844574</v>
      </c>
      <c r="X85" s="99">
        <f t="shared" si="112"/>
        <v>0.11278775610738882</v>
      </c>
      <c r="Y85" s="99">
        <f t="shared" si="113"/>
        <v>0.10486777463838791</v>
      </c>
      <c r="Z85" s="99">
        <f t="shared" si="113"/>
        <v>8.7640179633779153E-2</v>
      </c>
      <c r="AA85" s="99"/>
      <c r="AB85" s="99"/>
      <c r="AC85" s="99"/>
      <c r="AD85" s="100">
        <f>SUM(G85:K85)/SUM(G$80:K$80)</f>
        <v>0.10507033236018279</v>
      </c>
    </row>
    <row r="86" spans="1:30" x14ac:dyDescent="0.2">
      <c r="A86" s="31" t="s">
        <v>41</v>
      </c>
      <c r="B86" s="46">
        <v>1400270</v>
      </c>
      <c r="C86" s="46">
        <v>1429185</v>
      </c>
      <c r="D86" s="46">
        <v>1487459</v>
      </c>
      <c r="E86" s="46">
        <v>1631468</v>
      </c>
      <c r="F86" s="46">
        <v>1723579</v>
      </c>
      <c r="G86" s="46">
        <v>1823909</v>
      </c>
      <c r="H86" s="46">
        <v>1969612</v>
      </c>
      <c r="I86" s="46">
        <v>2148749</v>
      </c>
      <c r="J86" s="46">
        <v>2335011</v>
      </c>
      <c r="K86" s="46">
        <v>2596723</v>
      </c>
      <c r="L86" s="46">
        <v>2867277</v>
      </c>
      <c r="M86" s="46">
        <v>3333048</v>
      </c>
      <c r="N86" s="46">
        <v>3936156</v>
      </c>
      <c r="O86" s="100">
        <f t="shared" si="104"/>
        <v>0.11008612466664409</v>
      </c>
      <c r="P86" s="104" t="str">
        <f t="shared" si="92"/>
        <v xml:space="preserve">   Depreciation and amortization</v>
      </c>
      <c r="Q86" s="99">
        <f t="shared" si="105"/>
        <v>6.8962141125577067E-2</v>
      </c>
      <c r="R86" s="99">
        <f t="shared" si="106"/>
        <v>6.9712760607955115E-2</v>
      </c>
      <c r="S86" s="99">
        <f t="shared" si="107"/>
        <v>7.1714825644520711E-2</v>
      </c>
      <c r="T86" s="99">
        <f t="shared" si="108"/>
        <v>7.8382115286282417E-2</v>
      </c>
      <c r="U86" s="99">
        <f t="shared" si="109"/>
        <v>7.5772192497476798E-2</v>
      </c>
      <c r="V86" s="99">
        <f t="shared" si="110"/>
        <v>7.4809741419778447E-2</v>
      </c>
      <c r="W86" s="99">
        <f t="shared" si="111"/>
        <v>7.9609144761856487E-2</v>
      </c>
      <c r="X86" s="99">
        <f t="shared" si="112"/>
        <v>8.2490480814826281E-2</v>
      </c>
      <c r="Y86" s="99">
        <f t="shared" si="113"/>
        <v>7.538143877533858E-2</v>
      </c>
      <c r="Z86" s="99">
        <f t="shared" si="113"/>
        <v>7.4765053038608018E-2</v>
      </c>
      <c r="AA86" s="99"/>
      <c r="AB86" s="99"/>
      <c r="AC86" s="99"/>
      <c r="AD86" s="100">
        <f t="shared" ref="AD86:AD89" si="115">SUM(G86:K86)/SUM(G$80:K$80)</f>
        <v>7.7187477325210849E-2</v>
      </c>
    </row>
    <row r="87" spans="1:30" x14ac:dyDescent="0.2">
      <c r="A87" s="31" t="s">
        <v>96</v>
      </c>
      <c r="B87" s="46">
        <v>552357</v>
      </c>
      <c r="C87" s="46">
        <v>629580</v>
      </c>
      <c r="D87" s="46">
        <v>637136</v>
      </c>
      <c r="E87" s="46">
        <v>696315</v>
      </c>
      <c r="F87" s="46">
        <v>792149</v>
      </c>
      <c r="G87" s="46">
        <v>820821</v>
      </c>
      <c r="H87" s="46">
        <v>812946</v>
      </c>
      <c r="I87" s="46">
        <v>950152</v>
      </c>
      <c r="J87" s="46">
        <v>1087805</v>
      </c>
      <c r="K87" s="46">
        <v>1325497</v>
      </c>
      <c r="L87" s="46">
        <v>1468999</v>
      </c>
      <c r="M87" s="46">
        <v>1527150</v>
      </c>
      <c r="N87" s="46">
        <v>1456091</v>
      </c>
      <c r="O87" s="100">
        <f t="shared" si="104"/>
        <v>6.0052789902188972E-2</v>
      </c>
      <c r="P87" s="104" t="str">
        <f t="shared" si="92"/>
        <v xml:space="preserve">   Consumer Accounts</v>
      </c>
      <c r="Q87" s="99">
        <f t="shared" si="105"/>
        <v>2.7203126101180752E-2</v>
      </c>
      <c r="R87" s="99">
        <f t="shared" si="106"/>
        <v>3.0709642085213866E-2</v>
      </c>
      <c r="S87" s="99">
        <f t="shared" si="107"/>
        <v>3.0718222923688886E-2</v>
      </c>
      <c r="T87" s="99">
        <f t="shared" si="108"/>
        <v>3.3453700964755508E-2</v>
      </c>
      <c r="U87" s="99">
        <f t="shared" si="109"/>
        <v>3.4824552001784512E-2</v>
      </c>
      <c r="V87" s="99">
        <f t="shared" si="110"/>
        <v>3.3666924589946079E-2</v>
      </c>
      <c r="W87" s="99">
        <f t="shared" si="111"/>
        <v>3.2858215627023082E-2</v>
      </c>
      <c r="X87" s="99">
        <f t="shared" si="112"/>
        <v>3.647633824479677E-2</v>
      </c>
      <c r="Y87" s="99">
        <f t="shared" si="113"/>
        <v>3.5117738634639059E-2</v>
      </c>
      <c r="Z87" s="99">
        <f t="shared" si="113"/>
        <v>3.8163813971500163E-2</v>
      </c>
      <c r="AA87" s="99"/>
      <c r="AB87" s="99"/>
      <c r="AC87" s="99"/>
      <c r="AD87" s="100">
        <f t="shared" si="115"/>
        <v>3.5472019563958915E-2</v>
      </c>
    </row>
    <row r="88" spans="1:30" x14ac:dyDescent="0.2">
      <c r="A88" s="31" t="s">
        <v>95</v>
      </c>
      <c r="B88" s="46">
        <v>454343</v>
      </c>
      <c r="C88" s="46">
        <v>339253</v>
      </c>
      <c r="D88" s="46">
        <v>605263</v>
      </c>
      <c r="E88" s="46">
        <v>657029</v>
      </c>
      <c r="F88" s="46">
        <v>815146</v>
      </c>
      <c r="G88" s="46">
        <v>1224345</v>
      </c>
      <c r="H88" s="46">
        <v>1506552</v>
      </c>
      <c r="I88" s="46">
        <v>1296944</v>
      </c>
      <c r="J88" s="46">
        <v>842368</v>
      </c>
      <c r="K88" s="46">
        <v>443215</v>
      </c>
      <c r="L88" s="46">
        <v>449704</v>
      </c>
      <c r="M88" s="46">
        <v>465486</v>
      </c>
      <c r="N88" s="46">
        <v>488239</v>
      </c>
      <c r="O88" s="100">
        <f t="shared" si="104"/>
        <v>-0.10334345808838521</v>
      </c>
      <c r="P88" s="104" t="str">
        <f t="shared" si="92"/>
        <v xml:space="preserve">   Customer Service</v>
      </c>
      <c r="Q88" s="99">
        <f t="shared" si="105"/>
        <v>2.237601754334383E-2</v>
      </c>
      <c r="R88" s="99">
        <f t="shared" si="106"/>
        <v>1.6548076823175863E-2</v>
      </c>
      <c r="S88" s="99">
        <f t="shared" si="107"/>
        <v>2.9181530727286964E-2</v>
      </c>
      <c r="T88" s="99">
        <f t="shared" si="108"/>
        <v>3.1566247590777662E-2</v>
      </c>
      <c r="U88" s="99">
        <f t="shared" si="109"/>
        <v>3.5835548951076927E-2</v>
      </c>
      <c r="V88" s="99">
        <f t="shared" si="110"/>
        <v>5.021792910644042E-2</v>
      </c>
      <c r="W88" s="99">
        <f t="shared" si="111"/>
        <v>6.089286430995771E-2</v>
      </c>
      <c r="X88" s="99">
        <f t="shared" si="112"/>
        <v>4.9789684206905535E-2</v>
      </c>
      <c r="Y88" s="99">
        <f t="shared" si="113"/>
        <v>2.7194266672964026E-2</v>
      </c>
      <c r="Z88" s="99">
        <f t="shared" si="113"/>
        <v>1.2761081171348139E-2</v>
      </c>
      <c r="AA88" s="99"/>
      <c r="AB88" s="99"/>
      <c r="AC88" s="99"/>
      <c r="AD88" s="100">
        <f>SUM(G88:K88)/SUM(G$80:K$80)</f>
        <v>3.7716538868224729E-2</v>
      </c>
    </row>
    <row r="89" spans="1:30" x14ac:dyDescent="0.2">
      <c r="A89" s="30" t="s">
        <v>72</v>
      </c>
      <c r="B89" s="46">
        <f>93553+88995+21403</f>
        <v>203951</v>
      </c>
      <c r="C89" s="46">
        <f>56562+90764+2121</f>
        <v>149447</v>
      </c>
      <c r="D89" s="46">
        <f>115640+4861+4435</f>
        <v>124936</v>
      </c>
      <c r="E89" s="46">
        <f>98302+108258+13905</f>
        <v>220465</v>
      </c>
      <c r="F89" s="46">
        <f>72791+78082-2498</f>
        <v>148375</v>
      </c>
      <c r="G89" s="46">
        <f t="shared" ref="G89" si="116">200098+68774+7196</f>
        <v>276068</v>
      </c>
      <c r="H89" s="46">
        <f>32717+84540+17632</f>
        <v>134889</v>
      </c>
      <c r="I89" s="46">
        <f>143761+45891+21279</f>
        <v>210931</v>
      </c>
      <c r="J89" s="46">
        <f>37135+2114+250631</f>
        <v>289880</v>
      </c>
      <c r="K89" s="46">
        <f>130957+2394+346160</f>
        <v>479511</v>
      </c>
      <c r="L89" s="46">
        <f>60317-9374+374616+45000</f>
        <v>470559</v>
      </c>
      <c r="M89" s="46">
        <f>154229+428846</f>
        <v>583075</v>
      </c>
      <c r="N89" s="46">
        <f>101042+474809</f>
        <v>575851</v>
      </c>
      <c r="O89" s="100">
        <f t="shared" si="104"/>
        <v>0.14714515324767852</v>
      </c>
      <c r="P89" s="104" t="str">
        <f t="shared" si="92"/>
        <v xml:space="preserve">   Other</v>
      </c>
      <c r="Q89" s="99">
        <f t="shared" si="105"/>
        <v>1.004441832268246E-2</v>
      </c>
      <c r="R89" s="99">
        <f t="shared" si="106"/>
        <v>7.2897231181247128E-3</v>
      </c>
      <c r="S89" s="99">
        <f t="shared" si="107"/>
        <v>6.0235364179609925E-3</v>
      </c>
      <c r="T89" s="99">
        <f t="shared" si="108"/>
        <v>1.0592002446011968E-2</v>
      </c>
      <c r="U89" s="99">
        <f t="shared" si="109"/>
        <v>6.5228800431039831E-3</v>
      </c>
      <c r="V89" s="99">
        <f t="shared" si="110"/>
        <v>1.1323248963778015E-2</v>
      </c>
      <c r="W89" s="99">
        <f t="shared" si="111"/>
        <v>5.4520372173717767E-3</v>
      </c>
      <c r="X89" s="99">
        <f t="shared" si="112"/>
        <v>8.0976417481763222E-3</v>
      </c>
      <c r="Y89" s="99">
        <f t="shared" si="113"/>
        <v>9.3582306345431129E-3</v>
      </c>
      <c r="Z89" s="99">
        <f t="shared" si="113"/>
        <v>1.3806118460689095E-2</v>
      </c>
      <c r="AA89" s="99"/>
      <c r="AB89" s="99"/>
      <c r="AC89" s="99"/>
      <c r="AD89" s="100">
        <f t="shared" si="115"/>
        <v>9.8757841422112795E-3</v>
      </c>
    </row>
    <row r="90" spans="1:30" x14ac:dyDescent="0.2">
      <c r="A90" s="31" t="s">
        <v>42</v>
      </c>
      <c r="B90" s="46">
        <v>232973</v>
      </c>
      <c r="C90" s="46">
        <v>305843</v>
      </c>
      <c r="D90" s="46">
        <v>348698</v>
      </c>
      <c r="E90" s="46">
        <v>406164</v>
      </c>
      <c r="F90" s="46">
        <v>465749</v>
      </c>
      <c r="G90" s="46">
        <v>464910</v>
      </c>
      <c r="H90" s="46">
        <v>462430</v>
      </c>
      <c r="I90" s="46">
        <v>535143</v>
      </c>
      <c r="J90" s="46">
        <v>570331</v>
      </c>
      <c r="K90" s="46">
        <v>673425</v>
      </c>
      <c r="L90" s="46">
        <v>827250</v>
      </c>
      <c r="M90" s="46">
        <v>1027078</v>
      </c>
      <c r="N90" s="46">
        <v>1109826</v>
      </c>
      <c r="O90" s="106">
        <f t="shared" si="104"/>
        <v>0.14241943654884648</v>
      </c>
      <c r="P90" s="104" t="str">
        <f t="shared" si="92"/>
        <v xml:space="preserve">   Taxes, other than income taxes</v>
      </c>
      <c r="Q90" s="107">
        <f t="shared" si="105"/>
        <v>1.1473727855662884E-2</v>
      </c>
      <c r="R90" s="107">
        <f t="shared" si="106"/>
        <v>1.4918404435128284E-2</v>
      </c>
      <c r="S90" s="107">
        <f t="shared" si="107"/>
        <v>1.6811768440402781E-2</v>
      </c>
      <c r="T90" s="107">
        <f t="shared" si="108"/>
        <v>1.9513710028721133E-2</v>
      </c>
      <c r="U90" s="107">
        <f t="shared" si="109"/>
        <v>2.0475314960037991E-2</v>
      </c>
      <c r="V90" s="107">
        <f t="shared" si="110"/>
        <v>1.9068822448635978E-2</v>
      </c>
      <c r="W90" s="107">
        <f t="shared" si="111"/>
        <v>1.8690816674667547E-2</v>
      </c>
      <c r="X90" s="107">
        <f t="shared" si="112"/>
        <v>2.0544141439827815E-2</v>
      </c>
      <c r="Y90" s="107">
        <f t="shared" si="113"/>
        <v>1.8412063736820781E-2</v>
      </c>
      <c r="Z90" s="107">
        <f t="shared" si="113"/>
        <v>1.9389305614239412E-2</v>
      </c>
      <c r="AA90" s="107"/>
      <c r="AB90" s="107"/>
      <c r="AC90" s="107"/>
      <c r="AD90" s="106">
        <f>SUM(G90:K90)/SUM(G$80:K$80)</f>
        <v>1.9209829373715633E-2</v>
      </c>
    </row>
    <row r="91" spans="1:30" x14ac:dyDescent="0.2">
      <c r="A91" s="5" t="s">
        <v>38</v>
      </c>
      <c r="B91" s="47">
        <f t="shared" ref="B91:I91" si="117">SUM(B82:B90)</f>
        <v>19062714</v>
      </c>
      <c r="C91" s="47">
        <f t="shared" si="117"/>
        <v>19228480</v>
      </c>
      <c r="D91" s="47">
        <f t="shared" si="117"/>
        <v>19173293</v>
      </c>
      <c r="E91" s="47">
        <f t="shared" si="117"/>
        <v>20465114</v>
      </c>
      <c r="F91" s="47">
        <f t="shared" si="117"/>
        <v>22493872</v>
      </c>
      <c r="G91" s="47">
        <f t="shared" ref="G91" si="118">SUM(G82:G90)</f>
        <v>23833880</v>
      </c>
      <c r="H91" s="47">
        <f t="shared" ref="H91" si="119">SUM(H82:H90)</f>
        <v>24305208</v>
      </c>
      <c r="I91" s="47">
        <f t="shared" si="117"/>
        <v>27372293</v>
      </c>
      <c r="J91" s="47">
        <f t="shared" ref="J91:K91" si="120">SUM(J82:J90)</f>
        <v>29546981</v>
      </c>
      <c r="K91" s="47">
        <f t="shared" si="120"/>
        <v>32161206</v>
      </c>
      <c r="L91" s="47">
        <f t="shared" ref="L91:N91" si="121">SUM(L82:L90)</f>
        <v>33464368</v>
      </c>
      <c r="M91" s="47">
        <f t="shared" si="121"/>
        <v>34828749</v>
      </c>
      <c r="N91" s="47">
        <f t="shared" si="121"/>
        <v>38872504</v>
      </c>
      <c r="O91" s="112">
        <f t="shared" si="104"/>
        <v>5.6393890356569491E-2</v>
      </c>
      <c r="P91" s="104" t="str">
        <f t="shared" si="92"/>
        <v>Total Operating Expenses</v>
      </c>
      <c r="Q91" s="140">
        <f t="shared" si="105"/>
        <v>0.93882292208253681</v>
      </c>
      <c r="R91" s="140">
        <f t="shared" si="106"/>
        <v>0.93792645675322139</v>
      </c>
      <c r="S91" s="140">
        <f t="shared" si="107"/>
        <v>0.92440152268150544</v>
      </c>
      <c r="T91" s="140">
        <f t="shared" si="108"/>
        <v>0.9832242648307612</v>
      </c>
      <c r="U91" s="140">
        <f t="shared" si="109"/>
        <v>0.98887837412593405</v>
      </c>
      <c r="V91" s="140">
        <f t="shared" si="110"/>
        <v>0.97757421002365197</v>
      </c>
      <c r="W91" s="140">
        <f t="shared" si="111"/>
        <v>0.98238476519184104</v>
      </c>
      <c r="X91" s="140">
        <f t="shared" si="112"/>
        <v>1.0508224136808457</v>
      </c>
      <c r="Y91" s="140">
        <f t="shared" si="113"/>
        <v>0.95386871378661264</v>
      </c>
      <c r="Z91" s="140">
        <f t="shared" si="113"/>
        <v>0.92598797498832119</v>
      </c>
      <c r="AA91" s="140"/>
      <c r="AB91" s="140"/>
      <c r="AC91" s="140"/>
      <c r="AD91" s="112">
        <f>SUM(G91:K91)/SUM(G$80:K$80)</f>
        <v>0.97403240734279928</v>
      </c>
    </row>
    <row r="92" spans="1:30" x14ac:dyDescent="0.2">
      <c r="A92" s="5" t="s">
        <v>11</v>
      </c>
      <c r="B92" s="47">
        <f t="shared" ref="B92:I92" si="122">B80-B91</f>
        <v>1242195</v>
      </c>
      <c r="C92" s="47">
        <f t="shared" si="122"/>
        <v>1272573</v>
      </c>
      <c r="D92" s="47">
        <f t="shared" si="122"/>
        <v>1568011</v>
      </c>
      <c r="E92" s="47">
        <f t="shared" si="122"/>
        <v>349175</v>
      </c>
      <c r="F92" s="47">
        <f t="shared" si="122"/>
        <v>252982</v>
      </c>
      <c r="G92" s="47">
        <f t="shared" ref="G92" si="123">G80-G91</f>
        <v>546755</v>
      </c>
      <c r="H92" s="47">
        <f t="shared" ref="H92" si="124">H80-H91</f>
        <v>435819</v>
      </c>
      <c r="I92" s="47">
        <f t="shared" si="122"/>
        <v>-1323845</v>
      </c>
      <c r="J92" s="47">
        <f t="shared" ref="J92:K92" si="125">J80-J91</f>
        <v>1428960</v>
      </c>
      <c r="K92" s="47">
        <f t="shared" si="125"/>
        <v>2570569</v>
      </c>
      <c r="L92" s="47">
        <f t="shared" ref="L92:N92" si="126">L80-L91</f>
        <v>5149529</v>
      </c>
      <c r="M92" s="47">
        <f t="shared" si="126"/>
        <v>3165312</v>
      </c>
      <c r="N92" s="47">
        <f t="shared" si="126"/>
        <v>2787073</v>
      </c>
      <c r="O92" s="100"/>
      <c r="P92" s="104" t="str">
        <f t="shared" si="92"/>
        <v>Earnings From Operations</v>
      </c>
      <c r="Q92" s="99">
        <f t="shared" si="105"/>
        <v>6.1177077917463213E-2</v>
      </c>
      <c r="R92" s="99">
        <f t="shared" si="106"/>
        <v>6.2073543246778592E-2</v>
      </c>
      <c r="S92" s="99">
        <f t="shared" si="107"/>
        <v>7.5598477318494534E-2</v>
      </c>
      <c r="T92" s="99">
        <f t="shared" si="108"/>
        <v>1.6775735169238786E-2</v>
      </c>
      <c r="U92" s="99">
        <f t="shared" si="109"/>
        <v>1.1121625874065925E-2</v>
      </c>
      <c r="V92" s="99">
        <f t="shared" si="110"/>
        <v>2.2425789976348032E-2</v>
      </c>
      <c r="W92" s="99">
        <f t="shared" si="111"/>
        <v>1.7615234808158933E-2</v>
      </c>
      <c r="X92" s="99">
        <f t="shared" si="112"/>
        <v>-5.0822413680845786E-2</v>
      </c>
      <c r="Y92" s="99">
        <f t="shared" si="113"/>
        <v>4.613128621338735E-2</v>
      </c>
      <c r="Z92" s="99">
        <f t="shared" si="113"/>
        <v>7.4012025011678792E-2</v>
      </c>
      <c r="AA92" s="99"/>
      <c r="AB92" s="99"/>
      <c r="AC92" s="99"/>
      <c r="AD92" s="100">
        <f>SUM(G92:K92)/SUM(G$80:K$80)</f>
        <v>2.5967592657200715E-2</v>
      </c>
    </row>
    <row r="93" spans="1:30" x14ac:dyDescent="0.2">
      <c r="A93" s="5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100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</row>
    <row r="94" spans="1:30" x14ac:dyDescent="0.2">
      <c r="A94" s="31" t="s">
        <v>43</v>
      </c>
      <c r="B94" s="46">
        <v>659503</v>
      </c>
      <c r="C94" s="46">
        <v>573012</v>
      </c>
      <c r="D94" s="46">
        <v>540558</v>
      </c>
      <c r="E94" s="46">
        <v>519091</v>
      </c>
      <c r="F94" s="46">
        <v>499834</v>
      </c>
      <c r="G94" s="46">
        <v>512377</v>
      </c>
      <c r="H94" s="46">
        <v>506678</v>
      </c>
      <c r="I94" s="46">
        <v>465564</v>
      </c>
      <c r="J94" s="46">
        <v>528818</v>
      </c>
      <c r="K94" s="46">
        <v>1062888</v>
      </c>
      <c r="L94" s="46">
        <v>1406560</v>
      </c>
      <c r="M94" s="46">
        <v>1882400</v>
      </c>
      <c r="N94" s="46">
        <v>2046289</v>
      </c>
      <c r="O94" s="100">
        <f>RATE(5,,-J94,N94)</f>
        <v>0.31078706803957157</v>
      </c>
      <c r="P94" s="104" t="str">
        <f t="shared" si="92"/>
        <v xml:space="preserve">   Interest expense (net)</v>
      </c>
      <c r="Q94" s="99">
        <f t="shared" ref="Q94:Q103" si="127">+B94/B$80</f>
        <v>3.2479978117606931E-2</v>
      </c>
      <c r="R94" s="99">
        <f t="shared" ref="R94:R98" si="128">+C94/C$80</f>
        <v>2.7950369183475599E-2</v>
      </c>
      <c r="S94" s="99">
        <f t="shared" ref="S94:S98" si="129">+D94/D$80</f>
        <v>2.606191009012741E-2</v>
      </c>
      <c r="T94" s="99">
        <f t="shared" ref="T94:T98" si="130">+E94/E$80</f>
        <v>2.4939165589562055E-2</v>
      </c>
      <c r="U94" s="99">
        <f>+F94/F$80</f>
        <v>2.1973763932366209E-2</v>
      </c>
      <c r="V94" s="99">
        <f t="shared" ref="V94:V98" si="131">+G94/G$80</f>
        <v>2.1015736464616283E-2</v>
      </c>
      <c r="W94" s="99">
        <f t="shared" ref="W94:W98" si="132">+H94/H$80</f>
        <v>2.0479263047568721E-2</v>
      </c>
      <c r="X94" s="99">
        <f>+I94/I$80</f>
        <v>1.7873003412717716E-2</v>
      </c>
      <c r="Y94" s="99">
        <f t="shared" ref="Y94:Z98" si="133">+J94/J$80</f>
        <v>1.7071894603621567E-2</v>
      </c>
      <c r="Z94" s="99">
        <f t="shared" si="133"/>
        <v>3.0602754970052638E-2</v>
      </c>
      <c r="AA94" s="99"/>
      <c r="AB94" s="99"/>
      <c r="AC94" s="99"/>
      <c r="AD94" s="100">
        <f t="shared" ref="AD94:AD96" si="134">SUM(G94:K94)/SUM(G$80:K$80)</f>
        <v>2.1836829026592161E-2</v>
      </c>
    </row>
    <row r="95" spans="1:30" x14ac:dyDescent="0.2">
      <c r="A95" s="30" t="s">
        <v>64</v>
      </c>
      <c r="B95" s="46">
        <v>-203806</v>
      </c>
      <c r="C95" s="46">
        <v>-217495</v>
      </c>
      <c r="D95" s="46">
        <v>-233435</v>
      </c>
      <c r="E95" s="46">
        <v>-226127</v>
      </c>
      <c r="F95" s="46">
        <v>-180000</v>
      </c>
      <c r="G95" s="46">
        <v>-138433</v>
      </c>
      <c r="H95" s="46">
        <v>-108354</v>
      </c>
      <c r="I95" s="46">
        <v>-88247</v>
      </c>
      <c r="J95" s="46">
        <v>-80280</v>
      </c>
      <c r="K95" s="46">
        <v>-77780</v>
      </c>
      <c r="L95" s="46">
        <v>-66674</v>
      </c>
      <c r="M95" s="46">
        <v>-60479</v>
      </c>
      <c r="N95" s="46">
        <v>-54284</v>
      </c>
      <c r="O95" s="100">
        <f>RATE(5,,-J95,N95)</f>
        <v>-7.5274368387818397E-2</v>
      </c>
      <c r="P95" s="104" t="str">
        <f t="shared" si="92"/>
        <v xml:space="preserve">   Interest and Other Income</v>
      </c>
      <c r="Q95" s="99">
        <f t="shared" si="127"/>
        <v>-1.0037277192426718E-2</v>
      </c>
      <c r="R95" s="99">
        <f t="shared" si="128"/>
        <v>-1.0608967256462388E-2</v>
      </c>
      <c r="S95" s="99">
        <f t="shared" si="129"/>
        <v>-1.1254596143039029E-2</v>
      </c>
      <c r="T95" s="99">
        <f t="shared" si="130"/>
        <v>-1.0864027111375267E-2</v>
      </c>
      <c r="U95" s="99">
        <f>+F95/F$80</f>
        <v>-7.9131821921396249E-3</v>
      </c>
      <c r="V95" s="99">
        <f t="shared" si="131"/>
        <v>-5.6779899293024974E-3</v>
      </c>
      <c r="W95" s="99">
        <f t="shared" si="132"/>
        <v>-4.3795271716085193E-3</v>
      </c>
      <c r="X95" s="99">
        <f>+I95/I$80</f>
        <v>-3.3878026053605959E-3</v>
      </c>
      <c r="Y95" s="99">
        <f t="shared" si="133"/>
        <v>-2.5916888206882886E-3</v>
      </c>
      <c r="Z95" s="99">
        <f t="shared" si="133"/>
        <v>-2.239447883098402E-3</v>
      </c>
      <c r="AA95" s="99"/>
      <c r="AB95" s="99"/>
      <c r="AC95" s="99"/>
      <c r="AD95" s="100">
        <f t="shared" si="134"/>
        <v>-3.5001533882273281E-3</v>
      </c>
    </row>
    <row r="96" spans="1:30" x14ac:dyDescent="0.2">
      <c r="A96" s="31" t="s">
        <v>46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100"/>
      <c r="P96" s="104" t="str">
        <f t="shared" si="92"/>
        <v xml:space="preserve">   Loss (Gain) on Sale of Assets</v>
      </c>
      <c r="Q96" s="99">
        <f t="shared" si="127"/>
        <v>0</v>
      </c>
      <c r="R96" s="99">
        <f t="shared" si="128"/>
        <v>0</v>
      </c>
      <c r="S96" s="99">
        <f t="shared" si="129"/>
        <v>0</v>
      </c>
      <c r="T96" s="99">
        <f t="shared" si="130"/>
        <v>0</v>
      </c>
      <c r="U96" s="99">
        <f>+F96/F$80</f>
        <v>0</v>
      </c>
      <c r="V96" s="99">
        <f t="shared" si="131"/>
        <v>0</v>
      </c>
      <c r="W96" s="99">
        <f t="shared" si="132"/>
        <v>0</v>
      </c>
      <c r="X96" s="99">
        <f>+I96/I$80</f>
        <v>0</v>
      </c>
      <c r="Y96" s="99">
        <f t="shared" si="133"/>
        <v>0</v>
      </c>
      <c r="Z96" s="99">
        <f t="shared" si="133"/>
        <v>0</v>
      </c>
      <c r="AA96" s="99"/>
      <c r="AB96" s="99"/>
      <c r="AC96" s="99"/>
      <c r="AD96" s="100">
        <f t="shared" si="134"/>
        <v>0</v>
      </c>
    </row>
    <row r="97" spans="1:30" x14ac:dyDescent="0.2">
      <c r="A97" s="32" t="s">
        <v>76</v>
      </c>
      <c r="B97" s="46">
        <v>-729760</v>
      </c>
      <c r="C97" s="46">
        <v>-784932</v>
      </c>
      <c r="D97" s="46">
        <v>-832365</v>
      </c>
      <c r="E97" s="46">
        <v>-909819</v>
      </c>
      <c r="F97" s="46">
        <v>-1011176</v>
      </c>
      <c r="G97" s="46">
        <v>-1039260</v>
      </c>
      <c r="H97" s="46">
        <v>-1087608</v>
      </c>
      <c r="I97" s="46">
        <v>-1386989</v>
      </c>
      <c r="J97" s="46">
        <v>-1392208</v>
      </c>
      <c r="K97" s="46">
        <v>-1415360</v>
      </c>
      <c r="L97" s="46">
        <f>-1755970</f>
        <v>-1755970</v>
      </c>
      <c r="M97" s="46">
        <v>-1871646</v>
      </c>
      <c r="N97" s="46">
        <v>-1962094</v>
      </c>
      <c r="O97" s="106">
        <f>RATE(5,,-J97,N97)</f>
        <v>7.1033702099875598E-2</v>
      </c>
      <c r="P97" s="104" t="str">
        <f t="shared" si="92"/>
        <v xml:space="preserve">   Other (Income) Expense</v>
      </c>
      <c r="Q97" s="107">
        <f t="shared" si="127"/>
        <v>-3.5940077347798013E-2</v>
      </c>
      <c r="R97" s="107">
        <f t="shared" si="128"/>
        <v>-3.8287399188714842E-2</v>
      </c>
      <c r="S97" s="107">
        <f t="shared" si="129"/>
        <v>-4.0130794090863335E-2</v>
      </c>
      <c r="T97" s="107">
        <f t="shared" si="130"/>
        <v>-4.3711269695544251E-2</v>
      </c>
      <c r="U97" s="107">
        <f>+F97/F$80</f>
        <v>-4.4453443979549874E-2</v>
      </c>
      <c r="V97" s="107">
        <f t="shared" si="131"/>
        <v>-4.2626453330686424E-2</v>
      </c>
      <c r="W97" s="107">
        <f t="shared" si="132"/>
        <v>-4.3959694963349741E-2</v>
      </c>
      <c r="X97" s="107">
        <f>+I97/I$80</f>
        <v>-5.3246512037876496E-2</v>
      </c>
      <c r="Y97" s="107">
        <f t="shared" si="133"/>
        <v>-4.4944817011370208E-2</v>
      </c>
      <c r="Z97" s="107">
        <f t="shared" si="133"/>
        <v>-4.0751156541812217E-2</v>
      </c>
      <c r="AA97" s="107"/>
      <c r="AB97" s="107"/>
      <c r="AC97" s="107"/>
      <c r="AD97" s="106">
        <f>SUM(G97:K97)/SUM(G$80:K$80)</f>
        <v>-4.4871681935239403E-2</v>
      </c>
    </row>
    <row r="98" spans="1:30" x14ac:dyDescent="0.2">
      <c r="A98" s="5" t="s">
        <v>44</v>
      </c>
      <c r="B98" s="47">
        <f t="shared" ref="B98:I98" si="135">SUM(B94:B97)</f>
        <v>-274063</v>
      </c>
      <c r="C98" s="47">
        <f t="shared" si="135"/>
        <v>-429415</v>
      </c>
      <c r="D98" s="47">
        <f t="shared" si="135"/>
        <v>-525242</v>
      </c>
      <c r="E98" s="47">
        <f t="shared" si="135"/>
        <v>-616855</v>
      </c>
      <c r="F98" s="47">
        <f t="shared" si="135"/>
        <v>-691342</v>
      </c>
      <c r="G98" s="47">
        <f t="shared" ref="G98" si="136">SUM(G94:G97)</f>
        <v>-665316</v>
      </c>
      <c r="H98" s="47">
        <f t="shared" ref="H98" si="137">SUM(H94:H97)</f>
        <v>-689284</v>
      </c>
      <c r="I98" s="47">
        <f t="shared" si="135"/>
        <v>-1009672</v>
      </c>
      <c r="J98" s="47">
        <f t="shared" ref="J98:K98" si="138">SUM(J94:J97)</f>
        <v>-943670</v>
      </c>
      <c r="K98" s="47">
        <f t="shared" si="138"/>
        <v>-430252</v>
      </c>
      <c r="L98" s="47">
        <f t="shared" ref="L98:N98" si="139">SUM(L94:L97)</f>
        <v>-416084</v>
      </c>
      <c r="M98" s="47">
        <f t="shared" si="139"/>
        <v>-49725</v>
      </c>
      <c r="N98" s="47">
        <f t="shared" si="139"/>
        <v>29911</v>
      </c>
      <c r="O98" s="100"/>
      <c r="P98" s="104" t="str">
        <f t="shared" si="92"/>
        <v>Total Other Income/Expense</v>
      </c>
      <c r="Q98" s="99">
        <f t="shared" si="127"/>
        <v>-1.3497376422617802E-2</v>
      </c>
      <c r="R98" s="99">
        <f t="shared" si="128"/>
        <v>-2.094599726170163E-2</v>
      </c>
      <c r="S98" s="99">
        <f t="shared" si="129"/>
        <v>-2.5323480143774953E-2</v>
      </c>
      <c r="T98" s="99">
        <f t="shared" si="130"/>
        <v>-2.9636131217357461E-2</v>
      </c>
      <c r="U98" s="99">
        <f>+F98/F$80</f>
        <v>-3.0392862239323293E-2</v>
      </c>
      <c r="V98" s="99">
        <f t="shared" si="131"/>
        <v>-2.7288706795372639E-2</v>
      </c>
      <c r="W98" s="99">
        <f t="shared" si="132"/>
        <v>-2.785995908738954E-2</v>
      </c>
      <c r="X98" s="99">
        <f>+I98/I$80</f>
        <v>-3.8761311230519374E-2</v>
      </c>
      <c r="Y98" s="99">
        <f t="shared" si="133"/>
        <v>-3.0464611228436935E-2</v>
      </c>
      <c r="Z98" s="99">
        <f t="shared" si="133"/>
        <v>-1.2387849454857979E-2</v>
      </c>
      <c r="AA98" s="99"/>
      <c r="AB98" s="99"/>
      <c r="AC98" s="99"/>
      <c r="AD98" s="100">
        <f>SUM(G98:K98)/SUM(G$80:K$80)</f>
        <v>-2.653500629687457E-2</v>
      </c>
    </row>
    <row r="99" spans="1:30" ht="7.5" customHeight="1" x14ac:dyDescent="0.2">
      <c r="A99" s="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100"/>
      <c r="P99" s="104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</row>
    <row r="100" spans="1:30" x14ac:dyDescent="0.2">
      <c r="A100" s="5" t="s">
        <v>10</v>
      </c>
      <c r="B100" s="46">
        <f t="shared" ref="B100:I100" si="140">B92-B98</f>
        <v>1516258</v>
      </c>
      <c r="C100" s="46">
        <f t="shared" si="140"/>
        <v>1701988</v>
      </c>
      <c r="D100" s="46">
        <f t="shared" si="140"/>
        <v>2093253</v>
      </c>
      <c r="E100" s="49">
        <f t="shared" si="140"/>
        <v>966030</v>
      </c>
      <c r="F100" s="49">
        <f t="shared" si="140"/>
        <v>944324</v>
      </c>
      <c r="G100" s="49">
        <f t="shared" ref="G100:H100" si="141">G92-G98</f>
        <v>1212071</v>
      </c>
      <c r="H100" s="49">
        <f t="shared" si="141"/>
        <v>1125103</v>
      </c>
      <c r="I100" s="49">
        <f t="shared" si="140"/>
        <v>-314173</v>
      </c>
      <c r="J100" s="49">
        <f t="shared" ref="J100:K100" si="142">J92-J98</f>
        <v>2372630</v>
      </c>
      <c r="K100" s="49">
        <f t="shared" si="142"/>
        <v>3000821</v>
      </c>
      <c r="L100" s="49">
        <f t="shared" ref="L100:N100" si="143">L92-L98</f>
        <v>5565613</v>
      </c>
      <c r="M100" s="49">
        <f t="shared" si="143"/>
        <v>3215037</v>
      </c>
      <c r="N100" s="49">
        <f t="shared" si="143"/>
        <v>2757162</v>
      </c>
      <c r="O100" s="106"/>
      <c r="P100" s="104" t="str">
        <f t="shared" si="92"/>
        <v>Earnings Before Taxes</v>
      </c>
      <c r="Q100" s="107">
        <f t="shared" si="127"/>
        <v>7.4674454340081006E-2</v>
      </c>
      <c r="R100" s="107">
        <f t="shared" ref="R100:R101" si="144">+C100/C$80</f>
        <v>8.3019540508480219E-2</v>
      </c>
      <c r="S100" s="107">
        <f t="shared" ref="S100:S101" si="145">+D100/D$80</f>
        <v>0.10092195746226949</v>
      </c>
      <c r="T100" s="107">
        <f t="shared" ref="T100:T101" si="146">+E100/E$80</f>
        <v>4.6411866386596244E-2</v>
      </c>
      <c r="U100" s="107">
        <f>+F100/F$80</f>
        <v>4.1514488113389217E-2</v>
      </c>
      <c r="V100" s="107">
        <f t="shared" ref="V100:V101" si="147">+G100/G$80</f>
        <v>4.971449677172067E-2</v>
      </c>
      <c r="W100" s="107">
        <f t="shared" ref="W100:W101" si="148">+H100/H$80</f>
        <v>4.5475193895548473E-2</v>
      </c>
      <c r="X100" s="107">
        <f>+I100/I$80</f>
        <v>-1.2061102450326407E-2</v>
      </c>
      <c r="Y100" s="107">
        <f t="shared" ref="Y100:Z101" si="149">+J100/J$80</f>
        <v>7.6595897441824282E-2</v>
      </c>
      <c r="Z100" s="107">
        <f t="shared" si="149"/>
        <v>8.6399874466536769E-2</v>
      </c>
      <c r="AA100" s="107"/>
      <c r="AB100" s="107"/>
      <c r="AC100" s="107"/>
      <c r="AD100" s="106">
        <f>SUM(G100:K100)/SUM(G$80:K$80)</f>
        <v>5.2502598954075282E-2</v>
      </c>
    </row>
    <row r="101" spans="1:30" x14ac:dyDescent="0.2">
      <c r="A101" s="5" t="s">
        <v>97</v>
      </c>
      <c r="B101" s="47">
        <f>16360+67835</f>
        <v>84195</v>
      </c>
      <c r="C101" s="47">
        <f>16360+57582</f>
        <v>73942</v>
      </c>
      <c r="D101" s="47">
        <f>24540+63206</f>
        <v>87746</v>
      </c>
      <c r="E101" s="46">
        <f>16360+52212</f>
        <v>68572</v>
      </c>
      <c r="F101" s="46">
        <f>32720+48145</f>
        <v>80865</v>
      </c>
      <c r="G101" s="46">
        <f t="shared" ref="G101" si="150">16360+140485</f>
        <v>156845</v>
      </c>
      <c r="H101" s="46">
        <v>311329</v>
      </c>
      <c r="I101" s="46">
        <f>16360+323775</f>
        <v>340135</v>
      </c>
      <c r="J101" s="46">
        <f>21268+253521</f>
        <v>274789</v>
      </c>
      <c r="K101" s="46">
        <f>16360+496517</f>
        <v>512877</v>
      </c>
      <c r="L101" s="46">
        <f>16360+689568</f>
        <v>705928</v>
      </c>
      <c r="M101" s="46">
        <f>16360+638756</f>
        <v>655116</v>
      </c>
      <c r="N101" s="46">
        <f>16360+782440</f>
        <v>798800</v>
      </c>
      <c r="O101" s="100">
        <f>RATE(5,,-J101,N101)</f>
        <v>0.2379062126218833</v>
      </c>
      <c r="P101" s="104" t="str">
        <f t="shared" si="92"/>
        <v>Patronage Capital Credits</v>
      </c>
      <c r="Q101" s="99">
        <f t="shared" si="127"/>
        <v>4.1465342198775679E-3</v>
      </c>
      <c r="R101" s="99">
        <f t="shared" si="144"/>
        <v>3.6067415659088342E-3</v>
      </c>
      <c r="S101" s="99">
        <f t="shared" si="145"/>
        <v>4.2304958261062085E-3</v>
      </c>
      <c r="T101" s="99">
        <f t="shared" si="146"/>
        <v>3.2944675650463007E-3</v>
      </c>
      <c r="U101" s="99">
        <f>+F101/F$80</f>
        <v>3.5549970998187265E-3</v>
      </c>
      <c r="V101" s="99">
        <f t="shared" si="147"/>
        <v>6.4331794475410509E-3</v>
      </c>
      <c r="W101" s="99">
        <f t="shared" si="148"/>
        <v>1.2583511589878625E-2</v>
      </c>
      <c r="X101" s="99">
        <f>+I101/I$80</f>
        <v>1.305778371133666E-2</v>
      </c>
      <c r="Y101" s="99">
        <f t="shared" si="149"/>
        <v>8.8710460805694336E-3</v>
      </c>
      <c r="Z101" s="99">
        <f t="shared" si="149"/>
        <v>1.4766794959370779E-2</v>
      </c>
      <c r="AA101" s="99"/>
      <c r="AB101" s="99"/>
      <c r="AC101" s="99"/>
      <c r="AD101" s="100">
        <f>SUM(G101:K101)/SUM(G$80:K$80)</f>
        <v>1.1328787824990996E-2</v>
      </c>
    </row>
    <row r="102" spans="1:30" x14ac:dyDescent="0.2">
      <c r="A102" s="5" t="s">
        <v>13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106"/>
      <c r="P102" s="104" t="str">
        <f t="shared" si="92"/>
        <v>Income Taxes</v>
      </c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</row>
    <row r="103" spans="1:30" ht="13.5" thickBot="1" x14ac:dyDescent="0.25">
      <c r="A103" s="5" t="s">
        <v>80</v>
      </c>
      <c r="B103" s="47">
        <f t="shared" ref="B103:I103" si="151">B100+B101-B102</f>
        <v>1600453</v>
      </c>
      <c r="C103" s="47">
        <f t="shared" si="151"/>
        <v>1775930</v>
      </c>
      <c r="D103" s="50">
        <f t="shared" si="151"/>
        <v>2180999</v>
      </c>
      <c r="E103" s="50">
        <f t="shared" si="151"/>
        <v>1034602</v>
      </c>
      <c r="F103" s="50">
        <f t="shared" si="151"/>
        <v>1025189</v>
      </c>
      <c r="G103" s="50">
        <f t="shared" ref="G103" si="152">G100+G101-G102</f>
        <v>1368916</v>
      </c>
      <c r="H103" s="50">
        <f t="shared" ref="H103" si="153">H100+H101-H102</f>
        <v>1436432</v>
      </c>
      <c r="I103" s="50">
        <f t="shared" si="151"/>
        <v>25962</v>
      </c>
      <c r="J103" s="50">
        <f t="shared" ref="J103:K103" si="154">J100+J101-J102</f>
        <v>2647419</v>
      </c>
      <c r="K103" s="50">
        <f t="shared" si="154"/>
        <v>3513698</v>
      </c>
      <c r="L103" s="50">
        <f t="shared" ref="L103:N103" si="155">L100+L101-L102</f>
        <v>6271541</v>
      </c>
      <c r="M103" s="50">
        <f t="shared" si="155"/>
        <v>3870153</v>
      </c>
      <c r="N103" s="50">
        <f t="shared" si="155"/>
        <v>3555962</v>
      </c>
      <c r="O103" s="114">
        <f>RATE(5,,-J103,N103)</f>
        <v>6.0783817843996925E-2</v>
      </c>
      <c r="P103" s="104" t="str">
        <f t="shared" si="92"/>
        <v>Net Margin</v>
      </c>
      <c r="Q103" s="115">
        <f t="shared" si="127"/>
        <v>7.8820988559958574E-2</v>
      </c>
      <c r="R103" s="115">
        <f t="shared" ref="R103" si="156">+C103/C$80</f>
        <v>8.6626282074389063E-2</v>
      </c>
      <c r="S103" s="115">
        <f t="shared" ref="S103" si="157">+D103/D$80</f>
        <v>0.10515245328837569</v>
      </c>
      <c r="T103" s="115">
        <f t="shared" ref="T103" si="158">+E103/E$80</f>
        <v>4.9706333951642548E-2</v>
      </c>
      <c r="U103" s="115">
        <f>+F103/F$80</f>
        <v>4.5069485213207944E-2</v>
      </c>
      <c r="V103" s="115">
        <f t="shared" ref="V103" si="159">+G103/G$80</f>
        <v>5.614767621926172E-2</v>
      </c>
      <c r="W103" s="115">
        <f t="shared" ref="W103" si="160">+H103/H$80</f>
        <v>5.8058705485427103E-2</v>
      </c>
      <c r="X103" s="115">
        <f>+I103/I$80</f>
        <v>9.9668126101025282E-4</v>
      </c>
      <c r="Y103" s="115">
        <f t="shared" ref="Y103:Z103" si="161">+J103/J$80</f>
        <v>8.5466943522393715E-2</v>
      </c>
      <c r="Z103" s="115">
        <f t="shared" si="161"/>
        <v>0.10116666942590755</v>
      </c>
      <c r="AA103" s="115"/>
      <c r="AB103" s="115"/>
      <c r="AC103" s="115"/>
      <c r="AD103" s="116">
        <f>SUM(G103:K103)/SUM(G$80:K$80)</f>
        <v>6.3831386779066288E-2</v>
      </c>
    </row>
    <row r="104" spans="1:30" ht="13.5" thickTop="1" x14ac:dyDescent="0.2">
      <c r="A104" s="5"/>
      <c r="B104" s="141"/>
      <c r="C104" s="141"/>
      <c r="D104" s="46"/>
      <c r="E104" s="46"/>
      <c r="F104" s="46"/>
      <c r="G104" s="46"/>
      <c r="H104" s="46"/>
      <c r="I104" s="46"/>
      <c r="J104" s="46"/>
      <c r="K104" s="46"/>
      <c r="L104" s="46">
        <f>L103-6271541</f>
        <v>0</v>
      </c>
      <c r="M104" s="46"/>
      <c r="N104" s="46"/>
      <c r="O104" s="100"/>
      <c r="P104" s="104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104"/>
    </row>
    <row r="105" spans="1:30" x14ac:dyDescent="0.2">
      <c r="A105" s="18" t="s">
        <v>79</v>
      </c>
      <c r="B105" s="142">
        <f>-'Cash Flow'!B48</f>
        <v>374677</v>
      </c>
      <c r="C105" s="142">
        <f>-'Cash Flow'!C48</f>
        <v>402752</v>
      </c>
      <c r="D105" s="142">
        <f>-'Cash Flow'!D48</f>
        <v>279148</v>
      </c>
      <c r="E105" s="142">
        <f>-'Cash Flow'!E48</f>
        <v>0</v>
      </c>
      <c r="F105" s="142">
        <f>-'Cash Flow'!F48</f>
        <v>341124</v>
      </c>
      <c r="G105" s="142">
        <f>-'Cash Flow'!G48</f>
        <v>577166</v>
      </c>
      <c r="H105" s="142">
        <f>-'Cash Flow'!H48</f>
        <v>619396</v>
      </c>
      <c r="I105" s="142">
        <f>-'Cash Flow'!I48</f>
        <v>0</v>
      </c>
      <c r="J105" s="142">
        <v>668410</v>
      </c>
      <c r="K105" s="142">
        <v>758786</v>
      </c>
      <c r="L105" s="142">
        <v>1070047</v>
      </c>
      <c r="M105" s="142">
        <v>1162702</v>
      </c>
      <c r="N105" s="142">
        <v>1347061</v>
      </c>
      <c r="O105" s="100">
        <f>RATE(5,,-J105,N105)</f>
        <v>0.15045295725343841</v>
      </c>
      <c r="P105" s="104" t="str">
        <f t="shared" ref="P105" si="162">+A105</f>
        <v>Return of Patrons Capital</v>
      </c>
      <c r="Q105" s="99">
        <f>+B105/B103</f>
        <v>0.23410684349993408</v>
      </c>
      <c r="R105" s="99">
        <f>+C105/C103</f>
        <v>0.22678371332203409</v>
      </c>
      <c r="S105" s="99">
        <f>+D105/D103</f>
        <v>0.12799088857904106</v>
      </c>
      <c r="T105" s="99">
        <f>+E105/E103</f>
        <v>0</v>
      </c>
      <c r="U105" s="99">
        <f>+F105/F103</f>
        <v>0.33274254795944941</v>
      </c>
      <c r="V105" s="99">
        <f t="shared" ref="V105" si="163">+G105/G103</f>
        <v>0.42162265617466665</v>
      </c>
      <c r="W105" s="99">
        <f t="shared" ref="W105" si="164">+H105/H103</f>
        <v>0.43120454013834281</v>
      </c>
      <c r="X105" s="99">
        <f>+I105/I103</f>
        <v>0</v>
      </c>
      <c r="Y105" s="99">
        <f t="shared" ref="Y105:Z105" si="165">+J105/J103</f>
        <v>0.25247609086434752</v>
      </c>
      <c r="Z105" s="99">
        <f t="shared" si="165"/>
        <v>0.21595083015102606</v>
      </c>
      <c r="AA105" s="99"/>
      <c r="AB105" s="99"/>
      <c r="AC105" s="99"/>
      <c r="AD105" s="100">
        <f>SUM(G105:K105)/SUM(G$103:K$103)</f>
        <v>0.29177417842813735</v>
      </c>
    </row>
    <row r="106" spans="1:30" x14ac:dyDescent="0.2">
      <c r="A106" s="5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00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</row>
    <row r="107" spans="1:30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26" t="str">
        <f>+O68</f>
        <v>Exhibit 1</v>
      </c>
    </row>
    <row r="108" spans="1:30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74" t="s">
        <v>156</v>
      </c>
    </row>
    <row r="109" spans="1:30" ht="18" x14ac:dyDescent="0.25">
      <c r="A109" s="23" t="str">
        <f>A3</f>
        <v>Dixie Escalante Rural Electric Association, Inc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30" ht="15.75" x14ac:dyDescent="0.25">
      <c r="A110" s="24" t="s">
        <v>145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8"/>
    </row>
    <row r="111" spans="1:30" ht="15.75" x14ac:dyDescent="0.25">
      <c r="A111" s="25" t="str">
        <f>A5</f>
        <v>Years Ended December 31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8"/>
    </row>
    <row r="112" spans="1:30" ht="15.75" x14ac:dyDescent="0.25">
      <c r="A112" s="2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8"/>
    </row>
    <row r="113" spans="1:1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17"/>
    </row>
    <row r="114" spans="1:15" x14ac:dyDescent="0.2">
      <c r="A114" s="41"/>
      <c r="B114" s="41"/>
      <c r="C114" s="43"/>
      <c r="D114" s="43"/>
      <c r="E114" s="43"/>
      <c r="F114" s="45"/>
      <c r="G114" s="45"/>
      <c r="H114" s="45"/>
      <c r="I114" s="45"/>
      <c r="J114" s="45"/>
      <c r="K114" s="45"/>
      <c r="L114" s="45"/>
      <c r="M114" s="45"/>
      <c r="N114" s="45"/>
      <c r="O114" s="145" t="s">
        <v>153</v>
      </c>
    </row>
    <row r="115" spans="1:15" x14ac:dyDescent="0.2">
      <c r="A115" s="44" t="s">
        <v>23</v>
      </c>
      <c r="B115" s="42">
        <f>+B76</f>
        <v>2008</v>
      </c>
      <c r="C115" s="42">
        <f t="shared" ref="C115:F115" si="166">+C76</f>
        <v>2009</v>
      </c>
      <c r="D115" s="42">
        <f t="shared" si="166"/>
        <v>2010</v>
      </c>
      <c r="E115" s="42">
        <f t="shared" si="166"/>
        <v>2011</v>
      </c>
      <c r="F115" s="42">
        <f t="shared" si="166"/>
        <v>2012</v>
      </c>
      <c r="G115" s="42">
        <f t="shared" ref="G115:I115" si="167">+G76</f>
        <v>2013</v>
      </c>
      <c r="H115" s="42">
        <f t="shared" si="167"/>
        <v>2014</v>
      </c>
      <c r="I115" s="42">
        <f t="shared" si="167"/>
        <v>2015</v>
      </c>
      <c r="J115" s="42">
        <f t="shared" ref="J115:K115" si="168">+J76</f>
        <v>2016</v>
      </c>
      <c r="K115" s="42">
        <f t="shared" si="168"/>
        <v>2017</v>
      </c>
      <c r="L115" s="42">
        <f t="shared" ref="L115:N115" si="169">+L76</f>
        <v>2018</v>
      </c>
      <c r="M115" s="42">
        <f t="shared" si="169"/>
        <v>2019</v>
      </c>
      <c r="N115" s="42">
        <f t="shared" si="169"/>
        <v>2020</v>
      </c>
      <c r="O115" s="146" t="s">
        <v>2</v>
      </c>
    </row>
    <row r="116" spans="1:15" ht="7.5" customHeight="1" x14ac:dyDescent="0.2">
      <c r="A116" s="21"/>
      <c r="B116" s="34"/>
      <c r="C116" s="34"/>
      <c r="D116" s="34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8"/>
    </row>
    <row r="117" spans="1:15" x14ac:dyDescent="0.2">
      <c r="A117" s="16" t="s">
        <v>30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17"/>
    </row>
    <row r="118" spans="1:15" x14ac:dyDescent="0.2">
      <c r="A118" s="5" t="s">
        <v>5</v>
      </c>
      <c r="B118" s="36">
        <f t="shared" ref="B118:I118" si="170">B18/B47</f>
        <v>1.5958546032379486</v>
      </c>
      <c r="C118" s="36">
        <f t="shared" si="170"/>
        <v>1.7464138786625576</v>
      </c>
      <c r="D118" s="36">
        <f t="shared" si="170"/>
        <v>1.6773971756175505</v>
      </c>
      <c r="E118" s="36">
        <f t="shared" si="170"/>
        <v>1.9741290120582751</v>
      </c>
      <c r="F118" s="36">
        <f t="shared" si="170"/>
        <v>2.1708276166992873</v>
      </c>
      <c r="G118" s="36">
        <f t="shared" ref="G118:H118" si="171">G18/G47</f>
        <v>2.4915686274509805</v>
      </c>
      <c r="H118" s="36">
        <f t="shared" si="171"/>
        <v>2.2455952496474452</v>
      </c>
      <c r="I118" s="36">
        <f t="shared" si="170"/>
        <v>1.3222154227231477</v>
      </c>
      <c r="J118" s="36">
        <f t="shared" ref="J118:K118" si="172">J18/J47</f>
        <v>1.9515787514105141</v>
      </c>
      <c r="K118" s="36">
        <f t="shared" si="172"/>
        <v>1.8179005796991627</v>
      </c>
      <c r="L118" s="36">
        <f t="shared" ref="L118:N118" si="173">L18/L47</f>
        <v>1.803524782230471</v>
      </c>
      <c r="M118" s="36">
        <f t="shared" si="173"/>
        <v>0.99831144903694524</v>
      </c>
      <c r="N118" s="36">
        <f t="shared" si="173"/>
        <v>1.1763568330939358</v>
      </c>
      <c r="O118" s="36">
        <f>AVERAGE(J118:N118)</f>
        <v>1.5495344790942061</v>
      </c>
    </row>
    <row r="119" spans="1:15" x14ac:dyDescent="0.2">
      <c r="A119" s="5" t="s">
        <v>22</v>
      </c>
      <c r="B119" s="36">
        <f t="shared" ref="B119:I119" si="174">(B12+B13)/B47</f>
        <v>0.29493604542497914</v>
      </c>
      <c r="C119" s="36">
        <f t="shared" si="174"/>
        <v>0.60825328083059438</v>
      </c>
      <c r="D119" s="36">
        <f t="shared" si="174"/>
        <v>0.49145713976338462</v>
      </c>
      <c r="E119" s="36">
        <f t="shared" si="174"/>
        <v>0.63695337336714331</v>
      </c>
      <c r="F119" s="36">
        <f t="shared" si="174"/>
        <v>0.78880475176216247</v>
      </c>
      <c r="G119" s="36">
        <f t="shared" ref="G119:H119" si="175">(G12+G13)/G47</f>
        <v>1.039489019228214</v>
      </c>
      <c r="H119" s="36">
        <f t="shared" si="175"/>
        <v>0.82462124296331163</v>
      </c>
      <c r="I119" s="36">
        <f t="shared" si="174"/>
        <v>0.345749752226578</v>
      </c>
      <c r="J119" s="36">
        <f t="shared" ref="J119:K119" si="176">(J12+J13)/J47</f>
        <v>1.2306014071469686</v>
      </c>
      <c r="K119" s="36">
        <f t="shared" si="176"/>
        <v>0.73836547569431288</v>
      </c>
      <c r="L119" s="36">
        <f t="shared" ref="L119:N119" si="177">(L12+L13)/L47</f>
        <v>0.92624684479477493</v>
      </c>
      <c r="M119" s="36">
        <f t="shared" si="177"/>
        <v>0.46990298226311167</v>
      </c>
      <c r="N119" s="36">
        <f t="shared" si="177"/>
        <v>0.66820695352239345</v>
      </c>
      <c r="O119" s="36">
        <f t="shared" ref="O119:O120" si="178">AVERAGE(J119:N119)</f>
        <v>0.80666473268431227</v>
      </c>
    </row>
    <row r="120" spans="1:15" x14ac:dyDescent="0.2">
      <c r="A120" s="5" t="s">
        <v>8</v>
      </c>
      <c r="B120" s="36"/>
      <c r="C120" s="36">
        <f t="shared" ref="C120:J120" si="179">365*(((B13+C13)/2)/((B80+C80)/2))</f>
        <v>19.59041781688666</v>
      </c>
      <c r="D120" s="36">
        <f t="shared" si="179"/>
        <v>19.577281070526595</v>
      </c>
      <c r="E120" s="36">
        <f t="shared" si="179"/>
        <v>21.015891531135171</v>
      </c>
      <c r="F120" s="36">
        <f t="shared" si="179"/>
        <v>20.652919391945247</v>
      </c>
      <c r="G120" s="36">
        <f t="shared" si="179"/>
        <v>20.355786195186425</v>
      </c>
      <c r="H120" s="36">
        <f t="shared" si="179"/>
        <v>18.937427341118873</v>
      </c>
      <c r="I120" s="36">
        <f t="shared" si="179"/>
        <v>20.226735460447269</v>
      </c>
      <c r="J120" s="36">
        <f t="shared" si="179"/>
        <v>19.640257171365747</v>
      </c>
      <c r="K120" s="36">
        <f>365*(((J13+K13)/2)/((J80+K80)/2))</f>
        <v>21.699118258805406</v>
      </c>
      <c r="L120" s="36">
        <f t="shared" ref="L120:N120" si="180">365*(((K13+L13)/2)/((K80+L80)/2))</f>
        <v>32.483532907026877</v>
      </c>
      <c r="M120" s="36">
        <f t="shared" si="180"/>
        <v>42.775814622287676</v>
      </c>
      <c r="N120" s="36">
        <f t="shared" si="180"/>
        <v>44.275053136932677</v>
      </c>
      <c r="O120" s="36">
        <f t="shared" si="178"/>
        <v>32.174755219283682</v>
      </c>
    </row>
    <row r="121" spans="1:15" x14ac:dyDescent="0.2">
      <c r="A121" s="5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</row>
    <row r="122" spans="1:15" x14ac:dyDescent="0.2">
      <c r="A122" s="16" t="s">
        <v>14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</row>
    <row r="123" spans="1:15" x14ac:dyDescent="0.2">
      <c r="A123" s="5" t="s">
        <v>17</v>
      </c>
      <c r="B123" s="36">
        <f t="shared" ref="B123:I123" si="181">B65/B57</f>
        <v>0.42733618959892627</v>
      </c>
      <c r="C123" s="36">
        <f t="shared" si="181"/>
        <v>0.44267490473675192</v>
      </c>
      <c r="D123" s="36">
        <f t="shared" si="181"/>
        <v>0.47969817578432977</v>
      </c>
      <c r="E123" s="36">
        <f t="shared" si="181"/>
        <v>0.62367870549033566</v>
      </c>
      <c r="F123" s="36">
        <f t="shared" si="181"/>
        <v>0.58922243825496534</v>
      </c>
      <c r="G123" s="36">
        <f t="shared" ref="G123:H123" si="182">G65/G57</f>
        <v>0.57799639627662736</v>
      </c>
      <c r="H123" s="36">
        <f t="shared" si="182"/>
        <v>0.55486496011125797</v>
      </c>
      <c r="I123" s="36">
        <f t="shared" si="181"/>
        <v>0.52131074502149377</v>
      </c>
      <c r="J123" s="98">
        <f t="shared" ref="J123:K123" si="183">J65/J57</f>
        <v>0.3861399056303918</v>
      </c>
      <c r="K123" s="98">
        <f t="shared" si="183"/>
        <v>0.36148242432566341</v>
      </c>
      <c r="L123" s="98">
        <f t="shared" ref="L123:N123" si="184">L65/L57</f>
        <v>0.36227664991253078</v>
      </c>
      <c r="M123" s="98">
        <f t="shared" si="184"/>
        <v>0.36175749347694353</v>
      </c>
      <c r="N123" s="98">
        <f t="shared" si="184"/>
        <v>0.34861345007991268</v>
      </c>
      <c r="O123" s="36">
        <f t="shared" ref="O123:O126" si="185">AVERAGE(J123:N123)</f>
        <v>0.36405398468508843</v>
      </c>
    </row>
    <row r="124" spans="1:15" x14ac:dyDescent="0.2">
      <c r="A124" s="5" t="s">
        <v>16</v>
      </c>
      <c r="B124" s="36">
        <f t="shared" ref="B124:I124" si="186">B65/B55</f>
        <v>0.51770683510655202</v>
      </c>
      <c r="C124" s="36">
        <f t="shared" si="186"/>
        <v>0.51094989813481184</v>
      </c>
      <c r="D124" s="36">
        <f t="shared" si="186"/>
        <v>0.54020381261565231</v>
      </c>
      <c r="E124" s="36">
        <f t="shared" si="186"/>
        <v>0.71168376566534963</v>
      </c>
      <c r="F124" s="36">
        <f t="shared" si="186"/>
        <v>0.6811087589387701</v>
      </c>
      <c r="G124" s="36">
        <f t="shared" ref="G124:H124" si="187">G65/G55</f>
        <v>0.66780474817823055</v>
      </c>
      <c r="H124" s="36">
        <f t="shared" si="187"/>
        <v>0.63575179439228324</v>
      </c>
      <c r="I124" s="36">
        <f t="shared" si="186"/>
        <v>0.62606639003994524</v>
      </c>
      <c r="J124" s="98">
        <f t="shared" ref="J124:K124" si="188">J65/J55</f>
        <v>0.45127664418132685</v>
      </c>
      <c r="K124" s="98">
        <f t="shared" si="188"/>
        <v>0.40228418021752799</v>
      </c>
      <c r="L124" s="98">
        <f t="shared" ref="L124:N124" si="189">L65/L55</f>
        <v>0.39751985679965141</v>
      </c>
      <c r="M124" s="98">
        <f t="shared" si="189"/>
        <v>0.41532760760993437</v>
      </c>
      <c r="N124" s="98">
        <f t="shared" si="189"/>
        <v>0.39155088055726855</v>
      </c>
      <c r="O124" s="36">
        <f t="shared" si="185"/>
        <v>0.41159183387314185</v>
      </c>
    </row>
    <row r="125" spans="1:15" x14ac:dyDescent="0.2">
      <c r="A125" s="5" t="s">
        <v>15</v>
      </c>
      <c r="B125" s="36">
        <f t="shared" ref="B125:I125" si="190">B65/B28</f>
        <v>0.42007191123770582</v>
      </c>
      <c r="C125" s="36">
        <f t="shared" si="190"/>
        <v>0.41471018477813942</v>
      </c>
      <c r="D125" s="36">
        <f t="shared" si="190"/>
        <v>0.41700213425678395</v>
      </c>
      <c r="E125" s="36">
        <f t="shared" si="190"/>
        <v>0.51640853756094796</v>
      </c>
      <c r="F125" s="36">
        <f t="shared" si="190"/>
        <v>0.49792281879110517</v>
      </c>
      <c r="G125" s="36">
        <f t="shared" ref="G125:H125" si="191">G65/G28</f>
        <v>0.5079944584976247</v>
      </c>
      <c r="H125" s="36">
        <f t="shared" si="191"/>
        <v>0.46638062076489356</v>
      </c>
      <c r="I125" s="36">
        <f t="shared" si="190"/>
        <v>0.42593989914388208</v>
      </c>
      <c r="J125" s="98">
        <f t="shared" ref="J125:K125" si="192">J65/J28</f>
        <v>0.36606313902464888</v>
      </c>
      <c r="K125" s="98">
        <f t="shared" si="192"/>
        <v>0.3191854682424155</v>
      </c>
      <c r="L125" s="98">
        <f t="shared" ref="L125:N125" si="193">L65/L28</f>
        <v>0.31211123868455004</v>
      </c>
      <c r="M125" s="98">
        <f t="shared" si="193"/>
        <v>0.30338592815334442</v>
      </c>
      <c r="N125" s="98">
        <f t="shared" si="193"/>
        <v>0.29436017213172899</v>
      </c>
      <c r="O125" s="36">
        <f t="shared" si="185"/>
        <v>0.31902118924733758</v>
      </c>
    </row>
    <row r="126" spans="1:15" x14ac:dyDescent="0.2">
      <c r="A126" s="5" t="s">
        <v>31</v>
      </c>
      <c r="B126" s="36">
        <f t="shared" ref="B126:I126" si="194">(B100+B94)/B94</f>
        <v>3.2990918919246766</v>
      </c>
      <c r="C126" s="36">
        <f t="shared" si="194"/>
        <v>3.9702484415684141</v>
      </c>
      <c r="D126" s="36">
        <f t="shared" si="194"/>
        <v>4.872392971707014</v>
      </c>
      <c r="E126" s="36">
        <f t="shared" si="194"/>
        <v>2.8610031767069741</v>
      </c>
      <c r="F126" s="36">
        <f t="shared" si="194"/>
        <v>2.8892752393794741</v>
      </c>
      <c r="G126" s="36">
        <f t="shared" ref="G126:H126" si="195">(G100+G94)/G94</f>
        <v>3.3655843256039986</v>
      </c>
      <c r="H126" s="36">
        <f t="shared" si="195"/>
        <v>3.2205483561551911</v>
      </c>
      <c r="I126" s="36">
        <f t="shared" si="194"/>
        <v>0.32517763400950245</v>
      </c>
      <c r="J126" s="98">
        <f t="shared" ref="J126:K126" si="196">(J100+J94)/J94</f>
        <v>5.4866664901724223</v>
      </c>
      <c r="K126" s="98">
        <f t="shared" si="196"/>
        <v>3.8232711254619489</v>
      </c>
      <c r="L126" s="98">
        <f t="shared" ref="L126:N126" si="197">(L100+L94)/L94</f>
        <v>4.9568969684905015</v>
      </c>
      <c r="M126" s="98">
        <f t="shared" si="197"/>
        <v>2.7079457076073097</v>
      </c>
      <c r="N126" s="98">
        <f t="shared" si="197"/>
        <v>2.3473961889058681</v>
      </c>
      <c r="O126" s="36">
        <f t="shared" si="185"/>
        <v>3.8644352961276098</v>
      </c>
    </row>
    <row r="127" spans="1:15" x14ac:dyDescent="0.2">
      <c r="A127" s="21"/>
      <c r="B127" s="36"/>
      <c r="C127" s="36"/>
      <c r="D127" s="36"/>
      <c r="E127" s="36"/>
      <c r="F127" s="36"/>
      <c r="G127" s="36"/>
      <c r="H127" s="36"/>
      <c r="I127" s="36"/>
      <c r="J127" s="98"/>
      <c r="K127" s="98"/>
      <c r="L127" s="98"/>
      <c r="M127" s="98"/>
      <c r="N127" s="98"/>
      <c r="O127" s="36"/>
    </row>
    <row r="128" spans="1:15" x14ac:dyDescent="0.2">
      <c r="A128" s="94" t="s">
        <v>57</v>
      </c>
      <c r="B128" s="36"/>
      <c r="C128" s="36"/>
      <c r="D128" s="36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36"/>
    </row>
    <row r="129" spans="1:15" x14ac:dyDescent="0.2">
      <c r="A129" s="21" t="s">
        <v>146</v>
      </c>
      <c r="B129" s="37">
        <f>(B80-B83)/B80</f>
        <v>0.38841907639182227</v>
      </c>
      <c r="C129" s="37">
        <f>(C80-C83)/C80</f>
        <v>0.38422855645512455</v>
      </c>
      <c r="D129" s="37">
        <f t="shared" ref="D129:F129" si="198">(D80-D83)/D80</f>
        <v>0.41547624006668049</v>
      </c>
      <c r="E129" s="99">
        <f t="shared" si="198"/>
        <v>0.37793080513103283</v>
      </c>
      <c r="F129" s="99">
        <f t="shared" si="198"/>
        <v>0.37738502212218006</v>
      </c>
      <c r="G129" s="99">
        <f t="shared" ref="G129:I129" si="199">(G80-G83)/G80</f>
        <v>0.40636336994504041</v>
      </c>
      <c r="H129" s="99">
        <f t="shared" si="199"/>
        <v>0.42466996216446473</v>
      </c>
      <c r="I129" s="99">
        <f t="shared" si="199"/>
        <v>0.34403892316348367</v>
      </c>
      <c r="J129" s="99">
        <f t="shared" ref="J129:K129" si="200">(J80-J83)/J80</f>
        <v>0.38436588576921682</v>
      </c>
      <c r="K129" s="99">
        <f t="shared" si="200"/>
        <v>0.38223335835844841</v>
      </c>
      <c r="L129" s="99">
        <f t="shared" ref="L129:N129" si="201">(L80-L83)/L80</f>
        <v>0.43163245087642926</v>
      </c>
      <c r="M129" s="99">
        <f t="shared" si="201"/>
        <v>0.43387507326474001</v>
      </c>
      <c r="N129" s="99">
        <f t="shared" si="201"/>
        <v>0.41113245100880402</v>
      </c>
      <c r="O129" s="37">
        <f>AVERAGE(J129:N129)</f>
        <v>0.40864784385552771</v>
      </c>
    </row>
    <row r="130" spans="1:15" x14ac:dyDescent="0.2">
      <c r="A130" s="21" t="s">
        <v>80</v>
      </c>
      <c r="B130" s="37">
        <f>+B103/B80</f>
        <v>7.8820988559958574E-2</v>
      </c>
      <c r="C130" s="37">
        <f>+C103/C80</f>
        <v>8.6626282074389063E-2</v>
      </c>
      <c r="D130" s="37">
        <f t="shared" ref="D130:F130" si="202">+D103/D80</f>
        <v>0.10515245328837569</v>
      </c>
      <c r="E130" s="99">
        <f t="shared" si="202"/>
        <v>4.9706333951642548E-2</v>
      </c>
      <c r="F130" s="99">
        <f t="shared" si="202"/>
        <v>4.5069485213207944E-2</v>
      </c>
      <c r="G130" s="99">
        <f t="shared" ref="G130:I130" si="203">+G103/G80</f>
        <v>5.614767621926172E-2</v>
      </c>
      <c r="H130" s="99">
        <f t="shared" si="203"/>
        <v>5.8058705485427103E-2</v>
      </c>
      <c r="I130" s="99">
        <f t="shared" si="203"/>
        <v>9.9668126101025282E-4</v>
      </c>
      <c r="J130" s="99">
        <f t="shared" ref="J130:K130" si="204">+J103/J80</f>
        <v>8.5466943522393715E-2</v>
      </c>
      <c r="K130" s="99">
        <f t="shared" si="204"/>
        <v>0.10116666942590755</v>
      </c>
      <c r="L130" s="99">
        <f t="shared" ref="L130:N130" si="205">+L103/L80</f>
        <v>0.16241668122748656</v>
      </c>
      <c r="M130" s="99">
        <f t="shared" si="205"/>
        <v>0.10186205154537178</v>
      </c>
      <c r="N130" s="99">
        <f t="shared" si="205"/>
        <v>8.5357611768357614E-2</v>
      </c>
      <c r="O130" s="37">
        <f t="shared" ref="O130:O133" si="206">AVERAGE(J130:N130)</f>
        <v>0.10725399149790345</v>
      </c>
    </row>
    <row r="131" spans="1:15" x14ac:dyDescent="0.2">
      <c r="A131" s="21" t="s">
        <v>24</v>
      </c>
      <c r="B131" s="17"/>
      <c r="C131" s="100">
        <f t="shared" ref="C131:J131" si="207">(C103+(C94*(1-(C102/C100))))/((B38+C38)/2)</f>
        <v>4.0597877179816541E-2</v>
      </c>
      <c r="D131" s="100">
        <f t="shared" si="207"/>
        <v>4.4794181220294181E-2</v>
      </c>
      <c r="E131" s="100">
        <f t="shared" si="207"/>
        <v>2.6512031281232234E-2</v>
      </c>
      <c r="F131" s="100">
        <f t="shared" si="207"/>
        <v>2.6745162388257877E-2</v>
      </c>
      <c r="G131" s="100">
        <f t="shared" si="207"/>
        <v>3.1159473962918814E-2</v>
      </c>
      <c r="H131" s="100">
        <f t="shared" si="207"/>
        <v>3.0466527213758858E-2</v>
      </c>
      <c r="I131" s="100">
        <f t="shared" si="207"/>
        <v>7.3210850140937953E-3</v>
      </c>
      <c r="J131" s="100">
        <f t="shared" si="207"/>
        <v>3.97157321007637E-2</v>
      </c>
      <c r="K131" s="100">
        <f>(K103+(K94*(1-(K102/K100))))/((J38+K38)/2)</f>
        <v>4.6298850983557183E-2</v>
      </c>
      <c r="L131" s="100">
        <f t="shared" ref="L131:N131" si="208">(L103+(L94*(1-(L102/L100))))/((K38+L38)/2)</f>
        <v>6.6201886619448189E-2</v>
      </c>
      <c r="M131" s="100">
        <f t="shared" si="208"/>
        <v>4.3967605853080384E-2</v>
      </c>
      <c r="N131" s="100">
        <f t="shared" si="208"/>
        <v>3.9409877940195938E-2</v>
      </c>
      <c r="O131" s="37">
        <f t="shared" si="206"/>
        <v>4.7118790699409073E-2</v>
      </c>
    </row>
    <row r="132" spans="1:15" x14ac:dyDescent="0.2">
      <c r="A132" s="21" t="s">
        <v>56</v>
      </c>
      <c r="B132" s="17"/>
      <c r="C132" s="100">
        <f t="shared" ref="C132:J132" si="209">(C103+(C94*(1-(C102/C100))))/((B49+C49+B59+C59+B65+C65)/2)</f>
        <v>9.0897713902810026E-2</v>
      </c>
      <c r="D132" s="100">
        <f t="shared" si="209"/>
        <v>0.100016173505813</v>
      </c>
      <c r="E132" s="100">
        <f t="shared" si="209"/>
        <v>5.3382023418689584E-2</v>
      </c>
      <c r="F132" s="100">
        <f t="shared" si="209"/>
        <v>5.0302520568514142E-2</v>
      </c>
      <c r="G132" s="100">
        <f t="shared" si="209"/>
        <v>6.0087136413462361E-2</v>
      </c>
      <c r="H132" s="100">
        <f t="shared" si="209"/>
        <v>6.0182087120517362E-2</v>
      </c>
      <c r="I132" s="100">
        <f t="shared" si="209"/>
        <v>1.5421692583518323E-2</v>
      </c>
      <c r="J132" s="100">
        <f t="shared" si="209"/>
        <v>7.9548929115509343E-2</v>
      </c>
      <c r="K132" s="100">
        <f>(K103+(K94*(1-(K102/K100))))/((J49+K49+J59+K59+J65+K65)/2)</f>
        <v>8.5986737943350863E-2</v>
      </c>
      <c r="L132" s="100">
        <f t="shared" ref="L132:N132" si="210">(L103+(L94*(1-(L102/L100))))/((K49+L49+K59+L59+K65+L65)/2)</f>
        <v>0.11633474113235592</v>
      </c>
      <c r="M132" s="100">
        <f t="shared" si="210"/>
        <v>7.7069294678830558E-2</v>
      </c>
      <c r="N132" s="100">
        <f t="shared" si="210"/>
        <v>6.9529642554901308E-2</v>
      </c>
      <c r="O132" s="37">
        <f t="shared" si="206"/>
        <v>8.5693869084989591E-2</v>
      </c>
    </row>
    <row r="133" spans="1:15" x14ac:dyDescent="0.2">
      <c r="A133" s="5" t="s">
        <v>82</v>
      </c>
      <c r="B133" s="17"/>
      <c r="C133" s="100">
        <f t="shared" ref="C133:J133" si="211">C103/((C65+B65)/2)</f>
        <v>0.10122804836543033</v>
      </c>
      <c r="D133" s="100">
        <f t="shared" si="211"/>
        <v>0.11370404117433233</v>
      </c>
      <c r="E133" s="100">
        <f t="shared" si="211"/>
        <v>5.0102776839099111E-2</v>
      </c>
      <c r="F133" s="100">
        <f t="shared" si="211"/>
        <v>4.7663417899381548E-2</v>
      </c>
      <c r="G133" s="100">
        <f t="shared" si="211"/>
        <v>6.1533067512749569E-2</v>
      </c>
      <c r="H133" s="100">
        <f t="shared" si="211"/>
        <v>6.2314771256438049E-2</v>
      </c>
      <c r="I133" s="100">
        <f t="shared" si="211"/>
        <v>1.1060495868247435E-3</v>
      </c>
      <c r="J133" s="100">
        <f t="shared" si="211"/>
        <v>0.10816735503317898</v>
      </c>
      <c r="K133" s="100">
        <f>K103/((K65+J65)/2)</f>
        <v>0.13090214417439303</v>
      </c>
      <c r="L133" s="100">
        <f t="shared" ref="L133:N133" si="212">L103/((L65+K65)/2)</f>
        <v>0.2034868426004926</v>
      </c>
      <c r="M133" s="100">
        <f t="shared" si="212"/>
        <v>0.11129172856065786</v>
      </c>
      <c r="N133" s="100">
        <f t="shared" si="212"/>
        <v>9.5505590742433505E-2</v>
      </c>
      <c r="O133" s="37">
        <f t="shared" si="206"/>
        <v>0.12987073222223117</v>
      </c>
    </row>
    <row r="134" spans="1:15" x14ac:dyDescent="0.2">
      <c r="A134" s="5"/>
      <c r="B134" s="36"/>
      <c r="C134" s="36"/>
      <c r="D134" s="36"/>
      <c r="E134" s="36"/>
      <c r="F134" s="36"/>
      <c r="G134" s="36"/>
      <c r="H134" s="36"/>
      <c r="I134" s="36"/>
      <c r="J134" s="98"/>
      <c r="K134" s="98"/>
      <c r="L134" s="98"/>
      <c r="M134" s="98"/>
      <c r="N134" s="98"/>
      <c r="O134" s="36"/>
    </row>
    <row r="135" spans="1:15" x14ac:dyDescent="0.2">
      <c r="A135" s="16" t="s">
        <v>1</v>
      </c>
      <c r="B135" s="36"/>
      <c r="C135" s="36"/>
      <c r="D135" s="36"/>
      <c r="E135" s="36"/>
      <c r="F135" s="36"/>
      <c r="G135" s="36"/>
      <c r="H135" s="36"/>
      <c r="I135" s="36"/>
      <c r="J135" s="98"/>
      <c r="K135" s="98"/>
      <c r="L135" s="98"/>
      <c r="M135" s="98"/>
      <c r="N135" s="98"/>
      <c r="O135" s="36"/>
    </row>
    <row r="136" spans="1:15" x14ac:dyDescent="0.2">
      <c r="A136" s="5" t="s">
        <v>26</v>
      </c>
      <c r="B136" s="36"/>
      <c r="C136" s="36">
        <f>C80/((B12+C12)/2)</f>
        <v>12.861646532427251</v>
      </c>
      <c r="D136" s="98">
        <f t="shared" ref="D136:J136" si="213">D80/((C12+D12)/2)</f>
        <v>12.04036810791764</v>
      </c>
      <c r="E136" s="98">
        <f t="shared" si="213"/>
        <v>16.068622270257752</v>
      </c>
      <c r="F136" s="98">
        <f t="shared" si="213"/>
        <v>10.95002248073733</v>
      </c>
      <c r="G136" s="98">
        <f t="shared" si="213"/>
        <v>7.176664086117726</v>
      </c>
      <c r="H136" s="98">
        <f t="shared" si="213"/>
        <v>6.7197881806439836</v>
      </c>
      <c r="I136" s="98">
        <f t="shared" si="213"/>
        <v>12.322856310246037</v>
      </c>
      <c r="J136" s="98">
        <f t="shared" si="213"/>
        <v>5.5060484259801159</v>
      </c>
      <c r="K136" s="98">
        <f>K80/((J12+K12)/2)</f>
        <v>5.0875179007978852</v>
      </c>
      <c r="L136" s="98">
        <f t="shared" ref="L136:N136" si="214">L80/((K12+L12)/2)</f>
        <v>11.201271553962286</v>
      </c>
      <c r="M136" s="98">
        <f t="shared" si="214"/>
        <v>16.338847122752306</v>
      </c>
      <c r="N136" s="98">
        <f t="shared" si="214"/>
        <v>18.727058221693579</v>
      </c>
      <c r="O136" s="36">
        <f t="shared" ref="O136:O139" si="215">AVERAGE(J136:N136)</f>
        <v>11.372148645037234</v>
      </c>
    </row>
    <row r="137" spans="1:15" x14ac:dyDescent="0.2">
      <c r="A137" s="5" t="s">
        <v>25</v>
      </c>
      <c r="B137" s="36"/>
      <c r="C137" s="36">
        <f>C80/((B13+C13)/2)</f>
        <v>18.721114917542291</v>
      </c>
      <c r="D137" s="98">
        <f t="shared" ref="D137:J137" si="216">D80/((C13+D13)/2)</f>
        <v>18.752667950821191</v>
      </c>
      <c r="E137" s="98">
        <f t="shared" si="216"/>
        <v>17.398312937088509</v>
      </c>
      <c r="F137" s="98">
        <f t="shared" si="216"/>
        <v>18.457100779565366</v>
      </c>
      <c r="G137" s="98">
        <f t="shared" si="216"/>
        <v>18.552638888149069</v>
      </c>
      <c r="H137" s="98">
        <f t="shared" si="216"/>
        <v>19.415409340904034</v>
      </c>
      <c r="I137" s="98">
        <f t="shared" si="216"/>
        <v>18.5099478244186</v>
      </c>
      <c r="J137" s="98">
        <f t="shared" si="216"/>
        <v>20.190150569299323</v>
      </c>
      <c r="K137" s="98">
        <f>K80/((J13+K13)/2)</f>
        <v>17.782441184752834</v>
      </c>
      <c r="L137" s="98">
        <f t="shared" ref="L137:N137" si="217">L80/((K13+L13)/2)</f>
        <v>11.831198611406871</v>
      </c>
      <c r="M137" s="98">
        <f t="shared" si="217"/>
        <v>8.4638196461258488</v>
      </c>
      <c r="N137" s="98">
        <f t="shared" si="217"/>
        <v>8.623290344435226</v>
      </c>
      <c r="O137" s="36">
        <f t="shared" si="215"/>
        <v>13.378180071204019</v>
      </c>
    </row>
    <row r="138" spans="1:15" x14ac:dyDescent="0.2">
      <c r="A138" s="5" t="s">
        <v>29</v>
      </c>
      <c r="B138" s="36"/>
      <c r="C138" s="36">
        <f>C80/((B18+C18-B47-C47)/2)</f>
        <v>4.9938768470914479</v>
      </c>
      <c r="D138" s="98">
        <f t="shared" ref="D138:J138" si="218">D80/((C18+D18-C47-D47)/2)</f>
        <v>5.6889970906751017</v>
      </c>
      <c r="E138" s="98">
        <f t="shared" si="218"/>
        <v>5.7241414113357543</v>
      </c>
      <c r="F138" s="98">
        <f t="shared" si="218"/>
        <v>4.5741646018076381</v>
      </c>
      <c r="G138" s="98">
        <f t="shared" si="218"/>
        <v>3.5551644198846044</v>
      </c>
      <c r="H138" s="98">
        <f t="shared" si="218"/>
        <v>3.3988501126045603</v>
      </c>
      <c r="I138" s="98">
        <f t="shared" si="218"/>
        <v>5.7065335048243346</v>
      </c>
      <c r="J138" s="98">
        <f t="shared" si="218"/>
        <v>5.3933624046613948</v>
      </c>
      <c r="K138" s="98">
        <f>K80/((J18+K18-J47-K47)/2)</f>
        <v>4.4717562127744195</v>
      </c>
      <c r="L138" s="98">
        <f t="shared" ref="L138:N138" si="219">L80/((K18+L18-K47-L47)/2)</f>
        <v>5.9187275636800623</v>
      </c>
      <c r="M138" s="98">
        <f t="shared" si="219"/>
        <v>11.600825558293032</v>
      </c>
      <c r="N138" s="98">
        <f t="shared" si="219"/>
        <v>39.581282594795091</v>
      </c>
      <c r="O138" s="36">
        <f t="shared" si="215"/>
        <v>13.393190866840801</v>
      </c>
    </row>
    <row r="139" spans="1:15" x14ac:dyDescent="0.2">
      <c r="A139" s="5" t="s">
        <v>27</v>
      </c>
      <c r="B139" s="36"/>
      <c r="C139" s="36">
        <f>C80/((B28+C28)/2)</f>
        <v>0.48760398914259206</v>
      </c>
      <c r="D139" s="98">
        <f t="shared" ref="D139:J139" si="220">D80/((C28+D28)/2)</f>
        <v>0.44973394293820512</v>
      </c>
      <c r="E139" s="98">
        <f t="shared" si="220"/>
        <v>0.46633627690858115</v>
      </c>
      <c r="F139" s="98">
        <f t="shared" si="220"/>
        <v>0.5360216482782082</v>
      </c>
      <c r="G139" s="98">
        <f t="shared" si="220"/>
        <v>0.55124275606919027</v>
      </c>
      <c r="H139" s="98">
        <f t="shared" si="220"/>
        <v>0.52155290632620888</v>
      </c>
      <c r="I139" s="98">
        <f t="shared" si="220"/>
        <v>0.49408919359137426</v>
      </c>
      <c r="J139" s="98">
        <f t="shared" si="220"/>
        <v>0.49679831831139443</v>
      </c>
      <c r="K139" s="98">
        <f>K80/((J28+K28)/2)</f>
        <v>0.43971198172208303</v>
      </c>
      <c r="L139" s="98">
        <f t="shared" ref="L139:N139" si="221">L80/((K28+L28)/2)</f>
        <v>0.39504286079152318</v>
      </c>
      <c r="M139" s="98">
        <f t="shared" si="221"/>
        <v>0.33598481380085166</v>
      </c>
      <c r="N139" s="98">
        <f t="shared" si="221"/>
        <v>0.33417948609491593</v>
      </c>
      <c r="O139" s="36">
        <f t="shared" si="215"/>
        <v>0.40034349214415366</v>
      </c>
    </row>
    <row r="140" spans="1:15" x14ac:dyDescent="0.2">
      <c r="A140" s="5" t="s">
        <v>28</v>
      </c>
      <c r="B140" s="36"/>
      <c r="C140" s="36">
        <f>C80/((B38+C38)/2)</f>
        <v>0.35432940947495062</v>
      </c>
      <c r="D140" s="98">
        <f t="shared" ref="D140:J140" si="222">D80/((C38+D38)/2)</f>
        <v>0.34138169074585339</v>
      </c>
      <c r="E140" s="98">
        <f t="shared" si="222"/>
        <v>0.35517253477013028</v>
      </c>
      <c r="F140" s="98">
        <f t="shared" si="222"/>
        <v>0.39892401888495665</v>
      </c>
      <c r="G140" s="98">
        <f t="shared" si="222"/>
        <v>0.40381150702305652</v>
      </c>
      <c r="H140" s="98">
        <f t="shared" si="222"/>
        <v>0.38792099901284161</v>
      </c>
      <c r="I140" s="98">
        <f t="shared" si="222"/>
        <v>0.38798131185980295</v>
      </c>
      <c r="J140" s="98">
        <f t="shared" si="222"/>
        <v>0.38732379678376089</v>
      </c>
      <c r="K140" s="98">
        <f>K80/((J38+K38)/2)</f>
        <v>0.35136262600974538</v>
      </c>
      <c r="L140" s="98">
        <f t="shared" ref="L140:N140" si="223">L80/((K38+L38)/2)</f>
        <v>0.3329355567384501</v>
      </c>
      <c r="M140" s="98">
        <f t="shared" si="223"/>
        <v>0.29039417782085508</v>
      </c>
      <c r="N140" s="98">
        <f t="shared" si="223"/>
        <v>0.29306056522819024</v>
      </c>
      <c r="O140" s="36">
        <f t="shared" ref="O140" si="224">AVERAGE(G140:K140)</f>
        <v>0.38368004813784146</v>
      </c>
    </row>
    <row r="141" spans="1:1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95"/>
      <c r="K141" s="95"/>
      <c r="L141" s="95"/>
      <c r="M141" s="95"/>
      <c r="N141" s="95"/>
      <c r="O141" s="36"/>
    </row>
    <row r="142" spans="1:15" hidden="1" x14ac:dyDescent="0.2">
      <c r="A142" s="16" t="s">
        <v>81</v>
      </c>
      <c r="B142" s="5"/>
      <c r="C142" s="5"/>
      <c r="D142" s="5"/>
      <c r="E142" s="5"/>
      <c r="F142" s="5"/>
      <c r="G142" s="5"/>
      <c r="H142" s="5"/>
      <c r="I142" s="5"/>
      <c r="J142" s="95"/>
      <c r="K142" s="95"/>
      <c r="L142" s="95"/>
      <c r="M142" s="95"/>
      <c r="N142" s="95"/>
      <c r="O142" s="36"/>
    </row>
    <row r="143" spans="1:15" hidden="1" x14ac:dyDescent="0.2">
      <c r="A143" s="95"/>
      <c r="B143" s="38"/>
      <c r="C143" s="38"/>
      <c r="D143" s="38"/>
      <c r="E143" s="38"/>
      <c r="F143" s="38"/>
      <c r="G143" s="38"/>
      <c r="H143" s="38"/>
      <c r="I143" s="38"/>
      <c r="J143" s="101"/>
      <c r="K143" s="101"/>
      <c r="L143" s="101"/>
      <c r="M143" s="101"/>
      <c r="N143" s="101"/>
      <c r="O143" s="36"/>
    </row>
    <row r="144" spans="1:15" hidden="1" x14ac:dyDescent="0.2">
      <c r="A144" s="95"/>
      <c r="B144" s="17"/>
      <c r="C144" s="17"/>
      <c r="D144" s="17"/>
      <c r="E144" s="17"/>
      <c r="F144" s="17"/>
      <c r="G144" s="17"/>
      <c r="H144" s="17"/>
      <c r="I144" s="17"/>
      <c r="J144" s="100"/>
      <c r="K144" s="100"/>
      <c r="L144" s="100"/>
      <c r="M144" s="100"/>
      <c r="N144" s="100"/>
      <c r="O144" s="17"/>
    </row>
    <row r="145" spans="1:15" hidden="1" x14ac:dyDescent="0.2">
      <c r="A145" s="95"/>
      <c r="B145" s="37"/>
      <c r="C145" s="37"/>
      <c r="D145" s="37"/>
      <c r="E145" s="37"/>
      <c r="F145" s="37"/>
      <c r="G145" s="37"/>
      <c r="H145" s="37"/>
      <c r="I145" s="37"/>
      <c r="J145" s="99"/>
      <c r="K145" s="99"/>
      <c r="L145" s="99"/>
      <c r="M145" s="99"/>
      <c r="N145" s="99"/>
      <c r="O145" s="37"/>
    </row>
    <row r="146" spans="1:15" hidden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95"/>
      <c r="K146" s="95"/>
      <c r="L146" s="95"/>
      <c r="M146" s="95"/>
      <c r="N146" s="95"/>
      <c r="O146" s="36"/>
    </row>
    <row r="147" spans="1:15" x14ac:dyDescent="0.2">
      <c r="A147" s="16" t="s">
        <v>66</v>
      </c>
      <c r="B147" s="5"/>
      <c r="C147" s="5"/>
      <c r="D147" s="5"/>
      <c r="E147" s="5"/>
      <c r="F147" s="5"/>
      <c r="G147" s="5"/>
      <c r="H147" s="5"/>
      <c r="I147" s="5"/>
      <c r="J147" s="95"/>
      <c r="K147" s="95"/>
      <c r="L147" s="95"/>
      <c r="M147" s="95"/>
      <c r="N147" s="95"/>
      <c r="O147" s="36"/>
    </row>
    <row r="148" spans="1:15" x14ac:dyDescent="0.2">
      <c r="A148" s="5" t="s">
        <v>51</v>
      </c>
      <c r="B148" s="17">
        <f t="shared" ref="B148:I148" si="225">B49/(B$49+B$65)</f>
        <v>0.32995210287882365</v>
      </c>
      <c r="C148" s="17">
        <f t="shared" si="225"/>
        <v>0.31270446122406892</v>
      </c>
      <c r="D148" s="17">
        <f t="shared" si="225"/>
        <v>0.27834629861955451</v>
      </c>
      <c r="E148" s="17">
        <f t="shared" si="225"/>
        <v>0.30171994090173221</v>
      </c>
      <c r="F148" s="17">
        <f t="shared" si="225"/>
        <v>0.27934939949685955</v>
      </c>
      <c r="G148" s="17">
        <f t="shared" ref="G148:H148" si="226">G49/(G$49+G$65)</f>
        <v>0.2989367344455498</v>
      </c>
      <c r="H148" s="17">
        <f t="shared" si="226"/>
        <v>0.27316762986940363</v>
      </c>
      <c r="I148" s="17">
        <f t="shared" si="225"/>
        <v>0.25366520846852331</v>
      </c>
      <c r="J148" s="100">
        <f t="shared" ref="J148:K148" si="227">J49/(J$49+J$65)</f>
        <v>0.47374036501724337</v>
      </c>
      <c r="K148" s="100">
        <f t="shared" si="227"/>
        <v>0.51396185321995813</v>
      </c>
      <c r="L148" s="100">
        <f t="shared" ref="L148:N148" si="228">L49/(L$49+L$65)</f>
        <v>0.54799436610544472</v>
      </c>
      <c r="M148" s="100">
        <f t="shared" si="228"/>
        <v>0.5204786971519757</v>
      </c>
      <c r="N148" s="100">
        <f t="shared" si="228"/>
        <v>0.55319775772082935</v>
      </c>
      <c r="O148" s="37">
        <f t="shared" ref="O148:O149" si="229">AVERAGE(J148:N148)</f>
        <v>0.52187460784309025</v>
      </c>
    </row>
    <row r="149" spans="1:15" x14ac:dyDescent="0.2">
      <c r="A149" s="5" t="s">
        <v>67</v>
      </c>
      <c r="B149" s="17">
        <f t="shared" ref="B149:I149" si="230">B65/(B$49+B$65)</f>
        <v>0.67004789712117641</v>
      </c>
      <c r="C149" s="17">
        <f t="shared" si="230"/>
        <v>0.68729553877593108</v>
      </c>
      <c r="D149" s="17">
        <f t="shared" si="230"/>
        <v>0.72165370138044549</v>
      </c>
      <c r="E149" s="17">
        <f t="shared" si="230"/>
        <v>0.69828005909826785</v>
      </c>
      <c r="F149" s="17">
        <f t="shared" si="230"/>
        <v>0.72065060050314045</v>
      </c>
      <c r="G149" s="17">
        <f t="shared" ref="G149:H149" si="231">G65/(G$49+G$65)</f>
        <v>0.7010632655544502</v>
      </c>
      <c r="H149" s="17">
        <f t="shared" si="231"/>
        <v>0.72683237013059643</v>
      </c>
      <c r="I149" s="17">
        <f t="shared" si="230"/>
        <v>0.74633479153147664</v>
      </c>
      <c r="J149" s="100">
        <f t="shared" ref="J149:K149" si="232">J65/(J$49+J$65)</f>
        <v>0.52625963498275663</v>
      </c>
      <c r="K149" s="100">
        <f t="shared" si="232"/>
        <v>0.48603814678004192</v>
      </c>
      <c r="L149" s="100">
        <f t="shared" ref="L149:N149" si="233">L65/(L$49+L$65)</f>
        <v>0.45200563389455528</v>
      </c>
      <c r="M149" s="100">
        <f t="shared" si="233"/>
        <v>0.47952130284802436</v>
      </c>
      <c r="N149" s="100">
        <f t="shared" si="233"/>
        <v>0.44680224227917065</v>
      </c>
      <c r="O149" s="37">
        <f t="shared" si="229"/>
        <v>0.4781253921569098</v>
      </c>
    </row>
    <row r="150" spans="1:1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95"/>
      <c r="K150" s="95"/>
      <c r="L150" s="95"/>
      <c r="M150" s="95"/>
      <c r="N150" s="95"/>
      <c r="O150" s="144"/>
    </row>
    <row r="151" spans="1:15" x14ac:dyDescent="0.2">
      <c r="A151" s="16" t="s">
        <v>68</v>
      </c>
      <c r="B151" s="5"/>
      <c r="C151" s="5"/>
      <c r="D151" s="5"/>
      <c r="E151" s="5"/>
      <c r="F151" s="5"/>
      <c r="G151" s="5"/>
      <c r="H151" s="5"/>
      <c r="I151" s="5"/>
      <c r="J151" s="95"/>
      <c r="K151" s="95"/>
      <c r="L151" s="95"/>
      <c r="M151" s="95"/>
      <c r="N151" s="95"/>
      <c r="O151" s="144"/>
    </row>
    <row r="152" spans="1:15" x14ac:dyDescent="0.2">
      <c r="A152" s="5" t="s">
        <v>69</v>
      </c>
      <c r="B152" s="17">
        <f t="shared" ref="B152:N152" si="234">B$41/(B$41+B$49+B$65)</f>
        <v>1.81746381244711E-2</v>
      </c>
      <c r="C152" s="17">
        <f t="shared" si="234"/>
        <v>1.8436300112263208E-2</v>
      </c>
      <c r="D152" s="17">
        <f t="shared" si="234"/>
        <v>1.8621516679704249E-2</v>
      </c>
      <c r="E152" s="17">
        <f t="shared" si="234"/>
        <v>2.0015345265069522E-2</v>
      </c>
      <c r="F152" s="17">
        <f t="shared" si="234"/>
        <v>2.1782636975289243E-2</v>
      </c>
      <c r="G152" s="17">
        <f t="shared" si="234"/>
        <v>2.5618253616619915E-2</v>
      </c>
      <c r="H152" s="17">
        <f t="shared" si="234"/>
        <v>2.5564877036515353E-2</v>
      </c>
      <c r="I152" s="17">
        <f t="shared" si="234"/>
        <v>2.6030935684489595E-2</v>
      </c>
      <c r="J152" s="100">
        <f t="shared" si="234"/>
        <v>1.8983078474967437E-2</v>
      </c>
      <c r="K152" s="100">
        <f t="shared" si="234"/>
        <v>1.8288880081110317E-2</v>
      </c>
      <c r="L152" s="100">
        <f t="shared" si="234"/>
        <v>1.7582481680056949E-2</v>
      </c>
      <c r="M152" s="100">
        <f t="shared" si="234"/>
        <v>3.101926655401439E-2</v>
      </c>
      <c r="N152" s="100">
        <f t="shared" si="234"/>
        <v>3.6319625915911431E-2</v>
      </c>
      <c r="O152" s="37">
        <f t="shared" ref="O152:O154" si="235">AVERAGE(J152:N152)</f>
        <v>2.4438666541212108E-2</v>
      </c>
    </row>
    <row r="153" spans="1:15" x14ac:dyDescent="0.2">
      <c r="A153" s="5" t="s">
        <v>51</v>
      </c>
      <c r="B153" s="17">
        <f t="shared" ref="B153:N153" si="236">B$49/(B$41+B$49+B$65)</f>
        <v>0.32395534281059274</v>
      </c>
      <c r="C153" s="17">
        <f t="shared" si="236"/>
        <v>0.30693934793049843</v>
      </c>
      <c r="D153" s="17">
        <f t="shared" si="236"/>
        <v>0.27316306837707649</v>
      </c>
      <c r="E153" s="17">
        <f t="shared" si="236"/>
        <v>0.29568091211122766</v>
      </c>
      <c r="F153" s="17">
        <f t="shared" si="236"/>
        <v>0.27326443293835445</v>
      </c>
      <c r="G153" s="17">
        <f t="shared" si="236"/>
        <v>0.29127849736719952</v>
      </c>
      <c r="H153" s="17">
        <f t="shared" si="236"/>
        <v>0.26618413300143595</v>
      </c>
      <c r="I153" s="17">
        <f t="shared" si="236"/>
        <v>0.24706206574148654</v>
      </c>
      <c r="J153" s="100">
        <f t="shared" si="236"/>
        <v>0.46474731449136131</v>
      </c>
      <c r="K153" s="100">
        <f t="shared" si="236"/>
        <v>0.50456206652015301</v>
      </c>
      <c r="L153" s="100">
        <f t="shared" si="236"/>
        <v>0.53835926520262134</v>
      </c>
      <c r="M153" s="100">
        <f t="shared" si="236"/>
        <v>0.50433382970933238</v>
      </c>
      <c r="N153" s="100">
        <f t="shared" si="236"/>
        <v>0.53310582210288782</v>
      </c>
      <c r="O153" s="37">
        <f t="shared" si="235"/>
        <v>0.50902165960527124</v>
      </c>
    </row>
    <row r="154" spans="1:15" x14ac:dyDescent="0.2">
      <c r="A154" s="5" t="s">
        <v>67</v>
      </c>
      <c r="B154" s="17">
        <f t="shared" ref="B154:N154" si="237">B$65/(B$41+B$49+B$65)</f>
        <v>0.65787001906493614</v>
      </c>
      <c r="C154" s="17">
        <f t="shared" si="237"/>
        <v>0.67462435195723836</v>
      </c>
      <c r="D154" s="17">
        <f t="shared" si="237"/>
        <v>0.70821541494321927</v>
      </c>
      <c r="E154" s="17">
        <f t="shared" si="237"/>
        <v>0.68430374262370286</v>
      </c>
      <c r="F154" s="17">
        <f t="shared" si="237"/>
        <v>0.70495293008635629</v>
      </c>
      <c r="G154" s="17">
        <f t="shared" si="237"/>
        <v>0.68310324901618058</v>
      </c>
      <c r="H154" s="17">
        <f t="shared" si="237"/>
        <v>0.70825098996204872</v>
      </c>
      <c r="I154" s="17">
        <f t="shared" si="237"/>
        <v>0.72690699857402385</v>
      </c>
      <c r="J154" s="100">
        <f t="shared" si="237"/>
        <v>0.5162696070336712</v>
      </c>
      <c r="K154" s="100">
        <f t="shared" si="237"/>
        <v>0.47714905339873664</v>
      </c>
      <c r="L154" s="100">
        <f t="shared" si="237"/>
        <v>0.44405825311732172</v>
      </c>
      <c r="M154" s="100">
        <f t="shared" si="237"/>
        <v>0.46464690373665318</v>
      </c>
      <c r="N154" s="100">
        <f t="shared" si="237"/>
        <v>0.43057455198120076</v>
      </c>
      <c r="O154" s="37">
        <f t="shared" si="235"/>
        <v>0.46653967385351669</v>
      </c>
    </row>
    <row r="155" spans="1:1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36"/>
    </row>
    <row r="156" spans="1:1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17"/>
    </row>
  </sheetData>
  <phoneticPr fontId="4" type="noConversion"/>
  <printOptions horizontalCentered="1"/>
  <pageMargins left="0.75" right="0.75" top="1" bottom="1" header="0.5" footer="0.5"/>
  <pageSetup scale="82" fitToWidth="2" fitToHeight="3" orientation="portrait" r:id="rId1"/>
  <headerFooter alignWithMargins="0"/>
  <rowBreaks count="1" manualBreakCount="1">
    <brk id="106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showGridLines="0" zoomScale="130" zoomScaleNormal="130" zoomScaleSheetLayoutView="130" workbookViewId="0">
      <selection activeCell="O1" sqref="O1"/>
    </sheetView>
  </sheetViews>
  <sheetFormatPr defaultRowHeight="12.75" x14ac:dyDescent="0.2"/>
  <cols>
    <col min="1" max="1" width="45.42578125" customWidth="1"/>
    <col min="2" max="2" width="11.5703125" hidden="1" customWidth="1"/>
    <col min="3" max="9" width="11.7109375" hidden="1" customWidth="1"/>
    <col min="10" max="14" width="11.7109375" customWidth="1"/>
    <col min="15" max="15" width="10.7109375" customWidth="1"/>
  </cols>
  <sheetData>
    <row r="1" spans="1:16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6" t="s">
        <v>63</v>
      </c>
      <c r="P1" s="53"/>
    </row>
    <row r="2" spans="1:16" x14ac:dyDescent="0.2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74" t="s">
        <v>157</v>
      </c>
      <c r="P2" s="53"/>
    </row>
    <row r="3" spans="1:16" ht="18" x14ac:dyDescent="0.25">
      <c r="A3" s="55" t="str">
        <f>+'Financial Statements'!A3</f>
        <v>Dixie Escalante Rural Electric Association, Inc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3"/>
    </row>
    <row r="4" spans="1:16" ht="15" x14ac:dyDescent="0.25">
      <c r="A4" s="56" t="s">
        <v>100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3"/>
    </row>
    <row r="5" spans="1:16" ht="15" x14ac:dyDescent="0.25">
      <c r="A5" s="56" t="str">
        <f>'[1]Historical - Exhibit 1'!A5</f>
        <v>Years Ended December 31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3"/>
    </row>
    <row r="6" spans="1:16" s="5" customForma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75" t="str">
        <f>+'Financial Statements'!O7</f>
        <v>2016 to 2020</v>
      </c>
      <c r="P6" s="53"/>
    </row>
    <row r="7" spans="1:16" s="5" customFormat="1" x14ac:dyDescent="0.2">
      <c r="A7" s="59" t="s">
        <v>101</v>
      </c>
      <c r="B7" s="60"/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76" t="s">
        <v>3</v>
      </c>
      <c r="P7" s="53"/>
    </row>
    <row r="8" spans="1:16" s="5" customFormat="1" x14ac:dyDescent="0.2">
      <c r="A8" s="59"/>
      <c r="B8" s="62">
        <f>+'Financial Statements'!Q9</f>
        <v>2008</v>
      </c>
      <c r="C8" s="62">
        <f>+'Financial Statements'!R9</f>
        <v>2009</v>
      </c>
      <c r="D8" s="62">
        <f>+'Financial Statements'!S9</f>
        <v>2010</v>
      </c>
      <c r="E8" s="62">
        <f>+'Financial Statements'!T9</f>
        <v>2011</v>
      </c>
      <c r="F8" s="62">
        <f>+'Financial Statements'!U9</f>
        <v>2012</v>
      </c>
      <c r="G8" s="62">
        <f>+'Financial Statements'!V9</f>
        <v>2013</v>
      </c>
      <c r="H8" s="62">
        <f>+'Financial Statements'!W9</f>
        <v>2014</v>
      </c>
      <c r="I8" s="62">
        <f>+'Financial Statements'!X9</f>
        <v>2015</v>
      </c>
      <c r="J8" s="62">
        <f>+'Financial Statements'!Y9</f>
        <v>2016</v>
      </c>
      <c r="K8" s="62">
        <f>+'Financial Statements'!K9</f>
        <v>2017</v>
      </c>
      <c r="L8" s="62">
        <f>+'Financial Statements'!L9</f>
        <v>2018</v>
      </c>
      <c r="M8" s="62">
        <f>+'Financial Statements'!M9</f>
        <v>2019</v>
      </c>
      <c r="N8" s="62">
        <f>+'Financial Statements'!N9</f>
        <v>2020</v>
      </c>
      <c r="O8" s="77" t="s">
        <v>20</v>
      </c>
      <c r="P8" s="53"/>
    </row>
    <row r="9" spans="1:16" s="5" customFormat="1" x14ac:dyDescent="0.2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5"/>
      <c r="P9" s="53"/>
    </row>
    <row r="10" spans="1:16" s="5" customFormat="1" x14ac:dyDescent="0.2">
      <c r="A10" s="59" t="str">
        <f>+'Financial Statements'!A78</f>
        <v>Operating Revenues</v>
      </c>
      <c r="B10" s="39">
        <f>+'Financial Statements'!B80</f>
        <v>20304909</v>
      </c>
      <c r="C10" s="39">
        <f>+'Financial Statements'!C80</f>
        <v>20501053</v>
      </c>
      <c r="D10" s="39">
        <f>+'Financial Statements'!D80</f>
        <v>20741304</v>
      </c>
      <c r="E10" s="39">
        <f>+'Financial Statements'!E80</f>
        <v>20814289</v>
      </c>
      <c r="F10" s="39">
        <f>+'Financial Statements'!F80</f>
        <v>22746854</v>
      </c>
      <c r="G10" s="39">
        <f>+'Financial Statements'!G80</f>
        <v>24380635</v>
      </c>
      <c r="H10" s="39">
        <f>+'Financial Statements'!H80</f>
        <v>24741027</v>
      </c>
      <c r="I10" s="39">
        <f>+'Financial Statements'!I80</f>
        <v>26048448</v>
      </c>
      <c r="J10" s="39">
        <f>+'Financial Statements'!J80</f>
        <v>30975941</v>
      </c>
      <c r="K10" s="39">
        <f>+'Financial Statements'!K80</f>
        <v>34731775</v>
      </c>
      <c r="L10" s="39">
        <f>+'Financial Statements'!L80</f>
        <v>38613897</v>
      </c>
      <c r="M10" s="39">
        <f>+'Financial Statements'!M80</f>
        <v>37994061</v>
      </c>
      <c r="N10" s="39">
        <f>+'Financial Statements'!N80</f>
        <v>41659577</v>
      </c>
      <c r="O10" s="17">
        <f>RATE(5,,-J10,N10)</f>
        <v>6.1055423335413792E-2</v>
      </c>
      <c r="P10" s="53"/>
    </row>
    <row r="11" spans="1:16" s="5" customFormat="1" x14ac:dyDescent="0.2">
      <c r="A11" s="88" t="s">
        <v>102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67"/>
      <c r="P11" s="51"/>
    </row>
    <row r="12" spans="1:16" s="5" customFormat="1" x14ac:dyDescent="0.2">
      <c r="A12" s="68" t="s">
        <v>118</v>
      </c>
      <c r="B12" s="78">
        <f>+'Financial Statements'!B103</f>
        <v>1600453</v>
      </c>
      <c r="C12" s="78">
        <f>+'Financial Statements'!C103</f>
        <v>1775930</v>
      </c>
      <c r="D12" s="78">
        <f>+'Financial Statements'!D103</f>
        <v>2180999</v>
      </c>
      <c r="E12" s="78">
        <f>+'Financial Statements'!E103</f>
        <v>1034602</v>
      </c>
      <c r="F12" s="78">
        <f>+'Financial Statements'!F103</f>
        <v>1025189</v>
      </c>
      <c r="G12" s="78">
        <f>+'Financial Statements'!G103</f>
        <v>1368916</v>
      </c>
      <c r="H12" s="78">
        <f>+'Financial Statements'!H103</f>
        <v>1436432</v>
      </c>
      <c r="I12" s="78">
        <f>+'Financial Statements'!I103</f>
        <v>25962</v>
      </c>
      <c r="J12" s="78">
        <f>+'Financial Statements'!J103</f>
        <v>2647419</v>
      </c>
      <c r="K12" s="78">
        <f>+'Financial Statements'!K103</f>
        <v>3513698</v>
      </c>
      <c r="L12" s="78">
        <f>+'Financial Statements'!L103</f>
        <v>6271541</v>
      </c>
      <c r="M12" s="78">
        <f>+'Financial Statements'!M103</f>
        <v>3870153</v>
      </c>
      <c r="N12" s="78">
        <f>+'Financial Statements'!N103</f>
        <v>3555962</v>
      </c>
      <c r="O12" s="17"/>
      <c r="P12" s="51"/>
    </row>
    <row r="13" spans="1:16" s="5" customFormat="1" x14ac:dyDescent="0.2">
      <c r="A13" s="66" t="s">
        <v>119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17"/>
      <c r="P13" s="51"/>
    </row>
    <row r="14" spans="1:16" s="5" customFormat="1" x14ac:dyDescent="0.2">
      <c r="A14" s="68" t="s">
        <v>103</v>
      </c>
      <c r="B14" s="79">
        <v>1400270</v>
      </c>
      <c r="C14" s="79">
        <v>1429185</v>
      </c>
      <c r="D14" s="79">
        <v>1487459</v>
      </c>
      <c r="E14" s="79">
        <v>1631468</v>
      </c>
      <c r="F14" s="79">
        <v>1723579</v>
      </c>
      <c r="G14" s="79">
        <v>1823909</v>
      </c>
      <c r="H14" s="79">
        <v>1969612</v>
      </c>
      <c r="I14" s="79">
        <v>2148749</v>
      </c>
      <c r="J14" s="79">
        <v>2335011</v>
      </c>
      <c r="K14" s="79">
        <v>2596723</v>
      </c>
      <c r="L14" s="79">
        <v>2867277</v>
      </c>
      <c r="M14" s="79">
        <v>3333048</v>
      </c>
      <c r="N14" s="79">
        <v>3936156</v>
      </c>
      <c r="O14" s="17">
        <f>RATE(5,,-J14,N14)</f>
        <v>0.11008612466664409</v>
      </c>
      <c r="P14" s="51"/>
    </row>
    <row r="15" spans="1:16" s="5" customFormat="1" x14ac:dyDescent="0.2">
      <c r="A15" s="68" t="s">
        <v>120</v>
      </c>
      <c r="B15" s="80">
        <v>-745071</v>
      </c>
      <c r="C15" s="80">
        <v>-774752</v>
      </c>
      <c r="D15" s="80">
        <v>-822348</v>
      </c>
      <c r="E15" s="80">
        <v>-869966</v>
      </c>
      <c r="F15" s="80">
        <v>-934242</v>
      </c>
      <c r="G15" s="80">
        <v>-1011416</v>
      </c>
      <c r="H15" s="80">
        <v>-1100330</v>
      </c>
      <c r="I15" s="80">
        <v>-1620672</v>
      </c>
      <c r="J15" s="80">
        <v>-2091189</v>
      </c>
      <c r="K15" s="80">
        <v>-1560507</v>
      </c>
      <c r="L15" s="80">
        <v>-1745396</v>
      </c>
      <c r="M15" s="80">
        <v>-1947699</v>
      </c>
      <c r="N15" s="80">
        <v>-2174367</v>
      </c>
      <c r="O15" s="17">
        <f>RATE(5,,-J15,N15)</f>
        <v>7.8314635316688429E-3</v>
      </c>
      <c r="P15" s="51"/>
    </row>
    <row r="16" spans="1:16" s="5" customFormat="1" x14ac:dyDescent="0.2">
      <c r="A16" s="68" t="s">
        <v>121</v>
      </c>
      <c r="B16" s="80">
        <v>-20031</v>
      </c>
      <c r="C16" s="80">
        <v>-20031</v>
      </c>
      <c r="D16" s="80">
        <v>-20031</v>
      </c>
      <c r="E16" s="80">
        <v>-20031</v>
      </c>
      <c r="F16" s="80">
        <v>-20031</v>
      </c>
      <c r="G16" s="80">
        <v>-20031</v>
      </c>
      <c r="H16" s="80">
        <v>-20031</v>
      </c>
      <c r="I16" s="80">
        <v>-20031</v>
      </c>
      <c r="J16" s="80">
        <v>-16692</v>
      </c>
      <c r="K16" s="80">
        <v>0</v>
      </c>
      <c r="L16" s="80"/>
      <c r="M16" s="80"/>
      <c r="N16" s="80"/>
      <c r="O16" s="17"/>
      <c r="P16" s="51"/>
    </row>
    <row r="17" spans="1:16" s="5" customFormat="1" x14ac:dyDescent="0.2">
      <c r="A17" s="69" t="s">
        <v>141</v>
      </c>
      <c r="B17" s="80">
        <v>11070</v>
      </c>
      <c r="C17" s="80">
        <v>-15259</v>
      </c>
      <c r="D17" s="80">
        <v>-33342</v>
      </c>
      <c r="E17" s="80">
        <v>-27169</v>
      </c>
      <c r="F17" s="80">
        <v>-24724</v>
      </c>
      <c r="G17" s="80">
        <v>46442</v>
      </c>
      <c r="H17" s="80">
        <v>80141</v>
      </c>
      <c r="I17" s="80">
        <v>-95750</v>
      </c>
      <c r="J17" s="80">
        <v>40192</v>
      </c>
      <c r="K17" s="80">
        <v>214374</v>
      </c>
      <c r="L17" s="80">
        <v>58172</v>
      </c>
      <c r="M17" s="80">
        <v>53220</v>
      </c>
      <c r="N17" s="80">
        <v>205995</v>
      </c>
      <c r="O17" s="17"/>
      <c r="P17" s="51"/>
    </row>
    <row r="18" spans="1:16" s="5" customFormat="1" x14ac:dyDescent="0.2">
      <c r="A18" s="69" t="s">
        <v>104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17"/>
      <c r="P18" s="51"/>
    </row>
    <row r="19" spans="1:16" s="5" customFormat="1" x14ac:dyDescent="0.2">
      <c r="A19" s="66" t="s">
        <v>132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17"/>
      <c r="P19" s="51"/>
    </row>
    <row r="20" spans="1:16" s="5" customFormat="1" x14ac:dyDescent="0.2">
      <c r="A20" s="70" t="s">
        <v>122</v>
      </c>
      <c r="B20" s="78">
        <v>-16317</v>
      </c>
      <c r="C20" s="78">
        <v>-624576</v>
      </c>
      <c r="D20" s="78">
        <v>-39039</v>
      </c>
      <c r="E20" s="78">
        <v>-23619</v>
      </c>
      <c r="F20" s="78">
        <v>-19632</v>
      </c>
      <c r="G20" s="78">
        <v>-89267</v>
      </c>
      <c r="H20" s="78">
        <v>279097</v>
      </c>
      <c r="I20" s="78">
        <v>-236727</v>
      </c>
      <c r="J20" s="78">
        <v>-151646</v>
      </c>
      <c r="K20" s="78">
        <v>-355430</v>
      </c>
      <c r="L20" s="78">
        <v>-504073</v>
      </c>
      <c r="M20" s="78">
        <v>-443975</v>
      </c>
      <c r="N20" s="78">
        <v>-486603</v>
      </c>
      <c r="O20" s="17">
        <f>RATE(5,,-J20,N20)</f>
        <v>0.26260866235957475</v>
      </c>
      <c r="P20" s="51"/>
    </row>
    <row r="21" spans="1:16" s="5" customFormat="1" x14ac:dyDescent="0.2">
      <c r="A21" s="70" t="s">
        <v>123</v>
      </c>
      <c r="B21" s="78">
        <v>-3083215</v>
      </c>
      <c r="C21" s="78">
        <v>2381740</v>
      </c>
      <c r="D21" s="78">
        <v>638851</v>
      </c>
      <c r="E21" s="78">
        <v>-50369</v>
      </c>
      <c r="F21" s="78">
        <v>-746296</v>
      </c>
      <c r="G21" s="78">
        <v>-10057</v>
      </c>
      <c r="H21" s="78">
        <v>-85307</v>
      </c>
      <c r="I21" s="78">
        <v>-371931</v>
      </c>
      <c r="J21" s="78">
        <v>124117</v>
      </c>
      <c r="K21" s="78">
        <v>-1165414</v>
      </c>
      <c r="L21" s="78">
        <v>-568500</v>
      </c>
      <c r="M21" s="78">
        <v>-1005284</v>
      </c>
      <c r="N21" s="78">
        <v>572247</v>
      </c>
      <c r="O21" s="17"/>
      <c r="P21" s="51"/>
    </row>
    <row r="22" spans="1:16" s="5" customFormat="1" x14ac:dyDescent="0.2">
      <c r="A22" s="70" t="s">
        <v>124</v>
      </c>
      <c r="B22" s="78">
        <v>1564953</v>
      </c>
      <c r="C22" s="78">
        <v>389521</v>
      </c>
      <c r="D22" s="78">
        <v>607264</v>
      </c>
      <c r="E22" s="78">
        <v>-59629</v>
      </c>
      <c r="F22" s="78">
        <v>-561179</v>
      </c>
      <c r="G22" s="78">
        <v>1152035</v>
      </c>
      <c r="H22" s="78">
        <v>200853</v>
      </c>
      <c r="I22" s="78">
        <v>-149394</v>
      </c>
      <c r="J22" s="78">
        <v>457904</v>
      </c>
      <c r="K22" s="78">
        <v>-1768602</v>
      </c>
      <c r="L22" s="78">
        <v>490341</v>
      </c>
      <c r="M22" s="78">
        <v>82666</v>
      </c>
      <c r="N22" s="78">
        <v>94623</v>
      </c>
      <c r="O22" s="17"/>
      <c r="P22" s="51"/>
    </row>
    <row r="23" spans="1:16" s="5" customFormat="1" x14ac:dyDescent="0.2">
      <c r="A23" s="70" t="s">
        <v>125</v>
      </c>
      <c r="B23" s="78">
        <v>4972</v>
      </c>
      <c r="C23" s="78">
        <v>-3145</v>
      </c>
      <c r="D23" s="78">
        <v>-6999</v>
      </c>
      <c r="E23" s="78">
        <v>-1365</v>
      </c>
      <c r="F23" s="78">
        <v>2065</v>
      </c>
      <c r="G23" s="78">
        <v>-2094116</v>
      </c>
      <c r="H23" s="78">
        <v>171868</v>
      </c>
      <c r="I23" s="78">
        <v>169104</v>
      </c>
      <c r="J23" s="78">
        <v>188009</v>
      </c>
      <c r="K23" s="78">
        <v>160024</v>
      </c>
      <c r="L23" s="78">
        <v>-151337</v>
      </c>
      <c r="M23" s="78">
        <v>328788</v>
      </c>
      <c r="N23" s="78">
        <v>221072</v>
      </c>
      <c r="O23" s="17">
        <f>RATE(5,,-J23,N23)</f>
        <v>3.2930306998510996E-2</v>
      </c>
      <c r="P23" s="51"/>
    </row>
    <row r="24" spans="1:16" s="5" customFormat="1" x14ac:dyDescent="0.2">
      <c r="A24" s="70" t="s">
        <v>126</v>
      </c>
      <c r="B24" s="78">
        <v>44638</v>
      </c>
      <c r="C24" s="78">
        <v>-17018</v>
      </c>
      <c r="D24" s="78">
        <v>-47225</v>
      </c>
      <c r="E24" s="78">
        <v>81827</v>
      </c>
      <c r="F24" s="78">
        <v>1649541</v>
      </c>
      <c r="G24" s="78">
        <v>37674</v>
      </c>
      <c r="H24" s="78">
        <v>94017</v>
      </c>
      <c r="I24" s="78">
        <v>263009</v>
      </c>
      <c r="J24" s="78">
        <v>153630</v>
      </c>
      <c r="K24" s="78">
        <v>110377</v>
      </c>
      <c r="L24" s="78">
        <v>176156</v>
      </c>
      <c r="M24" s="78">
        <v>114321</v>
      </c>
      <c r="N24" s="78">
        <v>128218</v>
      </c>
      <c r="O24" s="17">
        <f>RATE(5,,-J24,N24)</f>
        <v>-3.5516963614472152E-2</v>
      </c>
      <c r="P24" s="51"/>
    </row>
    <row r="25" spans="1:16" s="5" customFormat="1" x14ac:dyDescent="0.2">
      <c r="A25" s="70" t="s">
        <v>127</v>
      </c>
      <c r="B25" s="78">
        <v>-238996</v>
      </c>
      <c r="C25" s="78">
        <v>1245163</v>
      </c>
      <c r="D25" s="78">
        <v>-730756</v>
      </c>
      <c r="E25" s="78">
        <v>-616983</v>
      </c>
      <c r="F25" s="78">
        <v>664726</v>
      </c>
      <c r="G25" s="78">
        <v>-34919</v>
      </c>
      <c r="H25" s="78">
        <v>-15629</v>
      </c>
      <c r="I25" s="78">
        <v>657083</v>
      </c>
      <c r="J25" s="78">
        <v>3217887</v>
      </c>
      <c r="K25" s="78">
        <v>-1928499</v>
      </c>
      <c r="L25" s="78">
        <v>-73470</v>
      </c>
      <c r="M25" s="78">
        <v>3174375</v>
      </c>
      <c r="N25" s="78">
        <v>-1917485</v>
      </c>
      <c r="O25" s="17"/>
      <c r="P25" s="51"/>
    </row>
    <row r="26" spans="1:16" s="5" customFormat="1" x14ac:dyDescent="0.2">
      <c r="A26" s="70" t="s">
        <v>128</v>
      </c>
      <c r="B26" s="80">
        <v>15497</v>
      </c>
      <c r="C26" s="80">
        <v>285560</v>
      </c>
      <c r="D26" s="80">
        <v>-133686</v>
      </c>
      <c r="E26" s="80">
        <v>-7824</v>
      </c>
      <c r="F26" s="80">
        <v>-27680</v>
      </c>
      <c r="G26" s="80">
        <v>-6882</v>
      </c>
      <c r="H26" s="80">
        <v>2661</v>
      </c>
      <c r="I26" s="80">
        <v>19205</v>
      </c>
      <c r="J26" s="80">
        <v>13338</v>
      </c>
      <c r="K26" s="80">
        <v>-5389</v>
      </c>
      <c r="L26" s="80">
        <v>35636</v>
      </c>
      <c r="M26" s="80">
        <v>16081</v>
      </c>
      <c r="N26" s="80">
        <v>331564</v>
      </c>
      <c r="O26" s="17">
        <f>RATE(5,,-J26,N26)</f>
        <v>0.90149562909961023</v>
      </c>
      <c r="P26" s="51"/>
    </row>
    <row r="27" spans="1:16" s="5" customFormat="1" x14ac:dyDescent="0.2">
      <c r="A27" s="70" t="s">
        <v>129</v>
      </c>
      <c r="B27" s="80">
        <v>47076</v>
      </c>
      <c r="C27" s="80">
        <v>37774</v>
      </c>
      <c r="D27" s="80">
        <v>50156</v>
      </c>
      <c r="E27" s="80">
        <v>1923</v>
      </c>
      <c r="F27" s="80">
        <v>59729</v>
      </c>
      <c r="G27" s="80">
        <v>37987</v>
      </c>
      <c r="H27" s="80">
        <v>25633</v>
      </c>
      <c r="I27" s="80">
        <v>26881</v>
      </c>
      <c r="J27" s="80">
        <v>67019</v>
      </c>
      <c r="K27" s="80">
        <v>97736</v>
      </c>
      <c r="L27" s="80">
        <v>-28311</v>
      </c>
      <c r="M27" s="80">
        <v>248305</v>
      </c>
      <c r="N27" s="80">
        <v>-221540</v>
      </c>
      <c r="O27" s="17"/>
      <c r="P27" s="51"/>
    </row>
    <row r="28" spans="1:16" s="5" customFormat="1" x14ac:dyDescent="0.2">
      <c r="A28" s="70" t="s">
        <v>130</v>
      </c>
      <c r="B28" s="80">
        <v>43134</v>
      </c>
      <c r="C28" s="80">
        <v>42780</v>
      </c>
      <c r="D28" s="80">
        <v>-11724</v>
      </c>
      <c r="E28" s="80">
        <v>47158</v>
      </c>
      <c r="F28" s="80">
        <v>29246</v>
      </c>
      <c r="G28" s="80">
        <v>73058</v>
      </c>
      <c r="H28" s="80">
        <v>73376</v>
      </c>
      <c r="I28" s="80">
        <v>-49749</v>
      </c>
      <c r="J28" s="80">
        <v>75453</v>
      </c>
      <c r="K28" s="80">
        <v>71270</v>
      </c>
      <c r="L28" s="80">
        <v>41527</v>
      </c>
      <c r="M28" s="80">
        <v>150501</v>
      </c>
      <c r="N28" s="80">
        <v>124350</v>
      </c>
      <c r="O28" s="17"/>
      <c r="P28" s="51"/>
    </row>
    <row r="29" spans="1:16" s="5" customFormat="1" x14ac:dyDescent="0.2">
      <c r="A29" s="70" t="s">
        <v>131</v>
      </c>
      <c r="B29" s="80">
        <v>-12512</v>
      </c>
      <c r="C29" s="80">
        <v>-26728</v>
      </c>
      <c r="D29" s="80">
        <v>-7376</v>
      </c>
      <c r="E29" s="80">
        <v>-17962</v>
      </c>
      <c r="F29" s="80">
        <v>24070</v>
      </c>
      <c r="G29" s="80">
        <v>22130</v>
      </c>
      <c r="H29" s="80">
        <v>27331</v>
      </c>
      <c r="I29" s="80">
        <v>11173</v>
      </c>
      <c r="J29" s="80">
        <v>11565</v>
      </c>
      <c r="K29" s="80">
        <v>18775</v>
      </c>
      <c r="L29" s="80">
        <v>43998</v>
      </c>
      <c r="M29" s="80">
        <v>24661</v>
      </c>
      <c r="N29" s="80">
        <v>39169</v>
      </c>
      <c r="O29" s="17">
        <f>RATE(5,,-J29,N29)</f>
        <v>0.27631939656188881</v>
      </c>
      <c r="P29" s="51"/>
    </row>
    <row r="30" spans="1:16" s="5" customFormat="1" x14ac:dyDescent="0.2">
      <c r="A30" s="68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20"/>
      <c r="P30" s="51"/>
    </row>
    <row r="31" spans="1:16" s="5" customFormat="1" x14ac:dyDescent="0.2">
      <c r="A31" s="87" t="s">
        <v>105</v>
      </c>
      <c r="B31" s="81">
        <f t="shared" ref="B31:I31" si="0">SUM(B11:B30)</f>
        <v>615921</v>
      </c>
      <c r="C31" s="81">
        <f t="shared" si="0"/>
        <v>6106144</v>
      </c>
      <c r="D31" s="81">
        <f t="shared" si="0"/>
        <v>3112203</v>
      </c>
      <c r="E31" s="81">
        <f t="shared" si="0"/>
        <v>1102061</v>
      </c>
      <c r="F31" s="81">
        <f t="shared" si="0"/>
        <v>2844361</v>
      </c>
      <c r="G31" s="81">
        <f t="shared" ref="G31" si="1">SUM(G11:G30)</f>
        <v>1295463</v>
      </c>
      <c r="H31" s="81">
        <f t="shared" ref="H31" si="2">SUM(H11:H30)</f>
        <v>3139724</v>
      </c>
      <c r="I31" s="81">
        <f t="shared" si="0"/>
        <v>776912</v>
      </c>
      <c r="J31" s="81">
        <f t="shared" ref="J31:K31" si="3">SUM(J11:J30)</f>
        <v>7072017</v>
      </c>
      <c r="K31" s="81">
        <f t="shared" si="3"/>
        <v>-864</v>
      </c>
      <c r="L31" s="81">
        <f t="shared" ref="L31:N31" si="4">SUM(L11:L30)</f>
        <v>6913561</v>
      </c>
      <c r="M31" s="81">
        <f t="shared" si="4"/>
        <v>7999161</v>
      </c>
      <c r="N31" s="81">
        <f t="shared" si="4"/>
        <v>4409361</v>
      </c>
      <c r="O31" s="17">
        <f>RATE(6,,-J31,N31)</f>
        <v>-7.5716088828003597E-2</v>
      </c>
      <c r="P31" s="51"/>
    </row>
    <row r="32" spans="1:16" s="5" customFormat="1" x14ac:dyDescent="0.2">
      <c r="A32" s="87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17"/>
      <c r="P32" s="51"/>
    </row>
    <row r="33" spans="1:16" s="5" customFormat="1" x14ac:dyDescent="0.2">
      <c r="A33" s="88" t="s">
        <v>106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17"/>
      <c r="P33" s="51"/>
    </row>
    <row r="34" spans="1:16" s="5" customFormat="1" x14ac:dyDescent="0.2">
      <c r="A34" s="68" t="s">
        <v>107</v>
      </c>
      <c r="B34" s="80">
        <v>-8262707</v>
      </c>
      <c r="C34" s="80">
        <v>-5276956</v>
      </c>
      <c r="D34" s="80">
        <v>-7228297</v>
      </c>
      <c r="E34" s="80">
        <v>-5002924</v>
      </c>
      <c r="F34" s="80">
        <v>-6110140</v>
      </c>
      <c r="G34" s="80">
        <v>-7583068</v>
      </c>
      <c r="H34" s="80">
        <v>-11155299</v>
      </c>
      <c r="I34" s="80">
        <v>-11688277</v>
      </c>
      <c r="J34" s="80">
        <v>-20387539</v>
      </c>
      <c r="K34" s="80">
        <v>-25994226</v>
      </c>
      <c r="L34" s="80">
        <v>-27908055</v>
      </c>
      <c r="M34" s="80">
        <v>-22992172</v>
      </c>
      <c r="N34" s="80">
        <v>-24075716</v>
      </c>
      <c r="O34" s="17">
        <f>RATE(5,,-J34,N34)</f>
        <v>3.3815124161210644E-2</v>
      </c>
      <c r="P34" s="51"/>
    </row>
    <row r="35" spans="1:16" s="5" customFormat="1" x14ac:dyDescent="0.2">
      <c r="A35" s="68" t="s">
        <v>108</v>
      </c>
      <c r="B35" s="80">
        <v>25712</v>
      </c>
      <c r="C35" s="80">
        <v>62027</v>
      </c>
      <c r="D35" s="80">
        <v>88489</v>
      </c>
      <c r="E35" s="80">
        <v>43484</v>
      </c>
      <c r="F35" s="80">
        <v>17486</v>
      </c>
      <c r="G35" s="80">
        <v>57889</v>
      </c>
      <c r="H35" s="80">
        <v>-5550</v>
      </c>
      <c r="I35" s="80">
        <v>-5564</v>
      </c>
      <c r="J35" s="80">
        <v>-4519</v>
      </c>
      <c r="K35" s="80">
        <v>25540</v>
      </c>
      <c r="L35" s="80">
        <v>124248</v>
      </c>
      <c r="M35" s="80">
        <v>30008</v>
      </c>
      <c r="N35" s="80">
        <v>10000</v>
      </c>
      <c r="O35" s="17"/>
      <c r="P35" s="51"/>
    </row>
    <row r="36" spans="1:16" s="5" customFormat="1" x14ac:dyDescent="0.2">
      <c r="A36" s="68" t="s">
        <v>133</v>
      </c>
      <c r="B36" s="80"/>
      <c r="C36" s="80">
        <v>-29000</v>
      </c>
      <c r="D36" s="80">
        <v>-17454</v>
      </c>
      <c r="E36" s="80"/>
      <c r="F36" s="80">
        <v>-743902</v>
      </c>
      <c r="G36" s="80">
        <v>-6692</v>
      </c>
      <c r="H36" s="80">
        <v>54491</v>
      </c>
      <c r="I36" s="80">
        <v>0</v>
      </c>
      <c r="J36" s="80"/>
      <c r="K36" s="80">
        <v>0</v>
      </c>
      <c r="L36" s="80">
        <v>0</v>
      </c>
      <c r="M36" s="80">
        <v>0</v>
      </c>
      <c r="N36" s="80">
        <v>0</v>
      </c>
      <c r="O36" s="17"/>
      <c r="P36" s="51"/>
    </row>
    <row r="37" spans="1:16" s="5" customFormat="1" x14ac:dyDescent="0.2">
      <c r="A37" s="68" t="s">
        <v>134</v>
      </c>
      <c r="B37" s="80"/>
      <c r="C37" s="80"/>
      <c r="D37" s="80"/>
      <c r="E37" s="80"/>
      <c r="F37" s="80">
        <v>731501</v>
      </c>
      <c r="G37" s="80">
        <v>88599</v>
      </c>
      <c r="H37" s="80">
        <v>190014</v>
      </c>
      <c r="I37" s="80">
        <v>772</v>
      </c>
      <c r="J37" s="80">
        <v>58993</v>
      </c>
      <c r="K37" s="80">
        <v>0</v>
      </c>
      <c r="L37" s="80">
        <v>0</v>
      </c>
      <c r="M37" s="80">
        <v>65062</v>
      </c>
      <c r="N37" s="80">
        <v>307614</v>
      </c>
      <c r="O37" s="17"/>
      <c r="P37" s="51"/>
    </row>
    <row r="38" spans="1:16" s="5" customFormat="1" x14ac:dyDescent="0.2">
      <c r="A38" s="68" t="s">
        <v>142</v>
      </c>
      <c r="B38" s="80"/>
      <c r="C38" s="80"/>
      <c r="D38" s="80">
        <v>-651785</v>
      </c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17"/>
      <c r="P38" s="51"/>
    </row>
    <row r="39" spans="1:16" s="5" customFormat="1" x14ac:dyDescent="0.2">
      <c r="A39" s="68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20"/>
      <c r="P39" s="51"/>
    </row>
    <row r="40" spans="1:16" s="5" customFormat="1" x14ac:dyDescent="0.2">
      <c r="A40" s="87" t="s">
        <v>110</v>
      </c>
      <c r="B40" s="83">
        <f t="shared" ref="B40:I40" si="5">SUM(B33:B39)</f>
        <v>-8236995</v>
      </c>
      <c r="C40" s="83">
        <f t="shared" si="5"/>
        <v>-5243929</v>
      </c>
      <c r="D40" s="83">
        <f t="shared" si="5"/>
        <v>-7809047</v>
      </c>
      <c r="E40" s="83">
        <f t="shared" si="5"/>
        <v>-4959440</v>
      </c>
      <c r="F40" s="83">
        <f t="shared" si="5"/>
        <v>-6105055</v>
      </c>
      <c r="G40" s="83">
        <f t="shared" ref="G40" si="6">SUM(G33:G39)</f>
        <v>-7443272</v>
      </c>
      <c r="H40" s="83">
        <f t="shared" ref="H40" si="7">SUM(H33:H39)</f>
        <v>-10916344</v>
      </c>
      <c r="I40" s="83">
        <f t="shared" si="5"/>
        <v>-11693069</v>
      </c>
      <c r="J40" s="83">
        <f t="shared" ref="J40:K40" si="8">SUM(J33:J39)</f>
        <v>-20333065</v>
      </c>
      <c r="K40" s="83">
        <f t="shared" si="8"/>
        <v>-25968686</v>
      </c>
      <c r="L40" s="83">
        <f t="shared" ref="L40:N40" si="9">SUM(L33:L39)</f>
        <v>-27783807</v>
      </c>
      <c r="M40" s="83">
        <f t="shared" si="9"/>
        <v>-22897102</v>
      </c>
      <c r="N40" s="83">
        <f t="shared" si="9"/>
        <v>-23758102</v>
      </c>
      <c r="O40" s="17">
        <f>RATE(5,,-J40,N40)</f>
        <v>3.1624811377381219E-2</v>
      </c>
      <c r="P40" s="51"/>
    </row>
    <row r="41" spans="1:16" s="5" customFormat="1" x14ac:dyDescent="0.2">
      <c r="A41" s="68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17"/>
      <c r="P41" s="51"/>
    </row>
    <row r="42" spans="1:16" s="5" customFormat="1" x14ac:dyDescent="0.2">
      <c r="A42" s="88" t="s">
        <v>111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17"/>
      <c r="P42" s="51"/>
    </row>
    <row r="43" spans="1:16" s="5" customFormat="1" x14ac:dyDescent="0.2">
      <c r="A43" s="70" t="s">
        <v>112</v>
      </c>
      <c r="B43" s="80">
        <v>2300000</v>
      </c>
      <c r="C43" s="80">
        <v>496232</v>
      </c>
      <c r="D43" s="80"/>
      <c r="E43" s="80">
        <v>2000000</v>
      </c>
      <c r="F43" s="80"/>
      <c r="G43" s="80">
        <v>2098963</v>
      </c>
      <c r="H43" s="80">
        <v>0</v>
      </c>
      <c r="I43" s="80">
        <v>1500000</v>
      </c>
      <c r="J43" s="80">
        <v>15901037</v>
      </c>
      <c r="K43" s="80">
        <v>15250000</v>
      </c>
      <c r="L43" s="80">
        <v>21000000</v>
      </c>
      <c r="M43" s="80">
        <v>1107158</v>
      </c>
      <c r="N43" s="80">
        <v>11571400</v>
      </c>
      <c r="O43" s="17">
        <f>RATE(5,,-J43,N43)</f>
        <v>-6.1591156952052424E-2</v>
      </c>
      <c r="P43" s="51"/>
    </row>
    <row r="44" spans="1:16" s="5" customFormat="1" x14ac:dyDescent="0.2">
      <c r="A44" s="70" t="s">
        <v>113</v>
      </c>
      <c r="B44" s="80">
        <v>-443732</v>
      </c>
      <c r="C44" s="80">
        <v>-3470313</v>
      </c>
      <c r="D44" s="80">
        <v>-498159</v>
      </c>
      <c r="E44" s="80">
        <v>-529378</v>
      </c>
      <c r="F44" s="80">
        <v>-619743</v>
      </c>
      <c r="G44" s="80">
        <v>-740218</v>
      </c>
      <c r="H44" s="80">
        <v>-840378</v>
      </c>
      <c r="I44" s="80">
        <v>-840358</v>
      </c>
      <c r="J44" s="80">
        <v>-2364687</v>
      </c>
      <c r="K44" s="80">
        <v>-8187200</v>
      </c>
      <c r="L44" s="80">
        <v>-10080736</v>
      </c>
      <c r="M44" s="80">
        <v>-1322633</v>
      </c>
      <c r="N44" s="80">
        <v>-2497253</v>
      </c>
      <c r="O44" s="17">
        <f>RATE(5,,-J44,N44)</f>
        <v>1.0968853813574325E-2</v>
      </c>
      <c r="P44" s="51"/>
    </row>
    <row r="45" spans="1:16" s="5" customFormat="1" x14ac:dyDescent="0.2">
      <c r="A45" s="71" t="s">
        <v>135</v>
      </c>
      <c r="B45" s="80">
        <v>1211377</v>
      </c>
      <c r="C45" s="80">
        <v>868991</v>
      </c>
      <c r="D45" s="80">
        <v>1427864</v>
      </c>
      <c r="E45" s="80">
        <v>1428551</v>
      </c>
      <c r="F45" s="80">
        <v>1928263</v>
      </c>
      <c r="G45" s="80">
        <v>2315238</v>
      </c>
      <c r="H45" s="80">
        <v>2667403</v>
      </c>
      <c r="I45" s="80">
        <v>3538821</v>
      </c>
      <c r="J45" s="80">
        <v>4311880</v>
      </c>
      <c r="K45" s="80">
        <v>5954637</v>
      </c>
      <c r="L45" s="80">
        <v>5606377</v>
      </c>
      <c r="M45" s="80">
        <v>6226202</v>
      </c>
      <c r="N45" s="80">
        <v>7013676</v>
      </c>
      <c r="O45" s="17">
        <f>RATE(5,,-J45,N45)</f>
        <v>0.1021883257980542</v>
      </c>
      <c r="P45" s="51"/>
    </row>
    <row r="46" spans="1:16" s="5" customFormat="1" x14ac:dyDescent="0.2">
      <c r="A46" s="71" t="s">
        <v>136</v>
      </c>
      <c r="B46" s="80">
        <v>6088773</v>
      </c>
      <c r="C46" s="80">
        <v>3104255</v>
      </c>
      <c r="D46" s="80">
        <v>2976035</v>
      </c>
      <c r="E46" s="80">
        <v>1707314</v>
      </c>
      <c r="F46" s="80">
        <v>3710273</v>
      </c>
      <c r="G46" s="80">
        <v>4949175</v>
      </c>
      <c r="H46" s="80">
        <v>5099887</v>
      </c>
      <c r="I46" s="80">
        <v>4642586</v>
      </c>
      <c r="J46" s="80">
        <v>6049409</v>
      </c>
      <c r="K46" s="80">
        <v>7139340</v>
      </c>
      <c r="L46" s="80">
        <v>6573500</v>
      </c>
      <c r="M46" s="80">
        <v>8195193</v>
      </c>
      <c r="N46" s="80">
        <v>7364343</v>
      </c>
      <c r="O46" s="17">
        <f>RATE(5,,-J46,N46)</f>
        <v>4.0121831309746898E-2</v>
      </c>
      <c r="P46" s="51"/>
    </row>
    <row r="47" spans="1:16" s="5" customFormat="1" x14ac:dyDescent="0.2">
      <c r="A47" s="71" t="s">
        <v>138</v>
      </c>
      <c r="B47" s="80">
        <v>-651159</v>
      </c>
      <c r="C47" s="80">
        <v>-53782</v>
      </c>
      <c r="D47" s="80">
        <v>-77236</v>
      </c>
      <c r="E47" s="80">
        <v>-456239</v>
      </c>
      <c r="F47" s="80">
        <v>-145851</v>
      </c>
      <c r="G47" s="80">
        <v>-529555</v>
      </c>
      <c r="H47" s="80">
        <v>-461862</v>
      </c>
      <c r="I47" s="80">
        <v>-261446</v>
      </c>
      <c r="J47" s="80">
        <v>-607686</v>
      </c>
      <c r="K47" s="80">
        <v>-386820</v>
      </c>
      <c r="L47" s="80">
        <v>-959634</v>
      </c>
      <c r="M47" s="80">
        <v>-588283</v>
      </c>
      <c r="N47" s="80">
        <v>-514990</v>
      </c>
      <c r="O47" s="17">
        <f>RATE(5,,-J47,N47)</f>
        <v>-3.2560282621649901E-2</v>
      </c>
      <c r="P47" s="51"/>
    </row>
    <row r="48" spans="1:16" s="5" customFormat="1" x14ac:dyDescent="0.2">
      <c r="A48" s="68" t="s">
        <v>137</v>
      </c>
      <c r="B48" s="80">
        <v>-374677</v>
      </c>
      <c r="C48" s="80">
        <v>-402752</v>
      </c>
      <c r="D48" s="80">
        <v>-279148</v>
      </c>
      <c r="E48" s="80"/>
      <c r="F48" s="80">
        <v>-341124</v>
      </c>
      <c r="G48" s="80">
        <v>-577166</v>
      </c>
      <c r="H48" s="80">
        <v>-619396</v>
      </c>
      <c r="I48" s="80">
        <v>0</v>
      </c>
      <c r="J48" s="80">
        <v>-668410</v>
      </c>
      <c r="K48" s="80">
        <v>-758786</v>
      </c>
      <c r="L48" s="80">
        <v>-1070047</v>
      </c>
      <c r="M48" s="80">
        <v>-1162702</v>
      </c>
      <c r="N48" s="80">
        <v>-1347061</v>
      </c>
      <c r="O48" s="17"/>
      <c r="P48" s="51"/>
    </row>
    <row r="49" spans="1:16" s="5" customFormat="1" x14ac:dyDescent="0.2">
      <c r="A49" s="68" t="s">
        <v>109</v>
      </c>
      <c r="B49" s="80"/>
      <c r="C49" s="80"/>
      <c r="D49" s="80"/>
      <c r="E49" s="80"/>
      <c r="F49" s="80"/>
      <c r="G49" s="80"/>
      <c r="H49" s="80">
        <v>1131551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17"/>
      <c r="P49" s="51"/>
    </row>
    <row r="50" spans="1:16" s="5" customFormat="1" x14ac:dyDescent="0.2">
      <c r="A50" s="68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20"/>
      <c r="P50" s="51"/>
    </row>
    <row r="51" spans="1:16" s="5" customFormat="1" x14ac:dyDescent="0.2">
      <c r="A51" s="87" t="s">
        <v>114</v>
      </c>
      <c r="B51" s="84">
        <f t="shared" ref="B51:I51" si="10">SUM(B42:B50)</f>
        <v>8130582</v>
      </c>
      <c r="C51" s="84">
        <f t="shared" si="10"/>
        <v>542631</v>
      </c>
      <c r="D51" s="84">
        <f t="shared" si="10"/>
        <v>3549356</v>
      </c>
      <c r="E51" s="84">
        <f t="shared" si="10"/>
        <v>4150248</v>
      </c>
      <c r="F51" s="84">
        <f t="shared" si="10"/>
        <v>4531818</v>
      </c>
      <c r="G51" s="84">
        <f t="shared" ref="G51" si="11">SUM(G42:G50)</f>
        <v>7516437</v>
      </c>
      <c r="H51" s="84">
        <f t="shared" ref="H51" si="12">SUM(H42:H50)</f>
        <v>6977205</v>
      </c>
      <c r="I51" s="84">
        <f t="shared" si="10"/>
        <v>8579603</v>
      </c>
      <c r="J51" s="84">
        <f t="shared" ref="J51:K51" si="13">SUM(J42:J50)</f>
        <v>22621543</v>
      </c>
      <c r="K51" s="84">
        <f t="shared" si="13"/>
        <v>19011171</v>
      </c>
      <c r="L51" s="84">
        <f t="shared" ref="L51:N51" si="14">SUM(L42:L50)</f>
        <v>21069460</v>
      </c>
      <c r="M51" s="84">
        <f t="shared" si="14"/>
        <v>12454935</v>
      </c>
      <c r="N51" s="84">
        <f t="shared" si="14"/>
        <v>21590115</v>
      </c>
      <c r="O51" s="17">
        <f>RATE(5,,-J51,N51)</f>
        <v>-9.2900010647091729E-3</v>
      </c>
      <c r="P51" s="51"/>
    </row>
    <row r="52" spans="1:16" s="5" customFormat="1" x14ac:dyDescent="0.2">
      <c r="A52" s="68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20"/>
      <c r="P52" s="51"/>
    </row>
    <row r="53" spans="1:16" s="5" customFormat="1" x14ac:dyDescent="0.2">
      <c r="A53" s="87" t="s">
        <v>115</v>
      </c>
      <c r="B53" s="85">
        <f t="shared" ref="B53:I53" si="15">B31+B40+B51</f>
        <v>509508</v>
      </c>
      <c r="C53" s="85">
        <f t="shared" si="15"/>
        <v>1404846</v>
      </c>
      <c r="D53" s="85">
        <f t="shared" si="15"/>
        <v>-1147488</v>
      </c>
      <c r="E53" s="85">
        <f t="shared" si="15"/>
        <v>292869</v>
      </c>
      <c r="F53" s="85">
        <f t="shared" si="15"/>
        <v>1271124</v>
      </c>
      <c r="G53" s="85">
        <f t="shared" ref="G53:H53" si="16">G31+G40+G51</f>
        <v>1368628</v>
      </c>
      <c r="H53" s="85">
        <f t="shared" si="16"/>
        <v>-799415</v>
      </c>
      <c r="I53" s="85">
        <f t="shared" si="15"/>
        <v>-2336554</v>
      </c>
      <c r="J53" s="85">
        <f t="shared" ref="J53:K53" si="17">J31+J40+J51</f>
        <v>9360495</v>
      </c>
      <c r="K53" s="85">
        <f t="shared" si="17"/>
        <v>-6958379</v>
      </c>
      <c r="L53" s="85">
        <f t="shared" ref="L53:N53" si="18">L31+L40+L51</f>
        <v>199214</v>
      </c>
      <c r="M53" s="85">
        <f t="shared" si="18"/>
        <v>-2443006</v>
      </c>
      <c r="N53" s="85">
        <f t="shared" si="18"/>
        <v>2241374</v>
      </c>
      <c r="O53" s="17"/>
      <c r="P53" s="51"/>
    </row>
    <row r="54" spans="1:16" s="5" customFormat="1" x14ac:dyDescent="0.2">
      <c r="A54" s="87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20"/>
      <c r="P54" s="51"/>
    </row>
    <row r="55" spans="1:16" s="5" customFormat="1" x14ac:dyDescent="0.2">
      <c r="A55" s="87" t="s">
        <v>116</v>
      </c>
      <c r="B55" s="96">
        <v>382037</v>
      </c>
      <c r="C55" s="85">
        <f t="shared" ref="C55" si="19">B57</f>
        <v>891545</v>
      </c>
      <c r="D55" s="85">
        <f>C57</f>
        <v>2296391</v>
      </c>
      <c r="E55" s="85">
        <f>D57</f>
        <v>1148903</v>
      </c>
      <c r="F55" s="85">
        <f>E57</f>
        <v>1441772</v>
      </c>
      <c r="G55" s="85">
        <f t="shared" ref="G55:I55" si="20">F57</f>
        <v>2712896</v>
      </c>
      <c r="H55" s="85">
        <f t="shared" si="20"/>
        <v>4081524</v>
      </c>
      <c r="I55" s="85">
        <f t="shared" si="20"/>
        <v>3282109</v>
      </c>
      <c r="J55" s="85">
        <f>I57</f>
        <v>945555</v>
      </c>
      <c r="K55" s="85">
        <f>J57</f>
        <v>10306050</v>
      </c>
      <c r="L55" s="85">
        <f>K57</f>
        <v>3347671</v>
      </c>
      <c r="M55" s="85">
        <f t="shared" ref="M55:N55" si="21">L57</f>
        <v>3546885</v>
      </c>
      <c r="N55" s="85">
        <f t="shared" si="21"/>
        <v>1103879</v>
      </c>
      <c r="O55" s="17"/>
      <c r="P55" s="51"/>
    </row>
    <row r="56" spans="1:16" s="5" customFormat="1" x14ac:dyDescent="0.2">
      <c r="A56" s="87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20"/>
      <c r="P56" s="51"/>
    </row>
    <row r="57" spans="1:16" s="5" customFormat="1" ht="13.5" thickBot="1" x14ac:dyDescent="0.25">
      <c r="A57" s="87" t="s">
        <v>117</v>
      </c>
      <c r="B57" s="85">
        <f t="shared" ref="B57:C57" si="22">B53+B55</f>
        <v>891545</v>
      </c>
      <c r="C57" s="85">
        <f t="shared" si="22"/>
        <v>2296391</v>
      </c>
      <c r="D57" s="85">
        <f>D53+D55</f>
        <v>1148903</v>
      </c>
      <c r="E57" s="85">
        <f>E53+E55</f>
        <v>1441772</v>
      </c>
      <c r="F57" s="85">
        <f t="shared" ref="F57:I57" si="23">F53+F55</f>
        <v>2712896</v>
      </c>
      <c r="G57" s="85">
        <f t="shared" ref="G57:H57" si="24">G53+G55</f>
        <v>4081524</v>
      </c>
      <c r="H57" s="85">
        <f t="shared" si="24"/>
        <v>3282109</v>
      </c>
      <c r="I57" s="85">
        <f t="shared" si="23"/>
        <v>945555</v>
      </c>
      <c r="J57" s="85">
        <f t="shared" ref="J57:K57" si="25">J53+J55</f>
        <v>10306050</v>
      </c>
      <c r="K57" s="85">
        <f t="shared" si="25"/>
        <v>3347671</v>
      </c>
      <c r="L57" s="85">
        <f t="shared" ref="L57:N57" si="26">L53+L55</f>
        <v>3546885</v>
      </c>
      <c r="M57" s="85">
        <f t="shared" si="26"/>
        <v>1103879</v>
      </c>
      <c r="N57" s="85">
        <f t="shared" si="26"/>
        <v>3345253</v>
      </c>
      <c r="O57" s="17"/>
      <c r="P57" s="51"/>
    </row>
    <row r="58" spans="1:16" s="5" customFormat="1" ht="13.5" thickTop="1" x14ac:dyDescent="0.2">
      <c r="A58" s="72"/>
      <c r="B58" s="86">
        <f>+B57-'Financial Statements'!B12</f>
        <v>0</v>
      </c>
      <c r="C58" s="86">
        <f>+C57-'Financial Statements'!C12</f>
        <v>0</v>
      </c>
      <c r="D58" s="86">
        <f>+D57-'Financial Statements'!D12</f>
        <v>0</v>
      </c>
      <c r="E58" s="86">
        <f>+E57-'Financial Statements'!E12</f>
        <v>0</v>
      </c>
      <c r="F58" s="86">
        <f>+F57-'Financial Statements'!F12</f>
        <v>0</v>
      </c>
      <c r="G58" s="86">
        <f>+G57-'Financial Statements'!G12</f>
        <v>0</v>
      </c>
      <c r="H58" s="86">
        <f>+H57-'Financial Statements'!H12</f>
        <v>0</v>
      </c>
      <c r="I58" s="86">
        <f>+I57-'Financial Statements'!I12</f>
        <v>0</v>
      </c>
      <c r="J58" s="86">
        <f>+J57-'Financial Statements'!J12</f>
        <v>0</v>
      </c>
      <c r="K58" s="86">
        <f>+K57-'Financial Statements'!K12</f>
        <v>0</v>
      </c>
      <c r="L58" s="86">
        <f>+L57-'Financial Statements'!L12</f>
        <v>0</v>
      </c>
      <c r="M58" s="86">
        <f>+M57-'Financial Statements'!M12</f>
        <v>0</v>
      </c>
      <c r="N58" s="86">
        <f>+N57-'Financial Statements'!N12</f>
        <v>0</v>
      </c>
      <c r="O58" s="73"/>
      <c r="P58" s="51"/>
    </row>
    <row r="59" spans="1:16" x14ac:dyDescent="0.2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3"/>
      <c r="P59" s="52"/>
    </row>
    <row r="60" spans="1:16" x14ac:dyDescent="0.2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3"/>
      <c r="P60" s="52"/>
    </row>
    <row r="61" spans="1:16" x14ac:dyDescent="0.2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3"/>
      <c r="P61" s="52"/>
    </row>
    <row r="62" spans="1:16" x14ac:dyDescent="0.2">
      <c r="A62" s="51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3"/>
      <c r="P62" s="52"/>
    </row>
  </sheetData>
  <printOptions horizontalCentered="1"/>
  <pageMargins left="0.5" right="0.5" top="1" bottom="1" header="0.3" footer="0.3"/>
  <pageSetup scale="85" fitToHeight="0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Financial Statements</vt:lpstr>
      <vt:lpstr>Cash Flow</vt:lpstr>
      <vt:lpstr>'Cash Flow'!Print_Area</vt:lpstr>
      <vt:lpstr>'Financial Statements'!Print_Area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Einfeldt</dc:creator>
  <cp:lastModifiedBy>Fred Nass</cp:lastModifiedBy>
  <cp:lastPrinted>2021-11-19T21:33:49Z</cp:lastPrinted>
  <dcterms:created xsi:type="dcterms:W3CDTF">2005-09-19T14:11:29Z</dcterms:created>
  <dcterms:modified xsi:type="dcterms:W3CDTF">2021-11-23T18:43:44Z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{2B3728A0-FF8B-495D-9BC8-F91C80871C20}</vt:lpwstr>
  </property>
</Properties>
</file>